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14"/>
  <workbookPr codeName="ThisWorkbook"/>
  <mc:AlternateContent xmlns:mc="http://schemas.openxmlformats.org/markup-compatibility/2006">
    <mc:Choice Requires="x15">
      <x15ac:absPath xmlns:x15ac="http://schemas.microsoft.com/office/spreadsheetml/2010/11/ac" url="/Users/linotorregroza/Desktop/ESE/"/>
    </mc:Choice>
  </mc:AlternateContent>
  <xr:revisionPtr revIDLastSave="0" documentId="13_ncr:1_{8C6B0B4E-C0CB-0843-B703-4BB70D1987D6}" xr6:coauthVersionLast="47" xr6:coauthVersionMax="47" xr10:uidLastSave="{00000000-0000-0000-0000-000000000000}"/>
  <bookViews>
    <workbookView xWindow="0" yWindow="500" windowWidth="28800" windowHeight="16100" tabRatio="879" xr2:uid="{00000000-000D-0000-FFFF-FFFF00000000}"/>
  </bookViews>
  <sheets>
    <sheet name="PRESUPUESTO OBRA" sheetId="14" r:id="rId1"/>
    <sheet name="CANT. DE OBRA ADMON" sheetId="54" r:id="rId2"/>
    <sheet name="CANT. DE OBRA SIAU" sheetId="55" r:id="rId3"/>
    <sheet name="CANT. DE OBRA HOSPITAL GENERAL" sheetId="56" r:id="rId4"/>
    <sheet name="CANT. DE OBRA PALENQUITO " sheetId="34" r:id="rId5"/>
    <sheet name="CANT. DE OBRA CONCHITAS" sheetId="51" r:id="rId6"/>
    <sheet name="CANT. DE OBRA PUERTO LOPEZ" sheetId="52" r:id="rId7"/>
    <sheet name="CANT. DE OBRA SANTA COA" sheetId="53" r:id="rId8"/>
    <sheet name="APUS" sheetId="37" r:id="rId9"/>
    <sheet name="PRESUPUESTO ADMON" sheetId="49" state="hidden" r:id="rId10"/>
    <sheet name="FM ADMON" sheetId="50" state="hidden" r:id="rId11"/>
    <sheet name="CRONOGRAMA DE ACTIVIDADES" sheetId="46" state="hidden" r:id="rId12"/>
    <sheet name="CRONOGRAMA DE FLUJOS" sheetId="47" state="hidden" r:id="rId13"/>
    <sheet name="APU -BASICOS" sheetId="33" r:id="rId14"/>
    <sheet name="MANO DE OBRA" sheetId="25" r:id="rId15"/>
    <sheet name="MATERIALES" sheetId="23" r:id="rId16"/>
    <sheet name="HERRAMIENTAS Y EQUIPOS" sheetId="24" r:id="rId17"/>
    <sheet name="TRANSPORTE" sheetId="26" r:id="rId18"/>
    <sheet name="PRES INTERVENTORIA" sheetId="44" state="hidden" r:id="rId19"/>
    <sheet name="FM INTERVENTORIA" sheetId="45" state="hidden" r:id="rId20"/>
    <sheet name="Hoja1" sheetId="29" state="hidden" r:id="rId21"/>
    <sheet name="PMA" sheetId="40" state="hidden" r:id="rId22"/>
    <sheet name="PROFESIONAL PMA" sheetId="41" state="hidden" r:id="rId23"/>
    <sheet name="PROT. COVID 19" sheetId="42" state="hidden" r:id="rId24"/>
    <sheet name="PROFESIONAL SISO" sheetId="43" state="hidden" r:id="rId25"/>
  </sheets>
  <externalReferences>
    <externalReference r:id="rId26"/>
    <externalReference r:id="rId27"/>
    <externalReference r:id="rId28"/>
  </externalReferences>
  <definedNames>
    <definedName name="a" localSheetId="13">#REF!</definedName>
    <definedName name="a" localSheetId="8">#REF!</definedName>
    <definedName name="a" localSheetId="1">#REF!</definedName>
    <definedName name="a" localSheetId="5">#REF!</definedName>
    <definedName name="a" localSheetId="3">#REF!</definedName>
    <definedName name="a" localSheetId="4">#REF!</definedName>
    <definedName name="a" localSheetId="6">#REF!</definedName>
    <definedName name="a" localSheetId="7">#REF!</definedName>
    <definedName name="a" localSheetId="2">#REF!</definedName>
    <definedName name="a" localSheetId="24">#REF!</definedName>
    <definedName name="a">#REF!</definedName>
    <definedName name="A_impresión_IM" localSheetId="13">#REF!</definedName>
    <definedName name="A_impresión_IM" localSheetId="8">#REF!</definedName>
    <definedName name="A_impresión_IM" localSheetId="1">#REF!</definedName>
    <definedName name="A_impresión_IM" localSheetId="5">#REF!</definedName>
    <definedName name="A_impresión_IM" localSheetId="3">#REF!</definedName>
    <definedName name="A_impresión_IM" localSheetId="4">#REF!</definedName>
    <definedName name="A_impresión_IM" localSheetId="6">#REF!</definedName>
    <definedName name="A_impresión_IM" localSheetId="7">#REF!</definedName>
    <definedName name="A_impresión_IM" localSheetId="2">#REF!</definedName>
    <definedName name="A_impresión_IM" localSheetId="24">#REF!</definedName>
    <definedName name="A_impresión_IM">#REF!</definedName>
    <definedName name="_xlnm.Print_Area" localSheetId="13">'APU -BASICOS'!$A$1:$H$279</definedName>
    <definedName name="_xlnm.Print_Area" localSheetId="8">APUS!$B$1:$I$6800</definedName>
    <definedName name="_xlnm.Print_Area" localSheetId="1">'CANT. DE OBRA ADMON'!$A$1:$Q$649</definedName>
    <definedName name="_xlnm.Print_Area" localSheetId="5">'CANT. DE OBRA CONCHITAS'!$A$1:$Q$395</definedName>
    <definedName name="_xlnm.Print_Area" localSheetId="3">'CANT. DE OBRA HOSPITAL GENERAL'!$A$1:$Q$401</definedName>
    <definedName name="_xlnm.Print_Area" localSheetId="4">'CANT. DE OBRA PALENQUITO '!$A$1:$Q$502</definedName>
    <definedName name="_xlnm.Print_Area" localSheetId="6">'CANT. DE OBRA PUERTO LOPEZ'!$A$1:$Q$413</definedName>
    <definedName name="_xlnm.Print_Area" localSheetId="7">'CANT. DE OBRA SANTA COA'!$A$1:$Q$520</definedName>
    <definedName name="_xlnm.Print_Area" localSheetId="2">'CANT. DE OBRA SIAU'!$A$1:$Q$390</definedName>
    <definedName name="_xlnm.Print_Area" localSheetId="14">'MANO DE OBRA'!$A$1:$E$29</definedName>
    <definedName name="_xlnm.Print_Area" localSheetId="15">MATERIALES!$A$1:$F$192</definedName>
    <definedName name="_xlnm.Print_Area" localSheetId="0">'PRESUPUESTO OBRA'!$B$1:$G$686</definedName>
    <definedName name="_xlnm.Print_Area" localSheetId="23">'PROT. COVID 19'!$A$1:$G$44</definedName>
    <definedName name="_xlnm.Print_Area" localSheetId="17">TRANSPORTE!$A$1:$F$13</definedName>
    <definedName name="inf" localSheetId="13">#REF!</definedName>
    <definedName name="inf" localSheetId="8">#REF!</definedName>
    <definedName name="inf" localSheetId="1">#REF!</definedName>
    <definedName name="inf" localSheetId="5">#REF!</definedName>
    <definedName name="inf" localSheetId="3">#REF!</definedName>
    <definedName name="inf" localSheetId="4">#REF!</definedName>
    <definedName name="inf" localSheetId="6">#REF!</definedName>
    <definedName name="inf" localSheetId="7">#REF!</definedName>
    <definedName name="inf" localSheetId="2">#REF!</definedName>
    <definedName name="inf" localSheetId="24">#REF!</definedName>
    <definedName name="inf">#REF!</definedName>
    <definedName name="INV_11">'[1]PR 1'!$A$2:$N$655</definedName>
    <definedName name="Print_Area_MI" localSheetId="13">#REF!</definedName>
    <definedName name="Print_Area_MI" localSheetId="8">#REF!</definedName>
    <definedName name="Print_Area_MI" localSheetId="1">#REF!</definedName>
    <definedName name="Print_Area_MI" localSheetId="5">#REF!</definedName>
    <definedName name="Print_Area_MI" localSheetId="3">#REF!</definedName>
    <definedName name="Print_Area_MI" localSheetId="4">#REF!</definedName>
    <definedName name="Print_Area_MI" localSheetId="6">#REF!</definedName>
    <definedName name="Print_Area_MI" localSheetId="7">#REF!</definedName>
    <definedName name="Print_Area_MI" localSheetId="2">#REF!</definedName>
    <definedName name="Print_Area_MI" localSheetId="24">#REF!</definedName>
    <definedName name="Print_Area_MI">#REF!</definedName>
    <definedName name="valor1" localSheetId="13">#REF!</definedName>
    <definedName name="valor1" localSheetId="8">#REF!</definedName>
    <definedName name="valor1" localSheetId="1">#REF!</definedName>
    <definedName name="valor1" localSheetId="5">#REF!</definedName>
    <definedName name="valor1" localSheetId="3">#REF!</definedName>
    <definedName name="valor1" localSheetId="4">#REF!</definedName>
    <definedName name="valor1" localSheetId="6">#REF!</definedName>
    <definedName name="valor1" localSheetId="7">#REF!</definedName>
    <definedName name="valor1" localSheetId="2">#REF!</definedName>
    <definedName name="valor1" localSheetId="24">#REF!</definedName>
    <definedName name="valor1">#REF!</definedName>
    <definedName name="valor2" localSheetId="13">#REF!</definedName>
    <definedName name="valor2" localSheetId="8">#REF!</definedName>
    <definedName name="valor2" localSheetId="1">#REF!</definedName>
    <definedName name="valor2" localSheetId="5">#REF!</definedName>
    <definedName name="valor2" localSheetId="3">#REF!</definedName>
    <definedName name="valor2" localSheetId="4">#REF!</definedName>
    <definedName name="valor2" localSheetId="6">#REF!</definedName>
    <definedName name="valor2" localSheetId="7">#REF!</definedName>
    <definedName name="valor2" localSheetId="2">#REF!</definedName>
    <definedName name="valor2" localSheetId="24">#REF!</definedName>
    <definedName name="valor2">#REF!</definedName>
    <definedName name="VALOR3" localSheetId="13">#REF!</definedName>
    <definedName name="VALOR3" localSheetId="8">#REF!</definedName>
    <definedName name="VALOR3" localSheetId="1">#REF!</definedName>
    <definedName name="VALOR3" localSheetId="5">#REF!</definedName>
    <definedName name="VALOR3" localSheetId="3">#REF!</definedName>
    <definedName name="VALOR3" localSheetId="4">#REF!</definedName>
    <definedName name="VALOR3" localSheetId="6">#REF!</definedName>
    <definedName name="VALOR3" localSheetId="7">#REF!</definedName>
    <definedName name="VALOR3" localSheetId="2">#REF!</definedName>
    <definedName name="VALOR3" localSheetId="24">#REF!</definedName>
    <definedName name="VALOR3">#REF!</definedName>
  </definedNames>
  <calcPr calcId="191029"/>
</workbook>
</file>

<file path=xl/calcChain.xml><?xml version="1.0" encoding="utf-8"?>
<calcChain xmlns="http://schemas.openxmlformats.org/spreadsheetml/2006/main">
  <c r="D140" i="53" l="1"/>
  <c r="I140" i="53" s="1"/>
  <c r="L140" i="53" s="1"/>
  <c r="I346" i="55"/>
  <c r="K346" i="55" s="1"/>
  <c r="G1947" i="37"/>
  <c r="I114" i="54"/>
  <c r="K114" i="54" s="1"/>
  <c r="I113" i="54"/>
  <c r="K113" i="54" s="1"/>
  <c r="I112" i="54"/>
  <c r="K112" i="54" s="1"/>
  <c r="I111" i="54"/>
  <c r="K111" i="54" s="1"/>
  <c r="K115" i="54" s="1"/>
  <c r="I154" i="54"/>
  <c r="K154" i="54" s="1"/>
  <c r="I153" i="54"/>
  <c r="K153" i="54" s="1"/>
  <c r="I152" i="54"/>
  <c r="K152" i="54" s="1"/>
  <c r="K155" i="54" s="1"/>
  <c r="F1774" i="37"/>
  <c r="H1774" i="37" s="1"/>
  <c r="I1789" i="37"/>
  <c r="G1781" i="37"/>
  <c r="G1780" i="37"/>
  <c r="G1779" i="37"/>
  <c r="F5086" i="37"/>
  <c r="F179" i="23"/>
  <c r="E31" i="14" l="1"/>
  <c r="E36" i="14"/>
  <c r="D179" i="23"/>
  <c r="E179" i="23" s="1"/>
  <c r="F5092" i="37" l="1"/>
  <c r="H5092" i="37" s="1"/>
  <c r="I5095" i="37" s="1"/>
  <c r="H5087" i="37"/>
  <c r="H5086" i="37"/>
  <c r="I5089" i="37" s="1"/>
  <c r="I311" i="55"/>
  <c r="K311" i="55" s="1"/>
  <c r="K312" i="55" s="1"/>
  <c r="E185" i="14" s="1"/>
  <c r="I280" i="55"/>
  <c r="K280" i="55" s="1"/>
  <c r="I316" i="54"/>
  <c r="K316" i="54"/>
  <c r="I178" i="54"/>
  <c r="K178" i="54" s="1"/>
  <c r="I195" i="54"/>
  <c r="K195" i="54" s="1"/>
  <c r="C79" i="23"/>
  <c r="E302" i="56" l="1"/>
  <c r="I302" i="56" s="1"/>
  <c r="K302" i="56" s="1"/>
  <c r="E193" i="56"/>
  <c r="I193" i="56" s="1"/>
  <c r="K193" i="56" s="1"/>
  <c r="E298" i="56"/>
  <c r="I298" i="56" s="1"/>
  <c r="K298" i="56" s="1"/>
  <c r="I300" i="56"/>
  <c r="K300" i="56" s="1"/>
  <c r="K304" i="56" s="1"/>
  <c r="E247" i="14" s="1"/>
  <c r="I303" i="56"/>
  <c r="K303" i="56" s="1"/>
  <c r="I301" i="56"/>
  <c r="K301" i="56" s="1"/>
  <c r="I299" i="56"/>
  <c r="K299" i="56" s="1"/>
  <c r="I194" i="56"/>
  <c r="K194" i="56" s="1"/>
  <c r="E180" i="56"/>
  <c r="I180" i="56" s="1"/>
  <c r="K180" i="56" s="1"/>
  <c r="D180" i="56"/>
  <c r="D168" i="56"/>
  <c r="I168" i="56"/>
  <c r="K168" i="56" s="1"/>
  <c r="E168" i="56"/>
  <c r="I379" i="56" l="1"/>
  <c r="K379" i="56" s="1"/>
  <c r="I378" i="56"/>
  <c r="K378" i="56" s="1"/>
  <c r="I381" i="56"/>
  <c r="K381" i="56" s="1"/>
  <c r="I380" i="56"/>
  <c r="K380" i="56" s="1"/>
  <c r="I383" i="56"/>
  <c r="K383" i="56" s="1"/>
  <c r="I382" i="56"/>
  <c r="K382" i="56" s="1"/>
  <c r="K136" i="54"/>
  <c r="I136" i="54"/>
  <c r="G2005" i="37"/>
  <c r="G1667" i="37"/>
  <c r="K137" i="54" l="1"/>
  <c r="E34" i="14" s="1"/>
  <c r="E157" i="51"/>
  <c r="D133" i="53"/>
  <c r="D58" i="53"/>
  <c r="D57" i="53"/>
  <c r="D81" i="51"/>
  <c r="D81" i="52"/>
  <c r="D80" i="52"/>
  <c r="D48" i="52"/>
  <c r="D48" i="51" l="1"/>
  <c r="G1905" i="37"/>
  <c r="G1904" i="37"/>
  <c r="G1893" i="37"/>
  <c r="G1892" i="37"/>
  <c r="G1891" i="37"/>
  <c r="I216" i="34"/>
  <c r="K216" i="34" s="1"/>
  <c r="I217" i="34"/>
  <c r="K217" i="34" s="1"/>
  <c r="I185" i="34"/>
  <c r="K185" i="34" s="1"/>
  <c r="I184" i="34"/>
  <c r="K184" i="34" s="1"/>
  <c r="G1444" i="37"/>
  <c r="I1453" i="37"/>
  <c r="G1443" i="37"/>
  <c r="K218" i="34" l="1"/>
  <c r="G2351" i="37" l="1"/>
  <c r="G2350" i="37"/>
  <c r="G2238" i="37"/>
  <c r="G2237" i="37"/>
  <c r="F2220" i="37"/>
  <c r="F2167" i="37"/>
  <c r="F2110" i="37"/>
  <c r="F1718" i="37"/>
  <c r="F1830" i="37"/>
  <c r="G1724" i="37"/>
  <c r="G1723" i="37"/>
  <c r="G1625" i="37"/>
  <c r="G1624" i="37"/>
  <c r="F1606" i="37"/>
  <c r="G1556" i="37"/>
  <c r="G1345" i="37"/>
  <c r="G1961" i="37"/>
  <c r="G1960" i="37"/>
  <c r="F1942" i="37"/>
  <c r="K177" i="34" l="1"/>
  <c r="K176" i="34"/>
  <c r="K178" i="34" s="1"/>
  <c r="E305" i="14" s="1"/>
  <c r="D129" i="34"/>
  <c r="D128" i="34"/>
  <c r="D99" i="56" l="1"/>
  <c r="K375" i="55"/>
  <c r="E261" i="54"/>
  <c r="I233" i="54"/>
  <c r="K233" i="54" s="1"/>
  <c r="G2448" i="37"/>
  <c r="G2339" i="37"/>
  <c r="G2338" i="37"/>
  <c r="G2337" i="37"/>
  <c r="G2283" i="37"/>
  <c r="G2282" i="37"/>
  <c r="H2110" i="37"/>
  <c r="F2120" i="37"/>
  <c r="H2120" i="37" s="1"/>
  <c r="F2182" i="37"/>
  <c r="H2182" i="37" s="1"/>
  <c r="G2173" i="37"/>
  <c r="G2118" i="37"/>
  <c r="G2060" i="37"/>
  <c r="G2059" i="37"/>
  <c r="G1949" i="37"/>
  <c r="G1948" i="37"/>
  <c r="G1837" i="37"/>
  <c r="G1835" i="37"/>
  <c r="G1612" i="37"/>
  <c r="G1611" i="37"/>
  <c r="G1499" i="37"/>
  <c r="G1498" i="37"/>
  <c r="D66" i="54"/>
  <c r="D65" i="54"/>
  <c r="C13" i="23" l="1"/>
  <c r="C12" i="23"/>
  <c r="C14" i="23"/>
  <c r="C15" i="23"/>
  <c r="I117" i="34" l="1"/>
  <c r="K117" i="34" s="1"/>
  <c r="I118" i="34"/>
  <c r="K118" i="34" s="1"/>
  <c r="I386" i="56"/>
  <c r="K386" i="56" s="1"/>
  <c r="I385" i="56"/>
  <c r="K385" i="56" s="1"/>
  <c r="I370" i="56"/>
  <c r="K370" i="56" s="1"/>
  <c r="I369" i="56"/>
  <c r="K369" i="56" s="1"/>
  <c r="I368" i="56"/>
  <c r="K368" i="56" s="1"/>
  <c r="I367" i="56"/>
  <c r="K367" i="56" s="1"/>
  <c r="I366" i="56"/>
  <c r="K366" i="56" s="1"/>
  <c r="I365" i="56"/>
  <c r="K365" i="56" s="1"/>
  <c r="C188" i="23"/>
  <c r="F188" i="23" s="1"/>
  <c r="K357" i="56"/>
  <c r="K358" i="56" s="1"/>
  <c r="E259" i="14" s="1"/>
  <c r="K349" i="56"/>
  <c r="F4303" i="37"/>
  <c r="H4303" i="37" s="1"/>
  <c r="I4305" i="37" s="1"/>
  <c r="I464" i="34"/>
  <c r="K464" i="34" s="1"/>
  <c r="I466" i="53"/>
  <c r="K466" i="53" s="1"/>
  <c r="K361" i="55"/>
  <c r="I361" i="55"/>
  <c r="I602" i="54"/>
  <c r="K602" i="54" s="1"/>
  <c r="K603" i="54" s="1"/>
  <c r="I323" i="56"/>
  <c r="K323" i="56" s="1"/>
  <c r="I322" i="56"/>
  <c r="K322" i="56" s="1"/>
  <c r="I321" i="56"/>
  <c r="K321" i="56" s="1"/>
  <c r="I320" i="56"/>
  <c r="K320" i="56" s="1"/>
  <c r="I319" i="56"/>
  <c r="K319" i="56" s="1"/>
  <c r="K341" i="56"/>
  <c r="K342" i="56" s="1"/>
  <c r="E257" i="14" s="1"/>
  <c r="I325" i="56"/>
  <c r="K325" i="56" s="1"/>
  <c r="I311" i="56"/>
  <c r="K311" i="56" s="1"/>
  <c r="I280" i="56"/>
  <c r="K280" i="56" s="1"/>
  <c r="K387" i="56" l="1"/>
  <c r="E267" i="14" s="1"/>
  <c r="F4297" i="37"/>
  <c r="H4297" i="37" s="1"/>
  <c r="I4300" i="37" s="1"/>
  <c r="K371" i="56"/>
  <c r="E263" i="14" s="1"/>
  <c r="K326" i="56"/>
  <c r="E249" i="14" s="1"/>
  <c r="D188" i="23"/>
  <c r="E188" i="23" s="1"/>
  <c r="I290" i="56"/>
  <c r="K290" i="56" s="1"/>
  <c r="K291" i="56" s="1"/>
  <c r="E246" i="14" s="1"/>
  <c r="I276" i="56"/>
  <c r="K276" i="56" s="1"/>
  <c r="I275" i="56"/>
  <c r="K275" i="56" s="1"/>
  <c r="I274" i="56"/>
  <c r="K274" i="56" s="1"/>
  <c r="I273" i="56"/>
  <c r="K273" i="56" s="1"/>
  <c r="I272" i="56"/>
  <c r="K272" i="56" s="1"/>
  <c r="I279" i="56"/>
  <c r="K279" i="56" s="1"/>
  <c r="I278" i="56"/>
  <c r="K278" i="56" s="1"/>
  <c r="I277" i="56"/>
  <c r="K277" i="56" s="1"/>
  <c r="I271" i="56"/>
  <c r="K271" i="56" s="1"/>
  <c r="I270" i="56"/>
  <c r="K270" i="56" s="1"/>
  <c r="I269" i="56"/>
  <c r="K269" i="56" s="1"/>
  <c r="I268" i="56"/>
  <c r="K268" i="56" s="1"/>
  <c r="I267" i="56"/>
  <c r="K267" i="56" s="1"/>
  <c r="I257" i="56"/>
  <c r="K257" i="56" s="1"/>
  <c r="I256" i="56"/>
  <c r="K256" i="56" s="1"/>
  <c r="I255" i="56"/>
  <c r="K255" i="56" s="1"/>
  <c r="I254" i="56"/>
  <c r="K254" i="56" s="1"/>
  <c r="I259" i="56"/>
  <c r="K259" i="56" s="1"/>
  <c r="I231" i="56"/>
  <c r="K231" i="56" s="1"/>
  <c r="I230" i="56"/>
  <c r="K230" i="56" s="1"/>
  <c r="I233" i="56"/>
  <c r="K233" i="56" s="1"/>
  <c r="I222" i="56"/>
  <c r="K222" i="56" s="1"/>
  <c r="I221" i="56"/>
  <c r="K221" i="56" s="1"/>
  <c r="I220" i="56"/>
  <c r="K220" i="56" s="1"/>
  <c r="I219" i="56"/>
  <c r="K219" i="56" s="1"/>
  <c r="I218" i="56"/>
  <c r="K218" i="56" s="1"/>
  <c r="I217" i="56"/>
  <c r="K217" i="56" s="1"/>
  <c r="I216" i="56"/>
  <c r="K216" i="56" s="1"/>
  <c r="I215" i="56"/>
  <c r="K215" i="56" s="1"/>
  <c r="I232" i="56"/>
  <c r="K232" i="56" s="1"/>
  <c r="I229" i="56"/>
  <c r="K229" i="56" s="1"/>
  <c r="I228" i="56"/>
  <c r="K228" i="56" s="1"/>
  <c r="I227" i="56"/>
  <c r="K227" i="56" s="1"/>
  <c r="I226" i="56"/>
  <c r="K226" i="56" s="1"/>
  <c r="I225" i="56"/>
  <c r="K225" i="56" s="1"/>
  <c r="I224" i="56"/>
  <c r="K224" i="56" s="1"/>
  <c r="I223" i="56"/>
  <c r="K223" i="56" s="1"/>
  <c r="I237" i="56"/>
  <c r="K237" i="56" s="1"/>
  <c r="I235" i="56"/>
  <c r="K235" i="56" s="1"/>
  <c r="I214" i="56"/>
  <c r="K214" i="56" s="1"/>
  <c r="I206" i="56"/>
  <c r="K206" i="56" s="1"/>
  <c r="I204" i="56"/>
  <c r="K204" i="56" s="1"/>
  <c r="I183" i="56"/>
  <c r="K183" i="56" s="1"/>
  <c r="I185" i="56"/>
  <c r="K185" i="56" s="1"/>
  <c r="I181" i="56"/>
  <c r="K181" i="56" s="1"/>
  <c r="I172" i="56"/>
  <c r="K172" i="56" s="1"/>
  <c r="I170" i="56"/>
  <c r="K170" i="56" s="1"/>
  <c r="E158" i="56"/>
  <c r="I160" i="56"/>
  <c r="K160" i="56" s="1"/>
  <c r="E138" i="56"/>
  <c r="E87" i="56"/>
  <c r="I87" i="56" s="1"/>
  <c r="K87" i="56" s="1"/>
  <c r="E25" i="56"/>
  <c r="I25" i="56" s="1"/>
  <c r="K25" i="56" s="1"/>
  <c r="I86" i="56"/>
  <c r="K86" i="56" s="1"/>
  <c r="I78" i="56"/>
  <c r="K78" i="56" s="1"/>
  <c r="I1008" i="37"/>
  <c r="I1003" i="37"/>
  <c r="K68" i="56"/>
  <c r="K69" i="56" s="1"/>
  <c r="E215" i="14" s="1"/>
  <c r="K52" i="56"/>
  <c r="K50" i="56"/>
  <c r="K48" i="56"/>
  <c r="K47" i="56"/>
  <c r="K49" i="56"/>
  <c r="K60" i="56"/>
  <c r="K61" i="56" s="1"/>
  <c r="E214" i="14" s="1"/>
  <c r="K46" i="56"/>
  <c r="K45" i="56"/>
  <c r="I37" i="56"/>
  <c r="K37" i="56" s="1"/>
  <c r="K38" i="56" s="1"/>
  <c r="E212" i="14" s="1"/>
  <c r="I29" i="56"/>
  <c r="K29" i="56" s="1"/>
  <c r="I27" i="56"/>
  <c r="K27" i="56" s="1"/>
  <c r="I17" i="56"/>
  <c r="K17" i="56" s="1"/>
  <c r="I15" i="56"/>
  <c r="K15" i="56" s="1"/>
  <c r="K393" i="56"/>
  <c r="K394" i="56" s="1"/>
  <c r="E271" i="14" s="1"/>
  <c r="K350" i="56"/>
  <c r="E258" i="14" s="1"/>
  <c r="K333" i="56"/>
  <c r="K334" i="56" s="1"/>
  <c r="E253" i="14" s="1"/>
  <c r="I282" i="56"/>
  <c r="K282" i="56" s="1"/>
  <c r="I253" i="56"/>
  <c r="K253" i="56" s="1"/>
  <c r="I245" i="56"/>
  <c r="K245" i="56" s="1"/>
  <c r="K246" i="56" s="1"/>
  <c r="E243" i="14" s="1"/>
  <c r="I196" i="56"/>
  <c r="K196" i="56" s="1"/>
  <c r="I158" i="56"/>
  <c r="K158" i="56" s="1"/>
  <c r="K161" i="56" s="1"/>
  <c r="E231" i="14" s="1"/>
  <c r="I150" i="56"/>
  <c r="K150" i="56" s="1"/>
  <c r="I138" i="56"/>
  <c r="K138" i="56" s="1"/>
  <c r="I142" i="56"/>
  <c r="K142" i="56" s="1"/>
  <c r="I140" i="56"/>
  <c r="K140" i="56" s="1"/>
  <c r="K130" i="56"/>
  <c r="K131" i="56" s="1"/>
  <c r="E228" i="14" s="1"/>
  <c r="I122" i="56"/>
  <c r="K122" i="56" s="1"/>
  <c r="I107" i="56"/>
  <c r="L107" i="56" s="1"/>
  <c r="I99" i="56"/>
  <c r="I91" i="56"/>
  <c r="K91" i="56" s="1"/>
  <c r="I89" i="56"/>
  <c r="K89" i="56" s="1"/>
  <c r="F5646" i="37"/>
  <c r="H5646" i="37" s="1"/>
  <c r="F5645" i="37"/>
  <c r="H5645" i="37" s="1"/>
  <c r="F5644" i="37"/>
  <c r="H5644" i="37" s="1"/>
  <c r="F5643" i="37"/>
  <c r="H5643" i="37" s="1"/>
  <c r="F5642" i="37"/>
  <c r="H5642" i="37" s="1"/>
  <c r="F125" i="23"/>
  <c r="D125" i="23"/>
  <c r="E125" i="23" s="1"/>
  <c r="F5651" i="37"/>
  <c r="H5651" i="37" s="1"/>
  <c r="I5654" i="37" s="1"/>
  <c r="I354" i="55"/>
  <c r="K354" i="55" s="1"/>
  <c r="K355" i="55" s="1"/>
  <c r="E194" i="14" s="1"/>
  <c r="F6548" i="37"/>
  <c r="H6548" i="37" s="1"/>
  <c r="I6551" i="37" s="1"/>
  <c r="H6541" i="37"/>
  <c r="C189" i="23"/>
  <c r="F189" i="23" s="1"/>
  <c r="I347" i="55"/>
  <c r="K347" i="55" s="1"/>
  <c r="I339" i="55"/>
  <c r="K339" i="55" s="1"/>
  <c r="K340" i="55" s="1"/>
  <c r="E192" i="14" s="1"/>
  <c r="E332" i="55"/>
  <c r="F5590" i="37"/>
  <c r="H5590" i="37" s="1"/>
  <c r="F5589" i="37"/>
  <c r="F5588" i="37"/>
  <c r="H5588" i="37" s="1"/>
  <c r="F5587" i="37"/>
  <c r="H5587" i="37" s="1"/>
  <c r="F5536" i="37"/>
  <c r="H5536" i="37" s="1"/>
  <c r="F5535" i="37"/>
  <c r="H5535" i="37" s="1"/>
  <c r="F5534" i="37"/>
  <c r="H5534" i="37" s="1"/>
  <c r="F5533" i="37"/>
  <c r="H5533" i="37" s="1"/>
  <c r="F5482" i="37"/>
  <c r="H5482" i="37" s="1"/>
  <c r="F5481" i="37"/>
  <c r="H5481" i="37" s="1"/>
  <c r="F5480" i="37"/>
  <c r="H5480" i="37" s="1"/>
  <c r="F5479" i="37"/>
  <c r="H5479" i="37" s="1"/>
  <c r="F5595" i="37"/>
  <c r="H5595" i="37" s="1"/>
  <c r="I5598" i="37" s="1"/>
  <c r="H5589" i="37"/>
  <c r="F5541" i="37"/>
  <c r="H5541" i="37" s="1"/>
  <c r="I5544" i="37" s="1"/>
  <c r="F5487" i="37"/>
  <c r="H5487" i="37" s="1"/>
  <c r="I5490" i="37" s="1"/>
  <c r="F6540" i="37" l="1"/>
  <c r="H6540" i="37" s="1"/>
  <c r="K173" i="56"/>
  <c r="E235" i="14" s="1"/>
  <c r="K197" i="56"/>
  <c r="E237" i="14" s="1"/>
  <c r="K186" i="56"/>
  <c r="E236" i="14" s="1"/>
  <c r="K348" i="55"/>
  <c r="E193" i="14" s="1"/>
  <c r="I6545" i="37"/>
  <c r="K143" i="56"/>
  <c r="E229" i="14" s="1"/>
  <c r="K283" i="56"/>
  <c r="E245" i="14" s="1"/>
  <c r="K207" i="56"/>
  <c r="E241" i="14" s="1"/>
  <c r="K260" i="56"/>
  <c r="E244" i="14" s="1"/>
  <c r="K238" i="56"/>
  <c r="E242" i="14" s="1"/>
  <c r="K30" i="56"/>
  <c r="K92" i="56"/>
  <c r="E220" i="14" s="1"/>
  <c r="E77" i="56"/>
  <c r="I77" i="56" s="1"/>
  <c r="K77" i="56" s="1"/>
  <c r="K53" i="56"/>
  <c r="E213" i="14" s="1"/>
  <c r="K18" i="56"/>
  <c r="K312" i="56"/>
  <c r="E248" i="14" s="1"/>
  <c r="K151" i="56"/>
  <c r="E230" i="14" s="1"/>
  <c r="L108" i="56"/>
  <c r="E222" i="14" s="1"/>
  <c r="K123" i="56"/>
  <c r="E227" i="14" s="1"/>
  <c r="K99" i="56"/>
  <c r="K100" i="56" s="1"/>
  <c r="E221" i="14" s="1"/>
  <c r="I5648" i="37"/>
  <c r="D189" i="23"/>
  <c r="E189" i="23" s="1"/>
  <c r="I5484" i="37"/>
  <c r="I5538" i="37"/>
  <c r="I5592" i="37"/>
  <c r="E75" i="56" l="1"/>
  <c r="I75" i="56" s="1"/>
  <c r="K75" i="56" s="1"/>
  <c r="E210" i="14"/>
  <c r="E76" i="56"/>
  <c r="I76" i="56" s="1"/>
  <c r="K76" i="56" s="1"/>
  <c r="E211" i="14"/>
  <c r="I114" i="56"/>
  <c r="K114" i="56" s="1"/>
  <c r="K115" i="56" s="1"/>
  <c r="E223" i="14" s="1"/>
  <c r="K79" i="56" l="1"/>
  <c r="E216" i="14" s="1"/>
  <c r="I184" i="55"/>
  <c r="K184" i="55" s="1"/>
  <c r="I171" i="55"/>
  <c r="K171" i="55" s="1"/>
  <c r="I152" i="55"/>
  <c r="K152" i="55" s="1"/>
  <c r="I144" i="55"/>
  <c r="K144" i="55" s="1"/>
  <c r="I210" i="55"/>
  <c r="D196" i="55"/>
  <c r="I196" i="55"/>
  <c r="E189" i="55"/>
  <c r="I189" i="55" s="1"/>
  <c r="K189" i="55" s="1"/>
  <c r="E188" i="55"/>
  <c r="I188" i="55" s="1"/>
  <c r="K188" i="55" s="1"/>
  <c r="I187" i="55"/>
  <c r="K187" i="55" s="1"/>
  <c r="I186" i="55"/>
  <c r="K186" i="55" s="1"/>
  <c r="I185" i="55"/>
  <c r="D185" i="55"/>
  <c r="I183" i="55"/>
  <c r="D183" i="55"/>
  <c r="E176" i="55"/>
  <c r="I176" i="55" s="1"/>
  <c r="E175" i="55"/>
  <c r="I175" i="55" s="1"/>
  <c r="I174" i="55"/>
  <c r="K174" i="55" s="1"/>
  <c r="I173" i="55"/>
  <c r="K173" i="55" s="1"/>
  <c r="I172" i="55"/>
  <c r="D172" i="55"/>
  <c r="I170" i="55"/>
  <c r="D170" i="55"/>
  <c r="E163" i="55"/>
  <c r="I163" i="55" s="1"/>
  <c r="K163" i="55" s="1"/>
  <c r="E162" i="55"/>
  <c r="I154" i="55"/>
  <c r="K154" i="55" s="1"/>
  <c r="I153" i="55"/>
  <c r="D153" i="55"/>
  <c r="I151" i="55"/>
  <c r="D151" i="55"/>
  <c r="D143" i="55"/>
  <c r="D65" i="55"/>
  <c r="I129" i="55"/>
  <c r="K129" i="55" s="1"/>
  <c r="K130" i="55" s="1"/>
  <c r="E150" i="14" s="1"/>
  <c r="I122" i="55"/>
  <c r="I41" i="55"/>
  <c r="K41" i="55" s="1"/>
  <c r="K42" i="55" s="1"/>
  <c r="E132" i="14" s="1"/>
  <c r="I34" i="55"/>
  <c r="K34" i="55" s="1"/>
  <c r="K35" i="55" s="1"/>
  <c r="E49" i="55" s="1"/>
  <c r="I49" i="55" s="1"/>
  <c r="K49" i="55" s="1"/>
  <c r="I27" i="55"/>
  <c r="K27" i="55" s="1"/>
  <c r="K28" i="55" s="1"/>
  <c r="E48" i="55" s="1"/>
  <c r="I48" i="55" s="1"/>
  <c r="K48" i="55" s="1"/>
  <c r="I20" i="55"/>
  <c r="K20" i="55" s="1"/>
  <c r="K382" i="55"/>
  <c r="K383" i="55" s="1"/>
  <c r="K376" i="55"/>
  <c r="E203" i="14" s="1"/>
  <c r="I368" i="55"/>
  <c r="K368" i="55" s="1"/>
  <c r="K362" i="55"/>
  <c r="E198" i="14" s="1"/>
  <c r="I332" i="55"/>
  <c r="K332" i="55" s="1"/>
  <c r="K333" i="55" s="1"/>
  <c r="E191" i="14" s="1"/>
  <c r="I325" i="55"/>
  <c r="K325" i="55" s="1"/>
  <c r="I318" i="55"/>
  <c r="K318" i="55" s="1"/>
  <c r="K319" i="55" s="1"/>
  <c r="E189" i="14" s="1"/>
  <c r="H304" i="55"/>
  <c r="I304" i="55" s="1"/>
  <c r="K304" i="55" s="1"/>
  <c r="K305" i="55" s="1"/>
  <c r="E184" i="14" s="1"/>
  <c r="H297" i="55"/>
  <c r="I297" i="55" s="1"/>
  <c r="K297" i="55" s="1"/>
  <c r="K298" i="55" s="1"/>
  <c r="E183" i="14" s="1"/>
  <c r="I290" i="55"/>
  <c r="K290" i="55" s="1"/>
  <c r="I273" i="55"/>
  <c r="K273" i="55" s="1"/>
  <c r="K274" i="55" s="1"/>
  <c r="H281" i="55" s="1"/>
  <c r="I281" i="55" s="1"/>
  <c r="K281" i="55" s="1"/>
  <c r="I266" i="55"/>
  <c r="K266" i="55" s="1"/>
  <c r="K267" i="55" s="1"/>
  <c r="H283" i="55" s="1"/>
  <c r="I283" i="55" s="1"/>
  <c r="K283" i="55" s="1"/>
  <c r="I259" i="55"/>
  <c r="K259" i="55" s="1"/>
  <c r="K260" i="55" s="1"/>
  <c r="H282" i="55" s="1"/>
  <c r="I282" i="55" s="1"/>
  <c r="K282" i="55" s="1"/>
  <c r="K252" i="55"/>
  <c r="K253" i="55" s="1"/>
  <c r="E174" i="14" s="1"/>
  <c r="I245" i="55"/>
  <c r="K245" i="55" s="1"/>
  <c r="K238" i="55"/>
  <c r="K239" i="55" s="1"/>
  <c r="E172" i="14" s="1"/>
  <c r="K231" i="55"/>
  <c r="K232" i="55" s="1"/>
  <c r="I224" i="55"/>
  <c r="K224" i="55" s="1"/>
  <c r="I217" i="55"/>
  <c r="K217" i="55" s="1"/>
  <c r="K210" i="55"/>
  <c r="K211" i="55" s="1"/>
  <c r="E165" i="14" s="1"/>
  <c r="I203" i="55"/>
  <c r="K203" i="55" s="1"/>
  <c r="K204" i="55" s="1"/>
  <c r="E164" i="14" s="1"/>
  <c r="I162" i="55"/>
  <c r="K162" i="55" s="1"/>
  <c r="K164" i="55" s="1"/>
  <c r="E157" i="14" s="1"/>
  <c r="I155" i="55"/>
  <c r="I143" i="55"/>
  <c r="I136" i="55"/>
  <c r="K136" i="55" s="1"/>
  <c r="K122" i="55"/>
  <c r="K123" i="55" s="1"/>
  <c r="E149" i="14" s="1"/>
  <c r="I115" i="55"/>
  <c r="K115" i="55" s="1"/>
  <c r="I108" i="55"/>
  <c r="K108" i="55" s="1"/>
  <c r="I101" i="55"/>
  <c r="K101" i="55" s="1"/>
  <c r="K94" i="55"/>
  <c r="K95" i="55" s="1"/>
  <c r="E145" i="14" s="1"/>
  <c r="I87" i="55"/>
  <c r="K87" i="55" s="1"/>
  <c r="K88" i="55" s="1"/>
  <c r="E144" i="14" s="1"/>
  <c r="I73" i="55"/>
  <c r="L73" i="55" s="1"/>
  <c r="I72" i="55"/>
  <c r="L72" i="55" s="1"/>
  <c r="I65" i="55"/>
  <c r="I58" i="55"/>
  <c r="K58" i="55" s="1"/>
  <c r="I57" i="55"/>
  <c r="K57" i="55" s="1"/>
  <c r="I13" i="55"/>
  <c r="K13" i="55" s="1"/>
  <c r="K14" i="55" s="1"/>
  <c r="E128" i="14" s="1"/>
  <c r="E179" i="14" l="1"/>
  <c r="E180" i="14"/>
  <c r="E178" i="14"/>
  <c r="K284" i="55"/>
  <c r="E181" i="14" s="1"/>
  <c r="K196" i="55"/>
  <c r="K185" i="55"/>
  <c r="K183" i="55"/>
  <c r="K190" i="55" s="1"/>
  <c r="E162" i="14" s="1"/>
  <c r="K176" i="55"/>
  <c r="K175" i="55"/>
  <c r="K170" i="55"/>
  <c r="K172" i="55"/>
  <c r="K153" i="55"/>
  <c r="K151" i="55"/>
  <c r="L74" i="55"/>
  <c r="E139" i="14" s="1"/>
  <c r="K59" i="55"/>
  <c r="E137" i="14" s="1"/>
  <c r="K116" i="55"/>
  <c r="E148" i="14" s="1"/>
  <c r="K197" i="55"/>
  <c r="E163" i="14" s="1"/>
  <c r="K102" i="55"/>
  <c r="E146" i="14" s="1"/>
  <c r="E50" i="55"/>
  <c r="I50" i="55" s="1"/>
  <c r="K50" i="55" s="1"/>
  <c r="K51" i="55" s="1"/>
  <c r="E133" i="14" s="1"/>
  <c r="E130" i="14"/>
  <c r="E131" i="14"/>
  <c r="K137" i="55"/>
  <c r="E151" i="14" s="1"/>
  <c r="K155" i="55"/>
  <c r="K369" i="55"/>
  <c r="E199" i="14" s="1"/>
  <c r="K326" i="55"/>
  <c r="E190" i="14" s="1"/>
  <c r="K225" i="55"/>
  <c r="E167" i="14" s="1"/>
  <c r="K291" i="55"/>
  <c r="E182" i="14" s="1"/>
  <c r="K65" i="55"/>
  <c r="K66" i="55" s="1"/>
  <c r="E138" i="14" s="1"/>
  <c r="K143" i="55"/>
  <c r="K218" i="55"/>
  <c r="E166" i="14" s="1"/>
  <c r="K246" i="55"/>
  <c r="E173" i="14" s="1"/>
  <c r="K21" i="55"/>
  <c r="E129" i="14" s="1"/>
  <c r="K109" i="55"/>
  <c r="E147" i="14" s="1"/>
  <c r="K145" i="55" l="1"/>
  <c r="E155" i="14" s="1"/>
  <c r="K156" i="55"/>
  <c r="E156" i="14" s="1"/>
  <c r="K177" i="55"/>
  <c r="E161" i="14" s="1"/>
  <c r="I80" i="55"/>
  <c r="K80" i="55" s="1"/>
  <c r="K81" i="55" s="1"/>
  <c r="E140" i="14" s="1"/>
  <c r="I479" i="34"/>
  <c r="K479" i="34" s="1"/>
  <c r="I478" i="34"/>
  <c r="K478" i="34" s="1"/>
  <c r="I634" i="54"/>
  <c r="K634" i="54" s="1"/>
  <c r="I633" i="54"/>
  <c r="K633" i="54" s="1"/>
  <c r="K635" i="54" s="1"/>
  <c r="I619" i="54"/>
  <c r="K619" i="54" s="1"/>
  <c r="I618" i="54"/>
  <c r="K618" i="54" s="1"/>
  <c r="K620" i="54" s="1"/>
  <c r="G6486" i="37"/>
  <c r="F6493" i="37"/>
  <c r="H6493" i="37" s="1"/>
  <c r="F6492" i="37"/>
  <c r="F6491" i="37"/>
  <c r="H6491" i="37" s="1"/>
  <c r="F6490" i="37"/>
  <c r="H6490" i="37" s="1"/>
  <c r="F6489" i="37"/>
  <c r="H6489" i="37" s="1"/>
  <c r="F6488" i="37"/>
  <c r="H6488" i="37" s="1"/>
  <c r="F6485" i="37"/>
  <c r="H6485" i="37" s="1"/>
  <c r="F6486" i="37"/>
  <c r="F6487" i="37"/>
  <c r="H6487" i="37" s="1"/>
  <c r="F6484" i="37"/>
  <c r="H6484" i="37" s="1"/>
  <c r="F6499" i="37"/>
  <c r="H6499" i="37" s="1"/>
  <c r="I6501" i="37" s="1"/>
  <c r="H6494" i="37"/>
  <c r="H6492" i="37"/>
  <c r="I611" i="54"/>
  <c r="K611" i="54" s="1"/>
  <c r="I610" i="54"/>
  <c r="K610" i="54" s="1"/>
  <c r="I609" i="54"/>
  <c r="K609" i="54" s="1"/>
  <c r="E110" i="14"/>
  <c r="I595" i="54"/>
  <c r="K595" i="54" s="1"/>
  <c r="I581" i="54"/>
  <c r="K581" i="54" s="1"/>
  <c r="I580" i="54"/>
  <c r="K580" i="54" s="1"/>
  <c r="I579" i="54"/>
  <c r="K579" i="54" s="1"/>
  <c r="F5427" i="37"/>
  <c r="H5427" i="37" s="1"/>
  <c r="F5426" i="37"/>
  <c r="F5425" i="37"/>
  <c r="F5424" i="37"/>
  <c r="H5424" i="37" s="1"/>
  <c r="F5432" i="37"/>
  <c r="H5432" i="37" s="1"/>
  <c r="I5434" i="37" s="1"/>
  <c r="H5426" i="37"/>
  <c r="H5425" i="37"/>
  <c r="E105" i="14"/>
  <c r="I530" i="54"/>
  <c r="K530" i="54" s="1"/>
  <c r="I529" i="54"/>
  <c r="K529" i="54" s="1"/>
  <c r="K531" i="54" s="1"/>
  <c r="I558" i="54"/>
  <c r="K558" i="54" s="1"/>
  <c r="H551" i="54"/>
  <c r="I551" i="54" s="1"/>
  <c r="K551" i="54" s="1"/>
  <c r="K552" i="54" s="1"/>
  <c r="H537" i="54"/>
  <c r="I537" i="54" s="1"/>
  <c r="H491" i="54"/>
  <c r="H498" i="54"/>
  <c r="H505" i="54"/>
  <c r="K565" i="54"/>
  <c r="H544" i="54"/>
  <c r="I522" i="54"/>
  <c r="K522" i="54" s="1"/>
  <c r="I521" i="54"/>
  <c r="K521" i="54" s="1"/>
  <c r="I520" i="54"/>
  <c r="K520" i="54" s="1"/>
  <c r="I519" i="54"/>
  <c r="K519" i="54" s="1"/>
  <c r="C174" i="23"/>
  <c r="F5150" i="37"/>
  <c r="H5150" i="37" s="1"/>
  <c r="I5152" i="37" s="1"/>
  <c r="G5144" i="37"/>
  <c r="G5143" i="37"/>
  <c r="F5030" i="37"/>
  <c r="C180" i="23"/>
  <c r="D180" i="23"/>
  <c r="E180" i="23" s="1"/>
  <c r="F180" i="23"/>
  <c r="F4973" i="37"/>
  <c r="C178" i="23"/>
  <c r="F4916" i="37" s="1"/>
  <c r="F178" i="23"/>
  <c r="F174" i="23"/>
  <c r="C171" i="23"/>
  <c r="F4858" i="37" s="1"/>
  <c r="K559" i="54" l="1"/>
  <c r="E98" i="14" s="1"/>
  <c r="K596" i="54"/>
  <c r="E109" i="14" s="1"/>
  <c r="K523" i="54"/>
  <c r="K582" i="54"/>
  <c r="K566" i="54"/>
  <c r="E99" i="14" s="1"/>
  <c r="K612" i="54"/>
  <c r="E117" i="14"/>
  <c r="E111" i="14"/>
  <c r="E112" i="14"/>
  <c r="F171" i="23"/>
  <c r="D178" i="23"/>
  <c r="E178" i="23" s="1"/>
  <c r="K480" i="34"/>
  <c r="E369" i="14" s="1"/>
  <c r="H6486" i="37"/>
  <c r="I6496" i="37" s="1"/>
  <c r="I5429" i="37"/>
  <c r="E104" i="14"/>
  <c r="E96" i="14"/>
  <c r="E97" i="14"/>
  <c r="K537" i="54"/>
  <c r="I544" i="54"/>
  <c r="K544" i="54" s="1"/>
  <c r="K545" i="54" s="1"/>
  <c r="E93" i="14"/>
  <c r="E94" i="14"/>
  <c r="D174" i="23"/>
  <c r="E174" i="23" s="1"/>
  <c r="D171" i="23"/>
  <c r="E171" i="23" s="1"/>
  <c r="K538" i="54" l="1"/>
  <c r="E95" i="14" s="1"/>
  <c r="F5036" i="37"/>
  <c r="H5036" i="37" s="1"/>
  <c r="I5039" i="37" s="1"/>
  <c r="H5031" i="37"/>
  <c r="H5030" i="37"/>
  <c r="F4753" i="37"/>
  <c r="H4753" i="37" s="1"/>
  <c r="I4755" i="37" s="1"/>
  <c r="F4811" i="37"/>
  <c r="H4811" i="37" s="1"/>
  <c r="I4813" i="37" s="1"/>
  <c r="H4858" i="37"/>
  <c r="F4864" i="37"/>
  <c r="H4864" i="37" s="1"/>
  <c r="I4866" i="37" s="1"/>
  <c r="D4869" i="37"/>
  <c r="F4869" i="37" s="1"/>
  <c r="H4869" i="37" s="1"/>
  <c r="D4870" i="37"/>
  <c r="F4870" i="37" s="1"/>
  <c r="H4870" i="37" s="1"/>
  <c r="H4916" i="37"/>
  <c r="H4917" i="37"/>
  <c r="F4922" i="37"/>
  <c r="H4922" i="37" s="1"/>
  <c r="I4924" i="37" s="1"/>
  <c r="H4973" i="37"/>
  <c r="F4979" i="37"/>
  <c r="H4979" i="37" s="1"/>
  <c r="I4982" i="37" s="1"/>
  <c r="K477" i="54"/>
  <c r="G4243" i="37"/>
  <c r="G4242" i="37"/>
  <c r="F4249" i="37"/>
  <c r="H4249" i="37" s="1"/>
  <c r="I4251" i="37" s="1"/>
  <c r="F4185" i="37"/>
  <c r="F4186" i="37"/>
  <c r="H4186" i="37" s="1"/>
  <c r="F4187" i="37"/>
  <c r="H4187" i="37" s="1"/>
  <c r="F4188" i="37"/>
  <c r="H4188" i="37" s="1"/>
  <c r="F4184" i="37"/>
  <c r="F4129" i="37"/>
  <c r="H4129" i="37" s="1"/>
  <c r="F4130" i="37"/>
  <c r="H4130" i="37" s="1"/>
  <c r="F4131" i="37"/>
  <c r="F4132" i="37"/>
  <c r="H4132" i="37" s="1"/>
  <c r="F4128" i="37"/>
  <c r="F4077" i="37"/>
  <c r="H4077" i="37" s="1"/>
  <c r="F4076" i="37"/>
  <c r="H4076" i="37" s="1"/>
  <c r="F4074" i="37"/>
  <c r="H4074" i="37" s="1"/>
  <c r="F4075" i="37"/>
  <c r="H4075" i="37" s="1"/>
  <c r="F4073" i="37"/>
  <c r="H4073" i="37" s="1"/>
  <c r="F4018" i="37"/>
  <c r="F4019" i="37"/>
  <c r="H4019" i="37" s="1"/>
  <c r="F4020" i="37"/>
  <c r="H4020" i="37" s="1"/>
  <c r="F4021" i="37"/>
  <c r="H4021" i="37" s="1"/>
  <c r="F4017" i="37"/>
  <c r="F3962" i="37"/>
  <c r="H3962" i="37" s="1"/>
  <c r="F3963" i="37"/>
  <c r="H3963" i="37" s="1"/>
  <c r="F3964" i="37"/>
  <c r="H3964" i="37" s="1"/>
  <c r="F3965" i="37"/>
  <c r="H3965" i="37" s="1"/>
  <c r="F3961" i="37"/>
  <c r="H3961" i="37" s="1"/>
  <c r="F3906" i="37"/>
  <c r="H3906" i="37" s="1"/>
  <c r="F3907" i="37"/>
  <c r="H3907" i="37" s="1"/>
  <c r="F3908" i="37"/>
  <c r="H3908" i="37" s="1"/>
  <c r="F3909" i="37"/>
  <c r="H3909" i="37" s="1"/>
  <c r="F3905" i="37"/>
  <c r="H3905" i="37" s="1"/>
  <c r="F3915" i="37"/>
  <c r="H3915" i="37" s="1"/>
  <c r="I3918" i="37" s="1"/>
  <c r="F3850" i="37"/>
  <c r="H3850" i="37" s="1"/>
  <c r="F3851" i="37"/>
  <c r="H3851" i="37" s="1"/>
  <c r="F3852" i="37"/>
  <c r="H3852" i="37" s="1"/>
  <c r="F3853" i="37"/>
  <c r="H3853" i="37" s="1"/>
  <c r="F3854" i="37"/>
  <c r="H3854" i="37" s="1"/>
  <c r="F3855" i="37"/>
  <c r="H3855" i="37" s="1"/>
  <c r="F3849" i="37"/>
  <c r="H3849" i="37" s="1"/>
  <c r="F3797" i="37"/>
  <c r="H3797" i="37" s="1"/>
  <c r="F3794" i="37"/>
  <c r="H3794" i="37" s="1"/>
  <c r="F3795" i="37"/>
  <c r="H3795" i="37" s="1"/>
  <c r="F3796" i="37"/>
  <c r="H3796" i="37" s="1"/>
  <c r="F3793" i="37"/>
  <c r="H3793" i="37" s="1"/>
  <c r="F4194" i="37"/>
  <c r="H4194" i="37" s="1"/>
  <c r="I4197" i="37" s="1"/>
  <c r="H4185" i="37"/>
  <c r="H4184" i="37"/>
  <c r="F4138" i="37"/>
  <c r="H4138" i="37" s="1"/>
  <c r="I4141" i="37" s="1"/>
  <c r="H4131" i="37"/>
  <c r="H4128" i="37"/>
  <c r="F4083" i="37"/>
  <c r="H4083" i="37" s="1"/>
  <c r="I4086" i="37" s="1"/>
  <c r="F4027" i="37"/>
  <c r="H4027" i="37" s="1"/>
  <c r="I4030" i="37" s="1"/>
  <c r="H4018" i="37"/>
  <c r="H4017" i="37"/>
  <c r="F3971" i="37"/>
  <c r="H3971" i="37" s="1"/>
  <c r="I3974" i="37" s="1"/>
  <c r="F3861" i="37"/>
  <c r="H3861" i="37" s="1"/>
  <c r="I3864" i="37" s="1"/>
  <c r="F3803" i="37"/>
  <c r="H3803" i="37" s="1"/>
  <c r="I3806" i="37" s="1"/>
  <c r="I470" i="54"/>
  <c r="K470" i="54" s="1"/>
  <c r="I467" i="54"/>
  <c r="K467" i="54" s="1"/>
  <c r="K432" i="54"/>
  <c r="I469" i="54"/>
  <c r="K469" i="54" s="1"/>
  <c r="I468" i="54"/>
  <c r="K468" i="54" s="1"/>
  <c r="I460" i="54"/>
  <c r="K460" i="54" s="1"/>
  <c r="I453" i="54"/>
  <c r="K453" i="54" s="1"/>
  <c r="I446" i="54"/>
  <c r="K446" i="54" s="1"/>
  <c r="K439" i="54"/>
  <c r="K425" i="54"/>
  <c r="K418" i="54"/>
  <c r="I397" i="54"/>
  <c r="K397" i="54" s="1"/>
  <c r="I396" i="54"/>
  <c r="K396" i="54" s="1"/>
  <c r="I389" i="54"/>
  <c r="K389" i="54" s="1"/>
  <c r="K382" i="54"/>
  <c r="F3459" i="37"/>
  <c r="H3459" i="37" s="1"/>
  <c r="F3404" i="37"/>
  <c r="H3404" i="37" s="1"/>
  <c r="F3405" i="37"/>
  <c r="H3405" i="37" s="1"/>
  <c r="F3403" i="37"/>
  <c r="H3403" i="37" s="1"/>
  <c r="F3350" i="37"/>
  <c r="H3350" i="37" s="1"/>
  <c r="F3348" i="37"/>
  <c r="H3348" i="37" s="1"/>
  <c r="F3349" i="37"/>
  <c r="H3349" i="37" s="1"/>
  <c r="F3347" i="37"/>
  <c r="H3347" i="37" s="1"/>
  <c r="F3467" i="37"/>
  <c r="H3467" i="37" s="1"/>
  <c r="I3469" i="37" s="1"/>
  <c r="F3411" i="37"/>
  <c r="H3411" i="37" s="1"/>
  <c r="I3413" i="37" s="1"/>
  <c r="F3356" i="37"/>
  <c r="H3356" i="37" s="1"/>
  <c r="I3358" i="37" s="1"/>
  <c r="K383" i="54" l="1"/>
  <c r="E67" i="14" s="1"/>
  <c r="K419" i="54"/>
  <c r="E76" i="14" s="1"/>
  <c r="E81" i="14"/>
  <c r="K454" i="54"/>
  <c r="K433" i="54"/>
  <c r="E78" i="14" s="1"/>
  <c r="K398" i="54"/>
  <c r="K440" i="54"/>
  <c r="E79" i="14" s="1"/>
  <c r="K447" i="54"/>
  <c r="E80" i="14" s="1"/>
  <c r="K390" i="54"/>
  <c r="E68" i="14" s="1"/>
  <c r="E77" i="14"/>
  <c r="K426" i="54"/>
  <c r="K461" i="54"/>
  <c r="E82" i="14" s="1"/>
  <c r="K471" i="54"/>
  <c r="E83" i="14" s="1"/>
  <c r="E84" i="14"/>
  <c r="K478" i="54"/>
  <c r="I5033" i="37"/>
  <c r="E69" i="14"/>
  <c r="I4919" i="37"/>
  <c r="I4872" i="37"/>
  <c r="H4853" i="37" s="1"/>
  <c r="I4855" i="37" s="1"/>
  <c r="F3182" i="37" l="1"/>
  <c r="H3182" i="37" s="1"/>
  <c r="F3181" i="37"/>
  <c r="F3180" i="37"/>
  <c r="H3180" i="37" s="1"/>
  <c r="F3179" i="37"/>
  <c r="H3179" i="37" s="1"/>
  <c r="F3187" i="37"/>
  <c r="H3187" i="37" s="1"/>
  <c r="I3190" i="37" s="1"/>
  <c r="H3181" i="37"/>
  <c r="I368" i="54"/>
  <c r="I367" i="54"/>
  <c r="K367" i="54" s="1"/>
  <c r="I366" i="54"/>
  <c r="K366" i="54" s="1"/>
  <c r="I365" i="54"/>
  <c r="K365" i="54" s="1"/>
  <c r="K368" i="54"/>
  <c r="I356" i="54"/>
  <c r="K356" i="54" s="1"/>
  <c r="I358" i="54"/>
  <c r="K358" i="54" s="1"/>
  <c r="I357" i="54"/>
  <c r="K357" i="54" s="1"/>
  <c r="I355" i="54"/>
  <c r="K355" i="54" s="1"/>
  <c r="F3124" i="37"/>
  <c r="H3124" i="37" s="1"/>
  <c r="F3121" i="37"/>
  <c r="H3121" i="37" s="1"/>
  <c r="F49" i="23"/>
  <c r="D49" i="23"/>
  <c r="E49" i="23" s="1"/>
  <c r="F48" i="23"/>
  <c r="D48" i="23"/>
  <c r="E48" i="23" s="1"/>
  <c r="F3130" i="37"/>
  <c r="H3130" i="37" s="1"/>
  <c r="I3133" i="37" s="1"/>
  <c r="G3122" i="37"/>
  <c r="E347" i="54"/>
  <c r="I339" i="54"/>
  <c r="K339" i="54" s="1"/>
  <c r="I338" i="54"/>
  <c r="K338" i="54" s="1"/>
  <c r="I337" i="54"/>
  <c r="K337" i="54" s="1"/>
  <c r="K340" i="54" s="1"/>
  <c r="E323" i="54"/>
  <c r="I315" i="54"/>
  <c r="K315" i="54" s="1"/>
  <c r="I314" i="54"/>
  <c r="K314" i="54" s="1"/>
  <c r="K317" i="54" s="1"/>
  <c r="I307" i="54"/>
  <c r="K307" i="54" s="1"/>
  <c r="I306" i="54"/>
  <c r="K306" i="54" s="1"/>
  <c r="I305" i="54"/>
  <c r="K305" i="54" s="1"/>
  <c r="I304" i="54"/>
  <c r="K304" i="54" s="1"/>
  <c r="I303" i="54"/>
  <c r="K303" i="54" s="1"/>
  <c r="I302" i="54"/>
  <c r="K302" i="54" s="1"/>
  <c r="I301" i="54"/>
  <c r="K301" i="54" s="1"/>
  <c r="I300" i="54"/>
  <c r="I299" i="54"/>
  <c r="K299" i="54" s="1"/>
  <c r="I298" i="54"/>
  <c r="K298" i="54" s="1"/>
  <c r="I297" i="54"/>
  <c r="K297" i="54" s="1"/>
  <c r="E296" i="54"/>
  <c r="I296" i="54" s="1"/>
  <c r="K296" i="54" s="1"/>
  <c r="E295" i="54"/>
  <c r="I295" i="54" s="1"/>
  <c r="D295" i="54"/>
  <c r="I294" i="54"/>
  <c r="K294" i="54" s="1"/>
  <c r="I293" i="54"/>
  <c r="K293" i="54" s="1"/>
  <c r="E292" i="54"/>
  <c r="I292" i="54" s="1"/>
  <c r="D292" i="54"/>
  <c r="I291" i="54"/>
  <c r="D291" i="54"/>
  <c r="I284" i="54"/>
  <c r="K284" i="54" s="1"/>
  <c r="I283" i="54"/>
  <c r="K283" i="54" s="1"/>
  <c r="I282" i="54"/>
  <c r="K282" i="54" s="1"/>
  <c r="I281" i="54"/>
  <c r="K281" i="54" s="1"/>
  <c r="I280" i="54"/>
  <c r="K280" i="54" s="1"/>
  <c r="I279" i="54"/>
  <c r="K279" i="54" s="1"/>
  <c r="I278" i="54"/>
  <c r="K278" i="54" s="1"/>
  <c r="I277" i="54"/>
  <c r="I276" i="54"/>
  <c r="K276" i="54" s="1"/>
  <c r="I275" i="54"/>
  <c r="K275" i="54" s="1"/>
  <c r="I274" i="54"/>
  <c r="K274" i="54" s="1"/>
  <c r="E273" i="54"/>
  <c r="I273" i="54" s="1"/>
  <c r="K273" i="54" s="1"/>
  <c r="E272" i="54"/>
  <c r="I272" i="54" s="1"/>
  <c r="D272" i="54"/>
  <c r="I271" i="54"/>
  <c r="K271" i="54" s="1"/>
  <c r="I270" i="54"/>
  <c r="K270" i="54" s="1"/>
  <c r="E269" i="54"/>
  <c r="I269" i="54" s="1"/>
  <c r="D269" i="54"/>
  <c r="I268" i="54"/>
  <c r="D268" i="54"/>
  <c r="I261" i="54"/>
  <c r="K261" i="54" s="1"/>
  <c r="I248" i="54"/>
  <c r="K248" i="54" s="1"/>
  <c r="I247" i="54"/>
  <c r="K247" i="54" s="1"/>
  <c r="K369" i="54" l="1"/>
  <c r="E62" i="14" s="1"/>
  <c r="K262" i="54"/>
  <c r="E50" i="14" s="1"/>
  <c r="K359" i="54"/>
  <c r="E61" i="14" s="1"/>
  <c r="E56" i="14"/>
  <c r="E59" i="14"/>
  <c r="F3183" i="37"/>
  <c r="H3183" i="37" s="1"/>
  <c r="I3184" i="37" s="1"/>
  <c r="K291" i="54"/>
  <c r="K300" i="54"/>
  <c r="K295" i="54"/>
  <c r="K277" i="54"/>
  <c r="K292" i="54"/>
  <c r="K268" i="54"/>
  <c r="K269" i="54"/>
  <c r="K272" i="54"/>
  <c r="I246" i="54"/>
  <c r="K246" i="54" s="1"/>
  <c r="I251" i="54"/>
  <c r="K251" i="54" s="1"/>
  <c r="I254" i="54"/>
  <c r="K254" i="54" s="1"/>
  <c r="I252" i="54"/>
  <c r="K252" i="54" s="1"/>
  <c r="I253" i="54"/>
  <c r="K253" i="54" s="1"/>
  <c r="I250" i="54"/>
  <c r="K250" i="54" s="1"/>
  <c r="I232" i="54"/>
  <c r="I221" i="54"/>
  <c r="K221" i="54" s="1"/>
  <c r="E241" i="54"/>
  <c r="I241" i="54" s="1"/>
  <c r="D241" i="54"/>
  <c r="I243" i="54"/>
  <c r="K243" i="54" s="1"/>
  <c r="I242" i="54"/>
  <c r="K242" i="54" s="1"/>
  <c r="I249" i="54"/>
  <c r="E245" i="54"/>
  <c r="I245" i="54" s="1"/>
  <c r="K245" i="54" s="1"/>
  <c r="E244" i="54"/>
  <c r="I244" i="54" s="1"/>
  <c r="D244" i="54"/>
  <c r="I240" i="54"/>
  <c r="D240" i="54"/>
  <c r="K308" i="54" l="1"/>
  <c r="K285" i="54"/>
  <c r="E55" i="14"/>
  <c r="K241" i="54"/>
  <c r="E54" i="14"/>
  <c r="K232" i="54"/>
  <c r="K240" i="54"/>
  <c r="K244" i="54"/>
  <c r="K249" i="54"/>
  <c r="I231" i="54"/>
  <c r="E230" i="54"/>
  <c r="D229" i="54"/>
  <c r="E229" i="54"/>
  <c r="I229" i="54" s="1"/>
  <c r="D228" i="54"/>
  <c r="E228" i="54"/>
  <c r="I220" i="54"/>
  <c r="K220" i="54" s="1"/>
  <c r="I219" i="54"/>
  <c r="K219" i="54" s="1"/>
  <c r="K222" i="54" s="1"/>
  <c r="G2449" i="37"/>
  <c r="G2461" i="37"/>
  <c r="G2460" i="37"/>
  <c r="I2457" i="37"/>
  <c r="I202" i="54"/>
  <c r="K202" i="54" s="1"/>
  <c r="I187" i="54"/>
  <c r="K187" i="54" s="1"/>
  <c r="I186" i="54"/>
  <c r="K186" i="54" s="1"/>
  <c r="I185" i="54"/>
  <c r="K185" i="54" s="1"/>
  <c r="K188" i="54" s="1"/>
  <c r="I177" i="54"/>
  <c r="K177" i="54" s="1"/>
  <c r="I176" i="54"/>
  <c r="K176" i="54" s="1"/>
  <c r="I175" i="54"/>
  <c r="K175" i="54" s="1"/>
  <c r="D2399" i="37"/>
  <c r="F2399" i="37" s="1"/>
  <c r="H2399" i="37" s="1"/>
  <c r="I2401" i="37" s="1"/>
  <c r="I122" i="54"/>
  <c r="K122" i="54" s="1"/>
  <c r="I57" i="54"/>
  <c r="K57" i="54" s="1"/>
  <c r="I55" i="54"/>
  <c r="K55" i="54" s="1"/>
  <c r="I212" i="54"/>
  <c r="K212" i="54" s="1"/>
  <c r="E211" i="54"/>
  <c r="I211" i="54" s="1"/>
  <c r="K211" i="54" s="1"/>
  <c r="E210" i="54"/>
  <c r="I210" i="54" s="1"/>
  <c r="K210" i="54" s="1"/>
  <c r="E209" i="54"/>
  <c r="I209" i="54" s="1"/>
  <c r="K209" i="54" s="1"/>
  <c r="I161" i="54"/>
  <c r="K161" i="54" s="1"/>
  <c r="K162" i="54" s="1"/>
  <c r="I144" i="54"/>
  <c r="K144" i="54" s="1"/>
  <c r="K255" i="54" l="1"/>
  <c r="K213" i="54"/>
  <c r="E42" i="14"/>
  <c r="K203" i="54"/>
  <c r="K179" i="54"/>
  <c r="E44" i="14"/>
  <c r="E49" i="14"/>
  <c r="K229" i="54"/>
  <c r="K231" i="54"/>
  <c r="E40" i="14"/>
  <c r="E43" i="14"/>
  <c r="E194" i="54"/>
  <c r="I194" i="54" s="1"/>
  <c r="K194" i="54" s="1"/>
  <c r="K196" i="54" s="1"/>
  <c r="K104" i="54"/>
  <c r="K105" i="54" l="1"/>
  <c r="E30" i="14" s="1"/>
  <c r="E41" i="14"/>
  <c r="E58" i="54"/>
  <c r="I58" i="54" s="1"/>
  <c r="K58" i="54" s="1"/>
  <c r="I56" i="54"/>
  <c r="K56" i="54" s="1"/>
  <c r="I54" i="54"/>
  <c r="K54" i="54" s="1"/>
  <c r="I53" i="54"/>
  <c r="K53" i="54" s="1"/>
  <c r="K641" i="54"/>
  <c r="K626" i="54"/>
  <c r="I572" i="54"/>
  <c r="K572" i="54" s="1"/>
  <c r="I588" i="54"/>
  <c r="K588" i="54" s="1"/>
  <c r="K589" i="54" s="1"/>
  <c r="I512" i="54"/>
  <c r="K512" i="54" s="1"/>
  <c r="I505" i="54"/>
  <c r="K505" i="54" s="1"/>
  <c r="I498" i="54"/>
  <c r="K498" i="54" s="1"/>
  <c r="I491" i="54"/>
  <c r="K491" i="54" s="1"/>
  <c r="K484" i="54"/>
  <c r="K411" i="54"/>
  <c r="K404" i="54"/>
  <c r="K375" i="54"/>
  <c r="I348" i="54"/>
  <c r="K348" i="54" s="1"/>
  <c r="I347" i="54"/>
  <c r="K347" i="54" s="1"/>
  <c r="I346" i="54"/>
  <c r="K346" i="54" s="1"/>
  <c r="I330" i="54"/>
  <c r="K330" i="54" s="1"/>
  <c r="I323" i="54"/>
  <c r="K323" i="54" s="1"/>
  <c r="I230" i="54"/>
  <c r="K230" i="54" s="1"/>
  <c r="I228" i="54"/>
  <c r="K228" i="54" s="1"/>
  <c r="I168" i="54"/>
  <c r="K168" i="54" s="1"/>
  <c r="E37" i="14"/>
  <c r="I145" i="54"/>
  <c r="K145" i="54" s="1"/>
  <c r="I143" i="54"/>
  <c r="K143" i="54" s="1"/>
  <c r="I129" i="54"/>
  <c r="K129" i="54" s="1"/>
  <c r="K130" i="54" s="1"/>
  <c r="I121" i="54"/>
  <c r="K121" i="54" s="1"/>
  <c r="K97" i="54"/>
  <c r="K98" i="54" s="1"/>
  <c r="I90" i="54"/>
  <c r="K90" i="54" s="1"/>
  <c r="I89" i="54"/>
  <c r="K89" i="54" s="1"/>
  <c r="K91" i="54" s="1"/>
  <c r="I75" i="54"/>
  <c r="L75" i="54" s="1"/>
  <c r="I74" i="54"/>
  <c r="L74" i="54" s="1"/>
  <c r="I73" i="54"/>
  <c r="L73" i="54" s="1"/>
  <c r="I66" i="54"/>
  <c r="I65" i="54"/>
  <c r="I52" i="54"/>
  <c r="K52" i="54" s="1"/>
  <c r="I51" i="54"/>
  <c r="K51" i="54" s="1"/>
  <c r="I50" i="54"/>
  <c r="K50" i="54" s="1"/>
  <c r="K59" i="54" s="1"/>
  <c r="I27" i="54"/>
  <c r="K27" i="54" s="1"/>
  <c r="K28" i="54" s="1"/>
  <c r="I20" i="54"/>
  <c r="K20" i="54" s="1"/>
  <c r="I34" i="54"/>
  <c r="K34" i="54" s="1"/>
  <c r="K35" i="54" s="1"/>
  <c r="I13" i="54"/>
  <c r="K13" i="54" s="1"/>
  <c r="K169" i="54" l="1"/>
  <c r="E38" i="14" s="1"/>
  <c r="K492" i="54"/>
  <c r="E89" i="14" s="1"/>
  <c r="L76" i="54"/>
  <c r="K146" i="54"/>
  <c r="K234" i="54"/>
  <c r="E48" i="14" s="1"/>
  <c r="K349" i="54"/>
  <c r="K405" i="54"/>
  <c r="E71" i="14" s="1"/>
  <c r="K499" i="54"/>
  <c r="E90" i="14" s="1"/>
  <c r="K573" i="54"/>
  <c r="E103" i="14" s="1"/>
  <c r="K14" i="54"/>
  <c r="E13" i="14" s="1"/>
  <c r="K376" i="54"/>
  <c r="E66" i="14" s="1"/>
  <c r="K21" i="54"/>
  <c r="E43" i="54" s="1"/>
  <c r="I43" i="54" s="1"/>
  <c r="K43" i="54" s="1"/>
  <c r="K412" i="54"/>
  <c r="E75" i="14" s="1"/>
  <c r="K506" i="54"/>
  <c r="E91" i="14" s="1"/>
  <c r="K627" i="54"/>
  <c r="E116" i="14" s="1"/>
  <c r="K331" i="54"/>
  <c r="E58" i="14" s="1"/>
  <c r="K123" i="54"/>
  <c r="E32" i="14" s="1"/>
  <c r="K324" i="54"/>
  <c r="E57" i="14" s="1"/>
  <c r="K485" i="54"/>
  <c r="E88" i="14" s="1"/>
  <c r="K513" i="54"/>
  <c r="E92" i="14" s="1"/>
  <c r="K642" i="54"/>
  <c r="E121" i="14" s="1"/>
  <c r="E28" i="14"/>
  <c r="E60" i="14"/>
  <c r="E35" i="14"/>
  <c r="E23" i="14"/>
  <c r="E14" i="14"/>
  <c r="E29" i="14"/>
  <c r="K66" i="54"/>
  <c r="K65" i="54"/>
  <c r="E33" i="14"/>
  <c r="E39" i="14"/>
  <c r="I498" i="53"/>
  <c r="I497" i="53"/>
  <c r="K497" i="53" s="1"/>
  <c r="I496" i="53"/>
  <c r="I475" i="53"/>
  <c r="K475" i="53" s="1"/>
  <c r="I474" i="53"/>
  <c r="K474" i="53" s="1"/>
  <c r="I473" i="53"/>
  <c r="K473" i="53" s="1"/>
  <c r="K482" i="53"/>
  <c r="K483" i="53" s="1"/>
  <c r="E655" i="14" s="1"/>
  <c r="F5921" i="37"/>
  <c r="H5921" i="37" s="1"/>
  <c r="C113" i="23"/>
  <c r="D113" i="23" s="1"/>
  <c r="E113" i="23" s="1"/>
  <c r="F113" i="23"/>
  <c r="H5922" i="37"/>
  <c r="F5927" i="37"/>
  <c r="H5927" i="37" s="1"/>
  <c r="I5930" i="37" s="1"/>
  <c r="F5812" i="37"/>
  <c r="H5812" i="37" s="1"/>
  <c r="F5811" i="37"/>
  <c r="F5810" i="37"/>
  <c r="F5809" i="37"/>
  <c r="C115" i="23"/>
  <c r="C114" i="23"/>
  <c r="F114" i="23" s="1"/>
  <c r="F5817" i="37"/>
  <c r="H5817" i="37" s="1"/>
  <c r="I5820" i="37" s="1"/>
  <c r="H5811" i="37"/>
  <c r="H5810" i="37"/>
  <c r="H5809" i="37"/>
  <c r="I452" i="53"/>
  <c r="I445" i="53"/>
  <c r="K445" i="53" s="1"/>
  <c r="K446" i="53" s="1"/>
  <c r="E647" i="14" s="1"/>
  <c r="I438" i="53"/>
  <c r="K438" i="53" s="1"/>
  <c r="I437" i="53"/>
  <c r="K437" i="53" s="1"/>
  <c r="K439" i="53" s="1"/>
  <c r="E646" i="14" s="1"/>
  <c r="I430" i="53"/>
  <c r="K430" i="53" s="1"/>
  <c r="I429" i="53"/>
  <c r="K429" i="53" s="1"/>
  <c r="I393" i="53"/>
  <c r="K393" i="53" s="1"/>
  <c r="I392" i="53"/>
  <c r="K392" i="53" s="1"/>
  <c r="I394" i="53"/>
  <c r="K394" i="53" s="1"/>
  <c r="I408" i="53"/>
  <c r="K408" i="53" s="1"/>
  <c r="K409" i="53" s="1"/>
  <c r="E639" i="14" s="1"/>
  <c r="I401" i="53"/>
  <c r="K401" i="53" s="1"/>
  <c r="K402" i="53" s="1"/>
  <c r="E638" i="14" s="1"/>
  <c r="K364" i="53"/>
  <c r="K365" i="53" s="1"/>
  <c r="E630" i="14" s="1"/>
  <c r="I304" i="53"/>
  <c r="K304" i="53" s="1"/>
  <c r="D283" i="53"/>
  <c r="I283" i="53" s="1"/>
  <c r="K283" i="53" s="1"/>
  <c r="D282" i="53"/>
  <c r="I282" i="53" s="1"/>
  <c r="K282" i="53" s="1"/>
  <c r="D281" i="53"/>
  <c r="I281" i="53" s="1"/>
  <c r="K281" i="53" s="1"/>
  <c r="I224" i="53"/>
  <c r="K224" i="53" s="1"/>
  <c r="K225" i="53" s="1"/>
  <c r="E599" i="14" s="1"/>
  <c r="E267" i="53"/>
  <c r="I267" i="53" s="1"/>
  <c r="K267" i="53" s="1"/>
  <c r="E263" i="53"/>
  <c r="I242" i="53"/>
  <c r="K242" i="53" s="1"/>
  <c r="I241" i="53"/>
  <c r="K241" i="53" s="1"/>
  <c r="H2220" i="37"/>
  <c r="G2226" i="37"/>
  <c r="G2225" i="37"/>
  <c r="I2234" i="37"/>
  <c r="E256" i="53"/>
  <c r="I232" i="53"/>
  <c r="K232" i="53" s="1"/>
  <c r="I231" i="53"/>
  <c r="K231" i="53" s="1"/>
  <c r="I233" i="53"/>
  <c r="K233" i="53" s="1"/>
  <c r="I249" i="53"/>
  <c r="K249" i="53" s="1"/>
  <c r="K250" i="53" s="1"/>
  <c r="E602" i="14" s="1"/>
  <c r="I182" i="53"/>
  <c r="K182" i="53" s="1"/>
  <c r="I124" i="53"/>
  <c r="K124" i="53" s="1"/>
  <c r="I160" i="53"/>
  <c r="K160" i="53" s="1"/>
  <c r="I143" i="34"/>
  <c r="L143" i="34" s="1"/>
  <c r="I106" i="51"/>
  <c r="K106" i="51" s="1"/>
  <c r="I90" i="51"/>
  <c r="L90" i="51" s="1"/>
  <c r="I144" i="53"/>
  <c r="L144" i="53" s="1"/>
  <c r="I125" i="53"/>
  <c r="K125" i="53" s="1"/>
  <c r="I954" i="37"/>
  <c r="I949" i="37"/>
  <c r="I900" i="37"/>
  <c r="I895" i="37"/>
  <c r="I738" i="37"/>
  <c r="I733" i="37"/>
  <c r="I58" i="53"/>
  <c r="K58" i="53" s="1"/>
  <c r="K50" i="53"/>
  <c r="K51" i="53" s="1"/>
  <c r="E571" i="14" s="1"/>
  <c r="K43" i="53"/>
  <c r="K44" i="53" s="1"/>
  <c r="E570" i="14" s="1"/>
  <c r="K67" i="53"/>
  <c r="K66" i="53"/>
  <c r="K65" i="53"/>
  <c r="K97" i="53"/>
  <c r="K96" i="53"/>
  <c r="K104" i="53"/>
  <c r="K105" i="53" s="1"/>
  <c r="E578" i="14" s="1"/>
  <c r="K95" i="53"/>
  <c r="I88" i="53"/>
  <c r="K88" i="53" s="1"/>
  <c r="K89" i="53" s="1"/>
  <c r="E114" i="53" s="1"/>
  <c r="I114" i="53" s="1"/>
  <c r="K114" i="53" s="1"/>
  <c r="I81" i="53"/>
  <c r="K81" i="53" s="1"/>
  <c r="K82" i="53" s="1"/>
  <c r="E575" i="14" s="1"/>
  <c r="I846" i="37"/>
  <c r="I841" i="37"/>
  <c r="I29" i="53"/>
  <c r="K29" i="53" s="1"/>
  <c r="I14" i="53"/>
  <c r="K14" i="53" s="1"/>
  <c r="I172" i="52"/>
  <c r="K172" i="52" s="1"/>
  <c r="I142" i="51"/>
  <c r="K142" i="51" s="1"/>
  <c r="K376" i="52"/>
  <c r="K377" i="52" s="1"/>
  <c r="E549" i="14" s="1"/>
  <c r="F6436" i="37"/>
  <c r="H6436" i="37" s="1"/>
  <c r="F6435" i="37"/>
  <c r="H6435" i="37" s="1"/>
  <c r="F6434" i="37"/>
  <c r="H6434" i="37" s="1"/>
  <c r="F6433" i="37"/>
  <c r="H6433" i="37" s="1"/>
  <c r="F6432" i="37"/>
  <c r="H6432" i="37" s="1"/>
  <c r="F6431" i="37"/>
  <c r="H6431" i="37" s="1"/>
  <c r="F6429" i="37"/>
  <c r="F6430" i="37"/>
  <c r="H6430" i="37" s="1"/>
  <c r="F6428" i="37"/>
  <c r="H6428" i="37" s="1"/>
  <c r="F6427" i="37"/>
  <c r="H6427" i="37" s="1"/>
  <c r="G6429" i="37"/>
  <c r="K357" i="51"/>
  <c r="K358" i="51" s="1"/>
  <c r="E455" i="14" s="1"/>
  <c r="F6442" i="37"/>
  <c r="H6442" i="37" s="1"/>
  <c r="I6444" i="37" s="1"/>
  <c r="H6437" i="37"/>
  <c r="K512" i="53"/>
  <c r="K513" i="53" s="1"/>
  <c r="E665" i="14" s="1"/>
  <c r="K505" i="53"/>
  <c r="K506" i="53" s="1"/>
  <c r="E664" i="14" s="1"/>
  <c r="K498" i="53"/>
  <c r="K496" i="53"/>
  <c r="K489" i="53"/>
  <c r="K490" i="53" s="1"/>
  <c r="E659" i="14" s="1"/>
  <c r="K467" i="53"/>
  <c r="E653" i="14" s="1"/>
  <c r="I459" i="53"/>
  <c r="K459" i="53" s="1"/>
  <c r="K460" i="53" s="1"/>
  <c r="E652" i="14" s="1"/>
  <c r="K452" i="53"/>
  <c r="K453" i="53" s="1"/>
  <c r="E648" i="14" s="1"/>
  <c r="I422" i="53"/>
  <c r="K422" i="53" s="1"/>
  <c r="K423" i="53" s="1"/>
  <c r="E641" i="14" s="1"/>
  <c r="I415" i="53"/>
  <c r="K415" i="53" s="1"/>
  <c r="K416" i="53" s="1"/>
  <c r="E640" i="14" s="1"/>
  <c r="K385" i="53"/>
  <c r="K386" i="53" s="1"/>
  <c r="E636" i="14" s="1"/>
  <c r="K378" i="53"/>
  <c r="K379" i="53" s="1"/>
  <c r="E635" i="14" s="1"/>
  <c r="K371" i="53"/>
  <c r="K372" i="53" s="1"/>
  <c r="E631" i="14" s="1"/>
  <c r="K357" i="53"/>
  <c r="K358" i="53" s="1"/>
  <c r="E629" i="14" s="1"/>
  <c r="K350" i="53"/>
  <c r="K351" i="53" s="1"/>
  <c r="E628" i="14" s="1"/>
  <c r="K343" i="53"/>
  <c r="K344" i="53" s="1"/>
  <c r="E624" i="14" s="1"/>
  <c r="K336" i="53"/>
  <c r="K337" i="53" s="1"/>
  <c r="E622" i="14" s="1"/>
  <c r="K329" i="53"/>
  <c r="K330" i="53" s="1"/>
  <c r="E621" i="14" s="1"/>
  <c r="I322" i="53"/>
  <c r="K322" i="53" s="1"/>
  <c r="I321" i="53"/>
  <c r="K321" i="53" s="1"/>
  <c r="I320" i="53"/>
  <c r="K320" i="53" s="1"/>
  <c r="I319" i="53"/>
  <c r="K319" i="53" s="1"/>
  <c r="I318" i="53"/>
  <c r="K318" i="53" s="1"/>
  <c r="I311" i="53"/>
  <c r="K311" i="53" s="1"/>
  <c r="K312" i="53" s="1"/>
  <c r="E616" i="14" s="1"/>
  <c r="I297" i="53"/>
  <c r="K297" i="53" s="1"/>
  <c r="K298" i="53" s="1"/>
  <c r="E614" i="14" s="1"/>
  <c r="I290" i="53"/>
  <c r="K290" i="53" s="1"/>
  <c r="K291" i="53" s="1"/>
  <c r="E613" i="14" s="1"/>
  <c r="I274" i="53"/>
  <c r="K274" i="53" s="1"/>
  <c r="K275" i="53" s="1"/>
  <c r="E608" i="14" s="1"/>
  <c r="I266" i="53"/>
  <c r="K266" i="53" s="1"/>
  <c r="I265" i="53"/>
  <c r="K265" i="53" s="1"/>
  <c r="I264" i="53"/>
  <c r="K264" i="53" s="1"/>
  <c r="I263" i="53"/>
  <c r="K263" i="53" s="1"/>
  <c r="I256" i="53"/>
  <c r="K256" i="53" s="1"/>
  <c r="K257" i="53" s="1"/>
  <c r="E606" i="14" s="1"/>
  <c r="I234" i="53"/>
  <c r="K234" i="53" s="1"/>
  <c r="I217" i="53"/>
  <c r="K217" i="53" s="1"/>
  <c r="K218" i="53" s="1"/>
  <c r="E598" i="14" s="1"/>
  <c r="I210" i="53"/>
  <c r="K210" i="53" s="1"/>
  <c r="K211" i="53" s="1"/>
  <c r="E597" i="14" s="1"/>
  <c r="I203" i="53"/>
  <c r="K203" i="53" s="1"/>
  <c r="K204" i="53" s="1"/>
  <c r="E596" i="14" s="1"/>
  <c r="I196" i="53"/>
  <c r="K196" i="53" s="1"/>
  <c r="K197" i="53" s="1"/>
  <c r="E595" i="14" s="1"/>
  <c r="I189" i="53"/>
  <c r="K189" i="53" s="1"/>
  <c r="K190" i="53" s="1"/>
  <c r="E594" i="14" s="1"/>
  <c r="I181" i="53"/>
  <c r="K181" i="53" s="1"/>
  <c r="K183" i="53" s="1"/>
  <c r="E593" i="14" s="1"/>
  <c r="K174" i="53"/>
  <c r="K175" i="53" s="1"/>
  <c r="E592" i="14" s="1"/>
  <c r="K167" i="53"/>
  <c r="K168" i="53" s="1"/>
  <c r="E591" i="14" s="1"/>
  <c r="I159" i="53"/>
  <c r="K159" i="53" s="1"/>
  <c r="I158" i="53"/>
  <c r="K158" i="53" s="1"/>
  <c r="I143" i="53"/>
  <c r="L143" i="53" s="1"/>
  <c r="I142" i="53"/>
  <c r="L142" i="53" s="1"/>
  <c r="I141" i="53"/>
  <c r="L141" i="53" s="1"/>
  <c r="L145" i="53" s="1"/>
  <c r="I133" i="53"/>
  <c r="I132" i="53"/>
  <c r="D132" i="53"/>
  <c r="I123" i="53"/>
  <c r="K123" i="53" s="1"/>
  <c r="I122" i="53"/>
  <c r="K122" i="53" s="1"/>
  <c r="I121" i="53"/>
  <c r="K121" i="53" s="1"/>
  <c r="I74" i="53"/>
  <c r="K74" i="53" s="1"/>
  <c r="K75" i="53" s="1"/>
  <c r="E111" i="53" s="1"/>
  <c r="I111" i="53" s="1"/>
  <c r="K111" i="53" s="1"/>
  <c r="I57" i="53"/>
  <c r="K57" i="53" s="1"/>
  <c r="K59" i="53" s="1"/>
  <c r="E572" i="14" s="1"/>
  <c r="K36" i="53"/>
  <c r="K37" i="53" s="1"/>
  <c r="E569" i="14" s="1"/>
  <c r="I28" i="53"/>
  <c r="K28" i="53" s="1"/>
  <c r="K30" i="53" s="1"/>
  <c r="E568" i="14" s="1"/>
  <c r="I21" i="53"/>
  <c r="K21" i="53" s="1"/>
  <c r="K22" i="53" s="1"/>
  <c r="E112" i="53" s="1"/>
  <c r="I112" i="53" s="1"/>
  <c r="K112" i="53" s="1"/>
  <c r="I13" i="53"/>
  <c r="K13" i="53" s="1"/>
  <c r="I12" i="53"/>
  <c r="K12" i="53" s="1"/>
  <c r="I391" i="52"/>
  <c r="K391" i="52" s="1"/>
  <c r="I390" i="52"/>
  <c r="K390" i="52" s="1"/>
  <c r="K383" i="52"/>
  <c r="K384" i="52" s="1"/>
  <c r="E553" i="14" s="1"/>
  <c r="I369" i="52"/>
  <c r="K369" i="52" s="1"/>
  <c r="K370" i="52" s="1"/>
  <c r="E548" i="14" s="1"/>
  <c r="I362" i="52"/>
  <c r="K362" i="52" s="1"/>
  <c r="K363" i="52" s="1"/>
  <c r="E547" i="14" s="1"/>
  <c r="I355" i="52"/>
  <c r="K355" i="52" s="1"/>
  <c r="K356" i="52" s="1"/>
  <c r="E546" i="14" s="1"/>
  <c r="I348" i="52"/>
  <c r="K348" i="52" s="1"/>
  <c r="K349" i="52" s="1"/>
  <c r="E542" i="14" s="1"/>
  <c r="I334" i="52"/>
  <c r="K334" i="52" s="1"/>
  <c r="K335" i="52" s="1"/>
  <c r="E540" i="14" s="1"/>
  <c r="I327" i="52"/>
  <c r="K327" i="52" s="1"/>
  <c r="K328" i="52" s="1"/>
  <c r="E539" i="14" s="1"/>
  <c r="C187" i="23"/>
  <c r="D187" i="23" s="1"/>
  <c r="E187" i="23" s="1"/>
  <c r="F3743" i="37"/>
  <c r="H3743" i="37" s="1"/>
  <c r="I3745" i="37" s="1"/>
  <c r="K285" i="52"/>
  <c r="K286" i="52" s="1"/>
  <c r="E527" i="14" s="1"/>
  <c r="I243" i="52"/>
  <c r="K243" i="52" s="1"/>
  <c r="I242" i="52"/>
  <c r="K242" i="52" s="1"/>
  <c r="I241" i="52"/>
  <c r="K241" i="52" s="1"/>
  <c r="I240" i="52"/>
  <c r="K240" i="52" s="1"/>
  <c r="I239" i="52"/>
  <c r="K239" i="52" s="1"/>
  <c r="I225" i="52"/>
  <c r="K225" i="52" s="1"/>
  <c r="D217" i="52"/>
  <c r="D203" i="52"/>
  <c r="K235" i="53" l="1"/>
  <c r="K67" i="54"/>
  <c r="E22" i="14" s="1"/>
  <c r="K323" i="53"/>
  <c r="E617" i="14" s="1"/>
  <c r="K499" i="53"/>
  <c r="E660" i="14" s="1"/>
  <c r="K476" i="53"/>
  <c r="E654" i="14" s="1"/>
  <c r="K395" i="53"/>
  <c r="E637" i="14" s="1"/>
  <c r="F3737" i="37"/>
  <c r="H3737" i="37" s="1"/>
  <c r="I3740" i="37" s="1"/>
  <c r="F5865" i="37"/>
  <c r="F187" i="23"/>
  <c r="E21" i="14"/>
  <c r="E41" i="54"/>
  <c r="I41" i="54" s="1"/>
  <c r="K41" i="54" s="1"/>
  <c r="E15" i="14"/>
  <c r="E42" i="54"/>
  <c r="I42" i="54" s="1"/>
  <c r="K42" i="54" s="1"/>
  <c r="E16" i="14"/>
  <c r="K284" i="53"/>
  <c r="E612" i="14" s="1"/>
  <c r="K431" i="53"/>
  <c r="E645" i="14" s="1"/>
  <c r="I5924" i="37"/>
  <c r="D114" i="23"/>
  <c r="E114" i="23" s="1"/>
  <c r="I5814" i="37"/>
  <c r="H6429" i="37"/>
  <c r="I6439" i="37" s="1"/>
  <c r="K268" i="53"/>
  <c r="E607" i="14" s="1"/>
  <c r="E585" i="14"/>
  <c r="K243" i="53"/>
  <c r="E601" i="14" s="1"/>
  <c r="K305" i="53"/>
  <c r="E615" i="14" s="1"/>
  <c r="K98" i="53"/>
  <c r="E577" i="14" s="1"/>
  <c r="K68" i="53"/>
  <c r="E573" i="14" s="1"/>
  <c r="E600" i="14"/>
  <c r="K161" i="53"/>
  <c r="E590" i="14" s="1"/>
  <c r="K126" i="53"/>
  <c r="E583" i="14" s="1"/>
  <c r="K132" i="53"/>
  <c r="K15" i="53"/>
  <c r="E566" i="14" s="1"/>
  <c r="E576" i="14"/>
  <c r="E113" i="53"/>
  <c r="I113" i="53" s="1"/>
  <c r="K113" i="53" s="1"/>
  <c r="K115" i="53" s="1"/>
  <c r="E579" i="14" s="1"/>
  <c r="E567" i="14"/>
  <c r="E574" i="14"/>
  <c r="K133" i="53"/>
  <c r="K392" i="52"/>
  <c r="E554" i="14" s="1"/>
  <c r="K244" i="52"/>
  <c r="E514" i="14" s="1"/>
  <c r="K134" i="53" l="1"/>
  <c r="K44" i="54"/>
  <c r="E17" i="14" s="1"/>
  <c r="I82" i="54"/>
  <c r="K82" i="54" s="1"/>
  <c r="E584" i="14"/>
  <c r="K83" i="54" l="1"/>
  <c r="E24" i="14" s="1"/>
  <c r="I151" i="53"/>
  <c r="K151" i="53" s="1"/>
  <c r="K152" i="53" s="1"/>
  <c r="E586" i="14" s="1"/>
  <c r="E186" i="52" l="1"/>
  <c r="I186" i="52" s="1"/>
  <c r="K186" i="52" s="1"/>
  <c r="E189" i="52"/>
  <c r="E188" i="52"/>
  <c r="E179" i="52"/>
  <c r="I179" i="52" s="1"/>
  <c r="K179" i="52" s="1"/>
  <c r="K180" i="52" s="1"/>
  <c r="E503" i="14" s="1"/>
  <c r="I196" i="52"/>
  <c r="K196" i="52" s="1"/>
  <c r="K197" i="52" s="1"/>
  <c r="E505" i="14" s="1"/>
  <c r="I189" i="52"/>
  <c r="K189" i="52" s="1"/>
  <c r="I188" i="52"/>
  <c r="K188" i="52" s="1"/>
  <c r="I187" i="52"/>
  <c r="K187" i="52" s="1"/>
  <c r="I171" i="52"/>
  <c r="K171" i="52" s="1"/>
  <c r="E157" i="52"/>
  <c r="E129" i="52"/>
  <c r="K115" i="52"/>
  <c r="K116" i="52" s="1"/>
  <c r="E491" i="14" s="1"/>
  <c r="K173" i="52" l="1"/>
  <c r="E499" i="14" s="1"/>
  <c r="K190" i="52"/>
  <c r="E504" i="14" s="1"/>
  <c r="E73" i="52"/>
  <c r="I73" i="52" s="1"/>
  <c r="K73" i="52" s="1"/>
  <c r="E12" i="52"/>
  <c r="I792" i="37"/>
  <c r="I787" i="37"/>
  <c r="E55" i="52"/>
  <c r="I55" i="52" s="1"/>
  <c r="K55" i="52" s="1"/>
  <c r="K56" i="52" s="1"/>
  <c r="E62" i="52" s="1"/>
  <c r="I48" i="52"/>
  <c r="K48" i="52" s="1"/>
  <c r="K49" i="52" s="1"/>
  <c r="E477" i="14" s="1"/>
  <c r="D27" i="52"/>
  <c r="K405" i="52"/>
  <c r="K406" i="52" s="1"/>
  <c r="E559" i="14" s="1"/>
  <c r="K398" i="52"/>
  <c r="K399" i="52" s="1"/>
  <c r="E558" i="14" s="1"/>
  <c r="I320" i="52"/>
  <c r="K320" i="52" s="1"/>
  <c r="K321" i="52" s="1"/>
  <c r="E535" i="14" s="1"/>
  <c r="I313" i="52"/>
  <c r="K313" i="52" s="1"/>
  <c r="K314" i="52" s="1"/>
  <c r="E534" i="14" s="1"/>
  <c r="I306" i="52"/>
  <c r="K306" i="52" s="1"/>
  <c r="K299" i="52"/>
  <c r="K300" i="52" s="1"/>
  <c r="E532" i="14" s="1"/>
  <c r="I292" i="52"/>
  <c r="K292" i="52" s="1"/>
  <c r="K293" i="52" s="1"/>
  <c r="E531" i="14" s="1"/>
  <c r="K278" i="52"/>
  <c r="K279" i="52" s="1"/>
  <c r="E526" i="14" s="1"/>
  <c r="K271" i="52"/>
  <c r="K272" i="52" s="1"/>
  <c r="E525" i="14" s="1"/>
  <c r="K264" i="52"/>
  <c r="K265" i="52" s="1"/>
  <c r="E521" i="14" s="1"/>
  <c r="K257" i="52"/>
  <c r="K258" i="52" s="1"/>
  <c r="E519" i="14" s="1"/>
  <c r="K250" i="52"/>
  <c r="K251" i="52" s="1"/>
  <c r="E518" i="14" s="1"/>
  <c r="I232" i="52"/>
  <c r="K232" i="52" s="1"/>
  <c r="I224" i="52"/>
  <c r="K224" i="52" s="1"/>
  <c r="K226" i="52" s="1"/>
  <c r="E512" i="14" s="1"/>
  <c r="I217" i="52"/>
  <c r="K217" i="52" s="1"/>
  <c r="K218" i="52" s="1"/>
  <c r="E511" i="14" s="1"/>
  <c r="I210" i="52"/>
  <c r="K210" i="52" s="1"/>
  <c r="K211" i="52" s="1"/>
  <c r="E510" i="14" s="1"/>
  <c r="I203" i="52"/>
  <c r="K203" i="52" s="1"/>
  <c r="I164" i="52"/>
  <c r="K164" i="52" s="1"/>
  <c r="K165" i="52" s="1"/>
  <c r="E498" i="14" s="1"/>
  <c r="I157" i="52"/>
  <c r="K157" i="52" s="1"/>
  <c r="I150" i="52"/>
  <c r="K150" i="52" s="1"/>
  <c r="I143" i="52"/>
  <c r="K143" i="52" s="1"/>
  <c r="I136" i="52"/>
  <c r="K136" i="52" s="1"/>
  <c r="I129" i="52"/>
  <c r="K129" i="52" s="1"/>
  <c r="K122" i="52"/>
  <c r="I108" i="52"/>
  <c r="K108" i="52" s="1"/>
  <c r="I107" i="52"/>
  <c r="K107" i="52" s="1"/>
  <c r="I90" i="52"/>
  <c r="L90" i="52" s="1"/>
  <c r="I89" i="52"/>
  <c r="L89" i="52" s="1"/>
  <c r="I88" i="52"/>
  <c r="L88" i="52" s="1"/>
  <c r="I81" i="52"/>
  <c r="I80" i="52"/>
  <c r="I72" i="52"/>
  <c r="K72" i="52" s="1"/>
  <c r="I71" i="52"/>
  <c r="K71" i="52" s="1"/>
  <c r="K41" i="52"/>
  <c r="K42" i="52" s="1"/>
  <c r="E476" i="14" s="1"/>
  <c r="I34" i="52"/>
  <c r="K34" i="52" s="1"/>
  <c r="K35" i="52" s="1"/>
  <c r="E475" i="14" s="1"/>
  <c r="I27" i="52"/>
  <c r="K27" i="52" s="1"/>
  <c r="K28" i="52" s="1"/>
  <c r="E64" i="52" s="1"/>
  <c r="I64" i="52" s="1"/>
  <c r="K64" i="52" s="1"/>
  <c r="I13" i="52"/>
  <c r="K13" i="52" s="1"/>
  <c r="I12" i="52"/>
  <c r="K12" i="52" s="1"/>
  <c r="I88" i="51"/>
  <c r="L88" i="51" s="1"/>
  <c r="I372" i="51"/>
  <c r="K372" i="51" s="1"/>
  <c r="I371" i="51"/>
  <c r="K371" i="51" s="1"/>
  <c r="K373" i="51" s="1"/>
  <c r="E460" i="14" s="1"/>
  <c r="C186" i="23"/>
  <c r="F186" i="23" s="1"/>
  <c r="E6660" i="37"/>
  <c r="F6660" i="37" s="1"/>
  <c r="H6660" i="37" s="1"/>
  <c r="I6662" i="37" s="1"/>
  <c r="G6371" i="37"/>
  <c r="H6371" i="37" s="1"/>
  <c r="I6376" i="37" s="1"/>
  <c r="F6379" i="37"/>
  <c r="H6379" i="37" s="1"/>
  <c r="I6381" i="37" s="1"/>
  <c r="F6322" i="37"/>
  <c r="H6322" i="37" s="1"/>
  <c r="F6321" i="37"/>
  <c r="H6321" i="37" s="1"/>
  <c r="F6320" i="37"/>
  <c r="H6320" i="37" s="1"/>
  <c r="F6319" i="37"/>
  <c r="F6318" i="37"/>
  <c r="H6318" i="37" s="1"/>
  <c r="F6317" i="37"/>
  <c r="H6317" i="37" s="1"/>
  <c r="F6315" i="37"/>
  <c r="H6315" i="37" s="1"/>
  <c r="F6316" i="37"/>
  <c r="H6316" i="37" s="1"/>
  <c r="F6314" i="37"/>
  <c r="H6314" i="37" s="1"/>
  <c r="I6325" i="37" s="1"/>
  <c r="F6328" i="37"/>
  <c r="H6328" i="37" s="1"/>
  <c r="I6330" i="37" s="1"/>
  <c r="H6323" i="37"/>
  <c r="H6319" i="37"/>
  <c r="F6655" i="37" l="1"/>
  <c r="H6655" i="37" s="1"/>
  <c r="I6657" i="37" s="1"/>
  <c r="I20" i="52"/>
  <c r="K20" i="52" s="1"/>
  <c r="K21" i="52" s="1"/>
  <c r="E473" i="14" s="1"/>
  <c r="D341" i="52"/>
  <c r="I341" i="52" s="1"/>
  <c r="K341" i="52" s="1"/>
  <c r="K342" i="52" s="1"/>
  <c r="E541" i="14" s="1"/>
  <c r="K109" i="52"/>
  <c r="E490" i="14" s="1"/>
  <c r="L91" i="52"/>
  <c r="E485" i="14" s="1"/>
  <c r="K74" i="52"/>
  <c r="E483" i="14" s="1"/>
  <c r="E478" i="14"/>
  <c r="K14" i="52"/>
  <c r="E472" i="14" s="1"/>
  <c r="K130" i="52"/>
  <c r="E493" i="14" s="1"/>
  <c r="K151" i="52"/>
  <c r="E496" i="14" s="1"/>
  <c r="E474" i="14"/>
  <c r="K80" i="52"/>
  <c r="K137" i="52"/>
  <c r="E494" i="14" s="1"/>
  <c r="K123" i="52"/>
  <c r="E492" i="14" s="1"/>
  <c r="K81" i="52"/>
  <c r="K144" i="52"/>
  <c r="E495" i="14" s="1"/>
  <c r="K158" i="52"/>
  <c r="E497" i="14" s="1"/>
  <c r="K204" i="52"/>
  <c r="E509" i="14" s="1"/>
  <c r="K233" i="52"/>
  <c r="E513" i="14" s="1"/>
  <c r="K307" i="52"/>
  <c r="E533" i="14" s="1"/>
  <c r="I62" i="52"/>
  <c r="K62" i="52" s="1"/>
  <c r="D186" i="23"/>
  <c r="E186" i="23" s="1"/>
  <c r="E63" i="52" l="1"/>
  <c r="I63" i="52" s="1"/>
  <c r="K63" i="52" s="1"/>
  <c r="K65" i="52" s="1"/>
  <c r="E479" i="14" s="1"/>
  <c r="K82" i="52"/>
  <c r="I99" i="52" l="1"/>
  <c r="K99" i="52" s="1"/>
  <c r="K100" i="52" s="1"/>
  <c r="E486" i="14" s="1"/>
  <c r="E484" i="14"/>
  <c r="H6259" i="37"/>
  <c r="F6266" i="37"/>
  <c r="H6266" i="37" s="1"/>
  <c r="I6268" i="37" s="1"/>
  <c r="H6258" i="37"/>
  <c r="F6210" i="37"/>
  <c r="H6210" i="37" s="1"/>
  <c r="I6212" i="37" s="1"/>
  <c r="H6202" i="37"/>
  <c r="I6207" i="37" s="1"/>
  <c r="F6154" i="37"/>
  <c r="H6154" i="37" s="1"/>
  <c r="I6156" i="37" s="1"/>
  <c r="H6146" i="37"/>
  <c r="I6151" i="37" s="1"/>
  <c r="F6098" i="37"/>
  <c r="H6098" i="37" s="1"/>
  <c r="I6100" i="37" s="1"/>
  <c r="H6090" i="37"/>
  <c r="I6095" i="37" s="1"/>
  <c r="F5981" i="37"/>
  <c r="H5981" i="37" s="1"/>
  <c r="F5980" i="37"/>
  <c r="H5980" i="37" s="1"/>
  <c r="F5979" i="37"/>
  <c r="H5979" i="37" s="1"/>
  <c r="F5978" i="37"/>
  <c r="H5978" i="37" s="1"/>
  <c r="I6044" i="37"/>
  <c r="I6039" i="37"/>
  <c r="F5986" i="37"/>
  <c r="H5986" i="37" s="1"/>
  <c r="I5988" i="37" s="1"/>
  <c r="I350" i="51"/>
  <c r="K350" i="51" s="1"/>
  <c r="K351" i="51" s="1"/>
  <c r="E454" i="14" s="1"/>
  <c r="I343" i="51"/>
  <c r="K343" i="51" s="1"/>
  <c r="K344" i="51" s="1"/>
  <c r="E453" i="14" s="1"/>
  <c r="I336" i="51"/>
  <c r="K336" i="51" s="1"/>
  <c r="K337" i="51" s="1"/>
  <c r="E452" i="14" s="1"/>
  <c r="I329" i="51"/>
  <c r="K329" i="51" s="1"/>
  <c r="K330" i="51" s="1"/>
  <c r="E451" i="14" s="1"/>
  <c r="I322" i="51"/>
  <c r="K322" i="51" s="1"/>
  <c r="K323" i="51" s="1"/>
  <c r="E450" i="14" s="1"/>
  <c r="I315" i="51"/>
  <c r="K315" i="51" s="1"/>
  <c r="K316" i="51" s="1"/>
  <c r="E449" i="14" s="1"/>
  <c r="I308" i="51"/>
  <c r="K308" i="51" s="1"/>
  <c r="K309" i="51" s="1"/>
  <c r="E448" i="14" s="1"/>
  <c r="I301" i="51"/>
  <c r="K301" i="51" s="1"/>
  <c r="K302" i="51" s="1"/>
  <c r="E447" i="14" s="1"/>
  <c r="F5370" i="37"/>
  <c r="C185" i="23"/>
  <c r="F185" i="23" s="1"/>
  <c r="C184" i="23"/>
  <c r="F184" i="23" s="1"/>
  <c r="G5371" i="37"/>
  <c r="F5376" i="37"/>
  <c r="H5376" i="37" s="1"/>
  <c r="I5379" i="37" s="1"/>
  <c r="F5369" i="37" l="1"/>
  <c r="H5369" i="37" s="1"/>
  <c r="I6263" i="37"/>
  <c r="I5983" i="37"/>
  <c r="H5370" i="37"/>
  <c r="F5372" i="37" s="1"/>
  <c r="H5372" i="37" s="1"/>
  <c r="D184" i="23"/>
  <c r="E184" i="23" s="1"/>
  <c r="D185" i="23"/>
  <c r="E185" i="23" s="1"/>
  <c r="I294" i="51" l="1"/>
  <c r="K294" i="51" l="1"/>
  <c r="K295" i="51" s="1"/>
  <c r="E443" i="14" s="1"/>
  <c r="I287" i="51" l="1"/>
  <c r="K287" i="51" s="1"/>
  <c r="K288" i="51" s="1"/>
  <c r="E442" i="14" s="1"/>
  <c r="I280" i="51"/>
  <c r="K280" i="51" s="1"/>
  <c r="I279" i="51"/>
  <c r="K279" i="51" s="1"/>
  <c r="I272" i="51"/>
  <c r="K272" i="51" s="1"/>
  <c r="I271" i="51"/>
  <c r="K271" i="51" s="1"/>
  <c r="I201" i="51"/>
  <c r="K201" i="51" s="1"/>
  <c r="I200" i="51"/>
  <c r="K200" i="51" s="1"/>
  <c r="I199" i="51"/>
  <c r="K199" i="51" s="1"/>
  <c r="I198" i="51"/>
  <c r="K198" i="51" s="1"/>
  <c r="I197" i="51"/>
  <c r="K197" i="51" s="1"/>
  <c r="E196" i="51"/>
  <c r="I196" i="51" s="1"/>
  <c r="K196" i="51" s="1"/>
  <c r="C21" i="23"/>
  <c r="F21" i="23" s="1"/>
  <c r="F3066" i="37" s="1"/>
  <c r="H3066" i="37" s="1"/>
  <c r="F3071" i="37"/>
  <c r="H3071" i="37" s="1"/>
  <c r="I3074" i="37" s="1"/>
  <c r="D175" i="51"/>
  <c r="K202" i="51" l="1"/>
  <c r="K273" i="51"/>
  <c r="E440" i="14" s="1"/>
  <c r="K281" i="51"/>
  <c r="E441" i="14" s="1"/>
  <c r="E417" i="14"/>
  <c r="D21" i="23"/>
  <c r="E21" i="23" s="1"/>
  <c r="G2616" i="37" l="1"/>
  <c r="I2623" i="37"/>
  <c r="I168" i="51"/>
  <c r="K168" i="51" s="1"/>
  <c r="I167" i="51"/>
  <c r="K167" i="51" s="1"/>
  <c r="I160" i="51"/>
  <c r="K160" i="51" s="1"/>
  <c r="I159" i="51"/>
  <c r="K159" i="51" s="1"/>
  <c r="I157" i="51"/>
  <c r="K157" i="51" s="1"/>
  <c r="E150" i="51"/>
  <c r="I1508" i="37"/>
  <c r="I89" i="51"/>
  <c r="K169" i="51" l="1"/>
  <c r="E410" i="14" s="1"/>
  <c r="I683" i="37"/>
  <c r="I678" i="37"/>
  <c r="I48" i="51"/>
  <c r="K48" i="51" s="1"/>
  <c r="K49" i="51" s="1"/>
  <c r="E386" i="14" s="1"/>
  <c r="I34" i="51"/>
  <c r="K34" i="51" s="1"/>
  <c r="I19" i="51"/>
  <c r="K19" i="51" s="1"/>
  <c r="K20" i="51" s="1"/>
  <c r="E63" i="51" s="1"/>
  <c r="I63" i="51" s="1"/>
  <c r="K63" i="51" s="1"/>
  <c r="K387" i="51"/>
  <c r="K388" i="51" s="1"/>
  <c r="E465" i="14" s="1"/>
  <c r="K380" i="51"/>
  <c r="K381" i="51" s="1"/>
  <c r="E464" i="14" s="1"/>
  <c r="K364" i="51"/>
  <c r="K365" i="51" s="1"/>
  <c r="E459" i="14" s="1"/>
  <c r="I264" i="51"/>
  <c r="K264" i="51" s="1"/>
  <c r="K265" i="51" s="1"/>
  <c r="E436" i="14" s="1"/>
  <c r="I257" i="51"/>
  <c r="K257" i="51" s="1"/>
  <c r="K258" i="51" s="1"/>
  <c r="E435" i="14" s="1"/>
  <c r="I250" i="51"/>
  <c r="K250" i="51" s="1"/>
  <c r="I243" i="51"/>
  <c r="K243" i="51" s="1"/>
  <c r="K244" i="51" s="1"/>
  <c r="E433" i="14" s="1"/>
  <c r="K236" i="51"/>
  <c r="K237" i="51" s="1"/>
  <c r="E429" i="14" s="1"/>
  <c r="K229" i="51"/>
  <c r="K230" i="51" s="1"/>
  <c r="E428" i="14" s="1"/>
  <c r="K222" i="51"/>
  <c r="K223" i="51" s="1"/>
  <c r="E427" i="14" s="1"/>
  <c r="K215" i="51"/>
  <c r="K216" i="51" s="1"/>
  <c r="K208" i="51"/>
  <c r="K209" i="51" s="1"/>
  <c r="I189" i="51"/>
  <c r="K189" i="51" s="1"/>
  <c r="K190" i="51" s="1"/>
  <c r="E416" i="14" s="1"/>
  <c r="I182" i="51"/>
  <c r="K182" i="51" s="1"/>
  <c r="K183" i="51" s="1"/>
  <c r="E415" i="14" s="1"/>
  <c r="I175" i="51"/>
  <c r="K175" i="51" s="1"/>
  <c r="I158" i="51"/>
  <c r="K158" i="51" s="1"/>
  <c r="K161" i="51" s="1"/>
  <c r="E409" i="14" s="1"/>
  <c r="I150" i="51"/>
  <c r="K150" i="51" s="1"/>
  <c r="I143" i="51"/>
  <c r="K143" i="51" s="1"/>
  <c r="I141" i="51"/>
  <c r="K141" i="51" s="1"/>
  <c r="I134" i="51"/>
  <c r="K134" i="51" s="1"/>
  <c r="I127" i="51"/>
  <c r="K127" i="51" s="1"/>
  <c r="I120" i="51"/>
  <c r="K120" i="51" s="1"/>
  <c r="K113" i="51"/>
  <c r="I105" i="51"/>
  <c r="K105" i="51" s="1"/>
  <c r="K107" i="51" s="1"/>
  <c r="L89" i="51"/>
  <c r="L91" i="51" s="1"/>
  <c r="I81" i="51"/>
  <c r="I74" i="51"/>
  <c r="K74" i="51" s="1"/>
  <c r="I73" i="51"/>
  <c r="K73" i="51" s="1"/>
  <c r="I72" i="51"/>
  <c r="K72" i="51" s="1"/>
  <c r="K55" i="51"/>
  <c r="K56" i="51" s="1"/>
  <c r="E387" i="14" s="1"/>
  <c r="K41" i="51"/>
  <c r="K42" i="51" s="1"/>
  <c r="E385" i="14" s="1"/>
  <c r="I33" i="51"/>
  <c r="K33" i="51" s="1"/>
  <c r="K35" i="51" s="1"/>
  <c r="E384" i="14" s="1"/>
  <c r="I26" i="51"/>
  <c r="K26" i="51" s="1"/>
  <c r="K27" i="51" s="1"/>
  <c r="E64" i="51" s="1"/>
  <c r="I64" i="51" s="1"/>
  <c r="K64" i="51" s="1"/>
  <c r="I12" i="51"/>
  <c r="K12" i="51" s="1"/>
  <c r="K494" i="34"/>
  <c r="K495" i="34" s="1"/>
  <c r="E374" i="14" s="1"/>
  <c r="K487" i="34"/>
  <c r="K488" i="34" s="1"/>
  <c r="E373" i="14" s="1"/>
  <c r="I457" i="34"/>
  <c r="K457" i="34" s="1"/>
  <c r="K458" i="34" s="1"/>
  <c r="E363" i="14" s="1"/>
  <c r="I443" i="34"/>
  <c r="I21" i="34"/>
  <c r="I436" i="34"/>
  <c r="K436" i="34" s="1"/>
  <c r="K437" i="34" s="1"/>
  <c r="E357" i="14" s="1"/>
  <c r="I429" i="34"/>
  <c r="K429" i="34" s="1"/>
  <c r="K430" i="34" s="1"/>
  <c r="E356" i="14" s="1"/>
  <c r="I422" i="34"/>
  <c r="K422" i="34" s="1"/>
  <c r="K423" i="34" s="1"/>
  <c r="E352" i="14" s="1"/>
  <c r="I393" i="34"/>
  <c r="K393" i="34" s="1"/>
  <c r="K371" i="34"/>
  <c r="K372" i="34" s="1"/>
  <c r="E342" i="14" s="1"/>
  <c r="K364" i="34"/>
  <c r="K365" i="34" s="1"/>
  <c r="E341" i="14" s="1"/>
  <c r="K357" i="34"/>
  <c r="K358" i="34" s="1"/>
  <c r="E340" i="14" s="1"/>
  <c r="K343" i="34"/>
  <c r="K144" i="51" l="1"/>
  <c r="K75" i="51"/>
  <c r="E392" i="14" s="1"/>
  <c r="E383" i="14"/>
  <c r="K81" i="51"/>
  <c r="K128" i="51"/>
  <c r="E402" i="14" s="1"/>
  <c r="E382" i="14"/>
  <c r="E404" i="14"/>
  <c r="E399" i="14"/>
  <c r="E394" i="14"/>
  <c r="K114" i="51"/>
  <c r="E400" i="14" s="1"/>
  <c r="K135" i="51"/>
  <c r="E403" i="14" s="1"/>
  <c r="K176" i="51"/>
  <c r="E414" i="14" s="1"/>
  <c r="K251" i="51"/>
  <c r="E434" i="14" s="1"/>
  <c r="K151" i="51"/>
  <c r="E408" i="14" s="1"/>
  <c r="K13" i="51"/>
  <c r="E381" i="14" s="1"/>
  <c r="K121" i="51"/>
  <c r="E401" i="14" s="1"/>
  <c r="K344" i="34"/>
  <c r="E334" i="14" s="1"/>
  <c r="I329" i="34"/>
  <c r="K329" i="34" s="1"/>
  <c r="I328" i="34"/>
  <c r="K328" i="34" s="1"/>
  <c r="I327" i="34"/>
  <c r="K327" i="34" s="1"/>
  <c r="I326" i="34"/>
  <c r="K326" i="34" s="1"/>
  <c r="I319" i="34"/>
  <c r="K319" i="34" s="1"/>
  <c r="I318" i="34"/>
  <c r="K318" i="34" s="1"/>
  <c r="I317" i="34"/>
  <c r="K317" i="34" s="1"/>
  <c r="I316" i="34"/>
  <c r="K316" i="34" s="1"/>
  <c r="D309" i="34"/>
  <c r="I302" i="34"/>
  <c r="K302" i="34" s="1"/>
  <c r="I295" i="34"/>
  <c r="K295" i="34" s="1"/>
  <c r="D294" i="34"/>
  <c r="I287" i="34"/>
  <c r="K287" i="34" s="1"/>
  <c r="I286" i="34"/>
  <c r="K286" i="34" s="1"/>
  <c r="I285" i="34"/>
  <c r="K285" i="34" s="1"/>
  <c r="I284" i="34"/>
  <c r="K284" i="34" s="1"/>
  <c r="I277" i="34"/>
  <c r="K277" i="34" s="1"/>
  <c r="I276" i="34"/>
  <c r="K276" i="34" s="1"/>
  <c r="I275" i="34"/>
  <c r="K275" i="34" s="1"/>
  <c r="I267" i="34"/>
  <c r="K267" i="34" s="1"/>
  <c r="I294" i="34" l="1"/>
  <c r="K294" i="34" s="1"/>
  <c r="D95" i="34"/>
  <c r="K82" i="51"/>
  <c r="K65" i="51"/>
  <c r="E388" i="14" s="1"/>
  <c r="I309" i="34"/>
  <c r="K309" i="34" s="1"/>
  <c r="K310" i="34" s="1"/>
  <c r="E327" i="14" s="1"/>
  <c r="D28" i="34"/>
  <c r="K320" i="34"/>
  <c r="E328" i="14" s="1"/>
  <c r="K330" i="34"/>
  <c r="E329" i="14" s="1"/>
  <c r="K296" i="34"/>
  <c r="E325" i="14" s="1"/>
  <c r="K303" i="34"/>
  <c r="E326" i="14" s="1"/>
  <c r="K288" i="34"/>
  <c r="I97" i="51" l="1"/>
  <c r="K97" i="51" s="1"/>
  <c r="K98" i="51" s="1"/>
  <c r="E395" i="14" s="1"/>
  <c r="E393" i="14"/>
  <c r="I259" i="34" l="1"/>
  <c r="K259" i="34" s="1"/>
  <c r="I258" i="34"/>
  <c r="K258" i="34" s="1"/>
  <c r="I249" i="34"/>
  <c r="K249" i="34" s="1"/>
  <c r="I250" i="34"/>
  <c r="K250" i="34" s="1"/>
  <c r="I251" i="34"/>
  <c r="K251" i="34" s="1"/>
  <c r="I248" i="34"/>
  <c r="K248" i="34" s="1"/>
  <c r="I201" i="34"/>
  <c r="K201" i="34" s="1"/>
  <c r="I194" i="34"/>
  <c r="K194" i="34" s="1"/>
  <c r="E234" i="34"/>
  <c r="I234" i="34" s="1"/>
  <c r="K234" i="34" s="1"/>
  <c r="E233" i="34"/>
  <c r="I225" i="34"/>
  <c r="K225" i="34" s="1"/>
  <c r="I224" i="34"/>
  <c r="K224" i="34" s="1"/>
  <c r="I209" i="34"/>
  <c r="K209" i="34" s="1"/>
  <c r="I208" i="34"/>
  <c r="K208" i="34" s="1"/>
  <c r="I162" i="34"/>
  <c r="K162" i="34" s="1"/>
  <c r="I142" i="34"/>
  <c r="L142" i="34" s="1"/>
  <c r="I141" i="34"/>
  <c r="L141" i="34" s="1"/>
  <c r="I140" i="34"/>
  <c r="L140" i="34" s="1"/>
  <c r="I139" i="34"/>
  <c r="L139" i="34" s="1"/>
  <c r="I138" i="34"/>
  <c r="L138" i="34" s="1"/>
  <c r="I137" i="34"/>
  <c r="L137" i="34" s="1"/>
  <c r="I136" i="34"/>
  <c r="D127" i="34"/>
  <c r="I120" i="34"/>
  <c r="K120" i="34" s="1"/>
  <c r="I113" i="34"/>
  <c r="K113" i="34" s="1"/>
  <c r="I119" i="34"/>
  <c r="K119" i="34" s="1"/>
  <c r="I115" i="34"/>
  <c r="K115" i="34" s="1"/>
  <c r="K210" i="34" l="1"/>
  <c r="E309" i="14" s="1"/>
  <c r="K260" i="34"/>
  <c r="E315" i="14" s="1"/>
  <c r="K202" i="34"/>
  <c r="E308" i="14" s="1"/>
  <c r="K252" i="34"/>
  <c r="E314" i="14" s="1"/>
  <c r="K226" i="34"/>
  <c r="E311" i="14" s="1"/>
  <c r="E310" i="14"/>
  <c r="I95" i="34"/>
  <c r="K95" i="34" s="1"/>
  <c r="K96" i="34" s="1"/>
  <c r="E291" i="14" s="1"/>
  <c r="I88" i="34"/>
  <c r="K88" i="34" s="1"/>
  <c r="I87" i="34"/>
  <c r="K87" i="34" s="1"/>
  <c r="I86" i="34"/>
  <c r="K86" i="34" s="1"/>
  <c r="I79" i="34"/>
  <c r="K79" i="34" s="1"/>
  <c r="K80" i="34" s="1"/>
  <c r="E289" i="14" s="1"/>
  <c r="I519" i="37"/>
  <c r="I514" i="37"/>
  <c r="I72" i="34"/>
  <c r="K72" i="34" s="1"/>
  <c r="I71" i="34"/>
  <c r="K71" i="34" s="1"/>
  <c r="I70" i="34"/>
  <c r="K70" i="34" s="1"/>
  <c r="I63" i="34"/>
  <c r="K63" i="34" s="1"/>
  <c r="K64" i="34" s="1"/>
  <c r="E287" i="14" s="1"/>
  <c r="K56" i="34"/>
  <c r="K57" i="34" s="1"/>
  <c r="E286" i="14" s="1"/>
  <c r="K49" i="34"/>
  <c r="K50" i="34" s="1"/>
  <c r="E285" i="14" s="1"/>
  <c r="I35" i="34"/>
  <c r="K35" i="34" s="1"/>
  <c r="K36" i="34" s="1"/>
  <c r="E283" i="14" s="1"/>
  <c r="K42" i="34"/>
  <c r="K43" i="34" s="1"/>
  <c r="E284" i="14" s="1"/>
  <c r="I28" i="34"/>
  <c r="K28" i="34" s="1"/>
  <c r="K29" i="34" s="1"/>
  <c r="E282" i="14" s="1"/>
  <c r="K21" i="34"/>
  <c r="I14" i="34"/>
  <c r="I13" i="34"/>
  <c r="I12" i="34"/>
  <c r="C146" i="23"/>
  <c r="F6771" i="37"/>
  <c r="H6771" i="37" s="1"/>
  <c r="I6773" i="37" s="1"/>
  <c r="F6718" i="37"/>
  <c r="H6718" i="37" s="1"/>
  <c r="F6713" i="37"/>
  <c r="H6713" i="37" s="1"/>
  <c r="C183" i="23"/>
  <c r="F183" i="23" s="1"/>
  <c r="C182" i="23"/>
  <c r="F182" i="23" s="1"/>
  <c r="F6712" i="37" s="1"/>
  <c r="H6712" i="37" s="1"/>
  <c r="C181" i="23"/>
  <c r="F181" i="23" s="1"/>
  <c r="F6711" i="37" s="1"/>
  <c r="H6711" i="37" s="1"/>
  <c r="F115" i="23"/>
  <c r="H5865" i="37" s="1"/>
  <c r="D115" i="23"/>
  <c r="E115" i="23" s="1"/>
  <c r="F5866" i="37"/>
  <c r="H5866" i="37" s="1"/>
  <c r="F5868" i="37"/>
  <c r="H5868" i="37" s="1"/>
  <c r="F5867" i="37"/>
  <c r="H5867" i="37" s="1"/>
  <c r="F5873" i="37"/>
  <c r="H5873" i="37" s="1"/>
  <c r="I5876" i="37" s="1"/>
  <c r="F5701" i="37"/>
  <c r="H5701" i="37" s="1"/>
  <c r="F5700" i="37"/>
  <c r="H5700" i="37" s="1"/>
  <c r="F5699" i="37"/>
  <c r="H5699" i="37" s="1"/>
  <c r="F5698" i="37"/>
  <c r="H5698" i="37" s="1"/>
  <c r="I5764" i="37"/>
  <c r="I5759" i="37"/>
  <c r="F5706" i="37"/>
  <c r="H5706" i="37" s="1"/>
  <c r="I5708" i="37" s="1"/>
  <c r="C177" i="23"/>
  <c r="F6598" i="37" s="1"/>
  <c r="F5312" i="37"/>
  <c r="F5250" i="37"/>
  <c r="H5250" i="37" s="1"/>
  <c r="G5269" i="37"/>
  <c r="G5268" i="37"/>
  <c r="I5265" i="37"/>
  <c r="C176" i="23"/>
  <c r="F176" i="23" s="1"/>
  <c r="F4686" i="37" s="1"/>
  <c r="C175" i="23"/>
  <c r="F175" i="23"/>
  <c r="F4630" i="37" s="1"/>
  <c r="C173" i="23"/>
  <c r="F173" i="23" s="1"/>
  <c r="C172" i="23"/>
  <c r="F172" i="23" s="1"/>
  <c r="F4518" i="37" s="1"/>
  <c r="C170" i="23"/>
  <c r="C169" i="23"/>
  <c r="C168" i="23"/>
  <c r="F168" i="23" s="1"/>
  <c r="F4463" i="37" s="1"/>
  <c r="F4408" i="37"/>
  <c r="F167" i="23"/>
  <c r="F4574" i="37" l="1"/>
  <c r="F177" i="23"/>
  <c r="D168" i="23"/>
  <c r="E168" i="23" s="1"/>
  <c r="F4800" i="37"/>
  <c r="H4800" i="37" s="1"/>
  <c r="F4742" i="37"/>
  <c r="H4742" i="37" s="1"/>
  <c r="F170" i="23"/>
  <c r="F4465" i="37" s="1"/>
  <c r="F4802" i="37"/>
  <c r="H4802" i="37" s="1"/>
  <c r="F4744" i="37"/>
  <c r="H4744" i="37" s="1"/>
  <c r="F169" i="23"/>
  <c r="F4464" i="37" s="1"/>
  <c r="F4743" i="37"/>
  <c r="H4743" i="37" s="1"/>
  <c r="F4801" i="37"/>
  <c r="H4801" i="37" s="1"/>
  <c r="D177" i="23"/>
  <c r="E177" i="23" s="1"/>
  <c r="D182" i="23"/>
  <c r="E182" i="23" s="1"/>
  <c r="F6765" i="37"/>
  <c r="H6765" i="37" s="1"/>
  <c r="F6766" i="37"/>
  <c r="H6766" i="37" s="1"/>
  <c r="D181" i="23"/>
  <c r="E181" i="23" s="1"/>
  <c r="K89" i="34"/>
  <c r="E102" i="34" s="1"/>
  <c r="E104" i="34"/>
  <c r="I104" i="34" s="1"/>
  <c r="K104" i="34" s="1"/>
  <c r="E106" i="34"/>
  <c r="I106" i="34" s="1"/>
  <c r="K106" i="34" s="1"/>
  <c r="K73" i="34"/>
  <c r="K22" i="34"/>
  <c r="D183" i="23"/>
  <c r="E183" i="23" s="1"/>
  <c r="I5870" i="37"/>
  <c r="I5703" i="37"/>
  <c r="I5260" i="37"/>
  <c r="D176" i="23"/>
  <c r="E176" i="23" s="1"/>
  <c r="D175" i="23"/>
  <c r="E175" i="23" s="1"/>
  <c r="D173" i="23"/>
  <c r="E173" i="23" s="1"/>
  <c r="D172" i="23"/>
  <c r="E172" i="23" s="1"/>
  <c r="D169" i="23"/>
  <c r="E169" i="23" s="1"/>
  <c r="D170" i="23"/>
  <c r="E170" i="23" s="1"/>
  <c r="D167" i="23"/>
  <c r="E167" i="23" s="1"/>
  <c r="I6768" i="37" l="1"/>
  <c r="E290" i="14"/>
  <c r="E281" i="14"/>
  <c r="E105" i="34"/>
  <c r="I105" i="34" s="1"/>
  <c r="K105" i="34" s="1"/>
  <c r="E288" i="14"/>
  <c r="E103" i="34"/>
  <c r="C166" i="23" l="1"/>
  <c r="C165" i="23"/>
  <c r="C164" i="23"/>
  <c r="F3682" i="37"/>
  <c r="H3682" i="37" s="1"/>
  <c r="C163" i="23"/>
  <c r="F3681" i="37" s="1"/>
  <c r="H3681" i="37" s="1"/>
  <c r="F3691" i="37"/>
  <c r="H3691" i="37" s="1"/>
  <c r="D3689" i="37"/>
  <c r="F3689" i="37" s="1"/>
  <c r="H3689" i="37" s="1"/>
  <c r="G3684" i="37"/>
  <c r="D3690" i="37" s="1"/>
  <c r="F3690" i="37" s="1"/>
  <c r="H3690" i="37" s="1"/>
  <c r="F163" i="23"/>
  <c r="F3628" i="37"/>
  <c r="H3628" i="37" s="1"/>
  <c r="F3627" i="37"/>
  <c r="H3627" i="37" s="1"/>
  <c r="C84" i="23"/>
  <c r="F3626" i="37" s="1"/>
  <c r="H3626" i="37" s="1"/>
  <c r="F3633" i="37"/>
  <c r="H3633" i="37" s="1"/>
  <c r="I3635" i="37" s="1"/>
  <c r="F3580" i="37"/>
  <c r="F3578" i="37"/>
  <c r="F3579" i="37"/>
  <c r="H3579" i="37" s="1"/>
  <c r="F3577" i="37"/>
  <c r="H3577" i="37" s="1"/>
  <c r="F3576" i="37"/>
  <c r="H3576" i="37" s="1"/>
  <c r="F3575" i="37"/>
  <c r="H3575" i="37" s="1"/>
  <c r="F3574" i="37"/>
  <c r="H3574" i="37" s="1"/>
  <c r="F3573" i="37"/>
  <c r="H3573" i="37" s="1"/>
  <c r="F3570" i="37"/>
  <c r="F3571" i="37"/>
  <c r="F3572" i="37"/>
  <c r="F3569" i="37"/>
  <c r="H3580" i="37"/>
  <c r="H3578" i="37"/>
  <c r="F3296" i="37"/>
  <c r="H3296" i="37" s="1"/>
  <c r="F3295" i="37"/>
  <c r="H3295" i="37" s="1"/>
  <c r="F3294" i="37"/>
  <c r="H3294" i="37" s="1"/>
  <c r="F3293" i="37"/>
  <c r="H3293" i="37" s="1"/>
  <c r="F3292" i="37"/>
  <c r="H3292" i="37" s="1"/>
  <c r="D78" i="23"/>
  <c r="E78" i="23" s="1"/>
  <c r="F3291" i="37"/>
  <c r="H3291" i="37" s="1"/>
  <c r="F3302" i="37"/>
  <c r="H3302" i="37" s="1"/>
  <c r="I3304" i="37" s="1"/>
  <c r="I3288" i="37"/>
  <c r="F3010" i="37"/>
  <c r="H3010" i="37" s="1"/>
  <c r="F3009" i="37"/>
  <c r="H3009" i="37" s="1"/>
  <c r="F3008" i="37"/>
  <c r="H3008" i="37" s="1"/>
  <c r="F3007" i="37"/>
  <c r="H3007" i="37" s="1"/>
  <c r="F47" i="23"/>
  <c r="D47" i="23"/>
  <c r="E47" i="23" s="1"/>
  <c r="F2949" i="37"/>
  <c r="H2949" i="37" s="1"/>
  <c r="F45" i="23"/>
  <c r="D45" i="23"/>
  <c r="E45" i="23" s="1"/>
  <c r="F2953" i="37"/>
  <c r="H2953" i="37" s="1"/>
  <c r="F2952" i="37"/>
  <c r="H2952" i="37" s="1"/>
  <c r="F2951" i="37"/>
  <c r="H2951" i="37" s="1"/>
  <c r="F2958" i="37"/>
  <c r="H2958" i="37" s="1"/>
  <c r="I2961" i="37" s="1"/>
  <c r="G2950" i="37"/>
  <c r="F3015" i="37"/>
  <c r="H3015" i="37" s="1"/>
  <c r="I3018" i="37" s="1"/>
  <c r="F2897" i="37"/>
  <c r="C162" i="23"/>
  <c r="D162" i="23" s="1"/>
  <c r="E162" i="23" s="1"/>
  <c r="C161" i="23"/>
  <c r="F161" i="23" s="1"/>
  <c r="F2895" i="37" s="1"/>
  <c r="C160" i="23"/>
  <c r="D160" i="23" s="1"/>
  <c r="E160" i="23" s="1"/>
  <c r="C159" i="23"/>
  <c r="D159" i="23" s="1"/>
  <c r="E159" i="23" s="1"/>
  <c r="D84" i="23" l="1"/>
  <c r="E84" i="23" s="1"/>
  <c r="F4974" i="37"/>
  <c r="H4974" i="37" s="1"/>
  <c r="I4976" i="37" s="1"/>
  <c r="F4859" i="37"/>
  <c r="H4859" i="37" s="1"/>
  <c r="I4861" i="37" s="1"/>
  <c r="I4874" i="37" s="1"/>
  <c r="F4806" i="37"/>
  <c r="H4806" i="37" s="1"/>
  <c r="F4748" i="37"/>
  <c r="H4748" i="37" s="1"/>
  <c r="F4355" i="37"/>
  <c r="F4804" i="37"/>
  <c r="H4804" i="37" s="1"/>
  <c r="F4746" i="37"/>
  <c r="H4746" i="37" s="1"/>
  <c r="F162" i="23"/>
  <c r="F2896" i="37" s="1"/>
  <c r="H2896" i="37" s="1"/>
  <c r="F164" i="23"/>
  <c r="F4353" i="37" s="1"/>
  <c r="F4745" i="37"/>
  <c r="H4745" i="37" s="1"/>
  <c r="F4803" i="37"/>
  <c r="H4803" i="37" s="1"/>
  <c r="F84" i="23"/>
  <c r="D165" i="23"/>
  <c r="E165" i="23" s="1"/>
  <c r="F4468" i="37"/>
  <c r="F160" i="23"/>
  <c r="F2894" i="37" s="1"/>
  <c r="F78" i="23"/>
  <c r="D163" i="23"/>
  <c r="E163" i="23" s="1"/>
  <c r="F165" i="23"/>
  <c r="F166" i="23"/>
  <c r="F4466" i="37" s="1"/>
  <c r="D166" i="23"/>
  <c r="E166" i="23" s="1"/>
  <c r="D164" i="23"/>
  <c r="E164" i="23" s="1"/>
  <c r="I3693" i="37"/>
  <c r="I3630" i="37"/>
  <c r="F3011" i="37"/>
  <c r="H3011" i="37" s="1"/>
  <c r="I3012" i="37" s="1"/>
  <c r="D161" i="23"/>
  <c r="E161" i="23" s="1"/>
  <c r="F159" i="23"/>
  <c r="F2893" i="37" s="1"/>
  <c r="F4354" i="37" l="1"/>
  <c r="F4575" i="37"/>
  <c r="F4519" i="37"/>
  <c r="F2902" i="37" l="1"/>
  <c r="H2902" i="37" s="1"/>
  <c r="I2905" i="37" s="1"/>
  <c r="H2897" i="37"/>
  <c r="H2895" i="37"/>
  <c r="H2894" i="37"/>
  <c r="H2893" i="37"/>
  <c r="F2898" i="37" l="1"/>
  <c r="H2898" i="37" s="1"/>
  <c r="I2899" i="37" s="1"/>
  <c r="F2842" i="37" l="1"/>
  <c r="H2842" i="37" s="1"/>
  <c r="I2845" i="37" s="1"/>
  <c r="G2071" i="37"/>
  <c r="G2072" i="37"/>
  <c r="G2172" i="37"/>
  <c r="I1957" i="37"/>
  <c r="H1942" i="37"/>
  <c r="G1836" i="37"/>
  <c r="G1669" i="37"/>
  <c r="G1668" i="37"/>
  <c r="G1613" i="37"/>
  <c r="I628" i="37" l="1"/>
  <c r="I623" i="37"/>
  <c r="I410" i="37"/>
  <c r="I405" i="37"/>
  <c r="I355" i="37"/>
  <c r="I350" i="37"/>
  <c r="I300" i="37"/>
  <c r="I295" i="37"/>
  <c r="I245" i="37"/>
  <c r="I240" i="37"/>
  <c r="I190" i="37"/>
  <c r="I185" i="37"/>
  <c r="I135" i="37" l="1"/>
  <c r="I130" i="37"/>
  <c r="I80" i="37"/>
  <c r="I75" i="37"/>
  <c r="D27" i="50" l="1"/>
  <c r="D33" i="50" s="1"/>
  <c r="D35" i="50" s="1"/>
  <c r="C13" i="49"/>
  <c r="D13" i="49" s="1"/>
  <c r="G13" i="49" s="1"/>
  <c r="I13" i="49" s="1"/>
  <c r="C41" i="49"/>
  <c r="D41" i="49" s="1"/>
  <c r="G41" i="49" s="1"/>
  <c r="I41" i="49" s="1"/>
  <c r="I43" i="49" s="1"/>
  <c r="C14" i="49"/>
  <c r="C33" i="49"/>
  <c r="D33" i="49" s="1"/>
  <c r="G33" i="49" s="1"/>
  <c r="I33" i="49" s="1"/>
  <c r="C32" i="49"/>
  <c r="D32" i="49" s="1"/>
  <c r="G32" i="49" s="1"/>
  <c r="I32" i="49" s="1"/>
  <c r="C31" i="49"/>
  <c r="C30" i="49"/>
  <c r="C29" i="49"/>
  <c r="D29" i="49" s="1"/>
  <c r="G29" i="49" s="1"/>
  <c r="I29" i="49" s="1"/>
  <c r="C28" i="49"/>
  <c r="D28" i="49" s="1"/>
  <c r="G28" i="49" s="1"/>
  <c r="I28" i="49" s="1"/>
  <c r="C20" i="49"/>
  <c r="C19" i="49"/>
  <c r="C18" i="49"/>
  <c r="C17" i="49"/>
  <c r="D17" i="49" s="1"/>
  <c r="G17" i="49" s="1"/>
  <c r="I17" i="49" s="1"/>
  <c r="C16" i="49"/>
  <c r="C15" i="49"/>
  <c r="I56" i="49"/>
  <c r="I55" i="49"/>
  <c r="I54" i="49"/>
  <c r="I53" i="49"/>
  <c r="I52" i="49"/>
  <c r="I51" i="49"/>
  <c r="I50" i="49"/>
  <c r="I49" i="49"/>
  <c r="I48" i="49"/>
  <c r="I47" i="49"/>
  <c r="I46" i="49"/>
  <c r="D31" i="49"/>
  <c r="G31" i="49" s="1"/>
  <c r="I31" i="49" s="1"/>
  <c r="D30" i="49"/>
  <c r="G30" i="49" s="1"/>
  <c r="I30" i="49" s="1"/>
  <c r="D20" i="49"/>
  <c r="G20" i="49" s="1"/>
  <c r="I20" i="49" s="1"/>
  <c r="D19" i="49"/>
  <c r="G19" i="49" s="1"/>
  <c r="I19" i="49" s="1"/>
  <c r="D18" i="49"/>
  <c r="G18" i="49" s="1"/>
  <c r="I18" i="49" s="1"/>
  <c r="D16" i="49"/>
  <c r="G16" i="49" s="1"/>
  <c r="I16" i="49" s="1"/>
  <c r="D15" i="49"/>
  <c r="G15" i="49" s="1"/>
  <c r="I15" i="49" s="1"/>
  <c r="D14" i="49"/>
  <c r="G14" i="49" s="1"/>
  <c r="I14" i="49" s="1"/>
  <c r="K45" i="49" l="1"/>
  <c r="I35" i="49"/>
  <c r="I22" i="49"/>
  <c r="K8" i="49" l="1"/>
  <c r="I21" i="47"/>
  <c r="H21" i="47"/>
  <c r="D21" i="47"/>
  <c r="H115" i="47" l="1"/>
  <c r="G115" i="47"/>
  <c r="F115" i="47"/>
  <c r="E115" i="47"/>
  <c r="D115" i="47"/>
  <c r="G99" i="47"/>
  <c r="F99" i="47"/>
  <c r="E99" i="47"/>
  <c r="D99" i="47"/>
  <c r="I84" i="47"/>
  <c r="G84" i="47"/>
  <c r="F84" i="47"/>
  <c r="E84" i="47"/>
  <c r="D84" i="47"/>
  <c r="F54" i="47"/>
  <c r="E54" i="47"/>
  <c r="D54" i="47"/>
  <c r="H62" i="47"/>
  <c r="E62" i="47"/>
  <c r="D62" i="47"/>
  <c r="I67" i="47"/>
  <c r="H67" i="47"/>
  <c r="F67" i="47"/>
  <c r="E67" i="47"/>
  <c r="D67" i="47"/>
  <c r="G106" i="47"/>
  <c r="F106" i="47"/>
  <c r="E106" i="47"/>
  <c r="D106" i="47"/>
  <c r="G120" i="47"/>
  <c r="F120" i="47"/>
  <c r="E120" i="47"/>
  <c r="D120" i="47"/>
  <c r="E46" i="47"/>
  <c r="D46" i="47"/>
  <c r="I40" i="47"/>
  <c r="E40" i="47"/>
  <c r="D40" i="47"/>
  <c r="H46" i="47" l="1"/>
  <c r="F46" i="47"/>
  <c r="C114" i="47" l="1"/>
  <c r="I114" i="47" s="1"/>
  <c r="C158" i="23" l="1"/>
  <c r="F158" i="23" s="1"/>
  <c r="C157" i="23"/>
  <c r="F157" i="23" s="1"/>
  <c r="C156" i="23"/>
  <c r="F156" i="23" s="1"/>
  <c r="C155" i="23"/>
  <c r="F155" i="23" s="1"/>
  <c r="D158" i="23" l="1"/>
  <c r="E158" i="23" s="1"/>
  <c r="D156" i="23"/>
  <c r="E156" i="23" s="1"/>
  <c r="C112" i="47"/>
  <c r="I112" i="47" s="1"/>
  <c r="C111" i="47"/>
  <c r="I111" i="47" s="1"/>
  <c r="D157" i="23"/>
  <c r="E157" i="23" s="1"/>
  <c r="D155" i="23"/>
  <c r="E155" i="23" s="1"/>
  <c r="C110" i="47" l="1"/>
  <c r="I110" i="47" s="1"/>
  <c r="H6598" i="37"/>
  <c r="I6600" i="37" s="1"/>
  <c r="H5312" i="37"/>
  <c r="I5314" i="37" s="1"/>
  <c r="E6603" i="37"/>
  <c r="F6603" i="37" s="1"/>
  <c r="H6603" i="37" s="1"/>
  <c r="I6605" i="37" s="1"/>
  <c r="E5317" i="37"/>
  <c r="F5317" i="37" s="1"/>
  <c r="H5317" i="37" s="1"/>
  <c r="I5319" i="37" s="1"/>
  <c r="I450" i="34"/>
  <c r="K450" i="34" s="1"/>
  <c r="K451" i="34" s="1"/>
  <c r="E362" i="14" s="1"/>
  <c r="C113" i="47" l="1"/>
  <c r="I113" i="47" s="1"/>
  <c r="I394" i="34" l="1"/>
  <c r="K394" i="34" s="1"/>
  <c r="F4360" i="37"/>
  <c r="H4360" i="37" s="1"/>
  <c r="I4362" i="37" s="1"/>
  <c r="H4355" i="37"/>
  <c r="H4354" i="37"/>
  <c r="H4353" i="37"/>
  <c r="I4350" i="37"/>
  <c r="I378" i="34"/>
  <c r="K378" i="34" s="1"/>
  <c r="K379" i="34" l="1"/>
  <c r="E346" i="14" s="1"/>
  <c r="I4357" i="37"/>
  <c r="F3521" i="37" l="1"/>
  <c r="H3521" i="37" s="1"/>
  <c r="I3523" i="37" s="1"/>
  <c r="F3238" i="37"/>
  <c r="H3238" i="37" s="1"/>
  <c r="F3237" i="37"/>
  <c r="H3237" i="37" s="1"/>
  <c r="F3236" i="37"/>
  <c r="H3236" i="37" s="1"/>
  <c r="F3235" i="37"/>
  <c r="H3235" i="37" s="1"/>
  <c r="F3245" i="37"/>
  <c r="H3245" i="37" s="1"/>
  <c r="I3247" i="37" s="1"/>
  <c r="K350" i="34"/>
  <c r="K336" i="34"/>
  <c r="K351" i="34" l="1"/>
  <c r="E336" i="14" s="1"/>
  <c r="K337" i="34"/>
  <c r="E333" i="14" s="1"/>
  <c r="F51" i="23" l="1"/>
  <c r="D51" i="23"/>
  <c r="E51" i="23" s="1"/>
  <c r="C154" i="23"/>
  <c r="F154" i="23" s="1"/>
  <c r="C153" i="23"/>
  <c r="F153" i="23" s="1"/>
  <c r="C152" i="23"/>
  <c r="F152" i="23" s="1"/>
  <c r="C151" i="23"/>
  <c r="F151" i="23" s="1"/>
  <c r="C150" i="23"/>
  <c r="F2783" i="37" s="1"/>
  <c r="H2783" i="37" s="1"/>
  <c r="F2792" i="37"/>
  <c r="H2792" i="37" s="1"/>
  <c r="I2795" i="37" s="1"/>
  <c r="F150" i="23" l="1"/>
  <c r="D150" i="23"/>
  <c r="E150" i="23" s="1"/>
  <c r="F2787" i="37"/>
  <c r="H2787" i="37" s="1"/>
  <c r="D152" i="23"/>
  <c r="E152" i="23" s="1"/>
  <c r="F2786" i="37"/>
  <c r="H2786" i="37" s="1"/>
  <c r="F2785" i="37"/>
  <c r="H2785" i="37" s="1"/>
  <c r="F2784" i="37"/>
  <c r="H2784" i="37" s="1"/>
  <c r="D154" i="23"/>
  <c r="E154" i="23" s="1"/>
  <c r="D153" i="23"/>
  <c r="E153" i="23" s="1"/>
  <c r="D151" i="23"/>
  <c r="E151" i="23" s="1"/>
  <c r="I2789" i="37" l="1"/>
  <c r="C53" i="47" l="1"/>
  <c r="H53" i="47" s="1"/>
  <c r="F2177" i="37"/>
  <c r="H2177" i="37" s="1"/>
  <c r="F2176" i="37"/>
  <c r="H2176" i="37" s="1"/>
  <c r="F2175" i="37"/>
  <c r="H2175" i="37" s="1"/>
  <c r="F2174" i="37"/>
  <c r="H2174" i="37" s="1"/>
  <c r="H2167" i="37"/>
  <c r="I2184" i="37"/>
  <c r="I102" i="34" l="1"/>
  <c r="K102" i="34" s="1"/>
  <c r="K14" i="34"/>
  <c r="K13" i="34"/>
  <c r="K195" i="34" l="1"/>
  <c r="I187" i="34"/>
  <c r="K187" i="34" s="1"/>
  <c r="C105" i="47" l="1"/>
  <c r="H105" i="47" s="1"/>
  <c r="H106" i="47" s="1"/>
  <c r="C119" i="47" l="1"/>
  <c r="I119" i="47" s="1"/>
  <c r="F1886" i="37"/>
  <c r="G1737" i="37"/>
  <c r="G1736" i="37"/>
  <c r="F1662" i="37" l="1"/>
  <c r="I6720" i="37"/>
  <c r="I6715" i="37"/>
  <c r="C102" i="47" l="1"/>
  <c r="I102" i="47" s="1"/>
  <c r="F3684" i="37"/>
  <c r="H3684" i="37" s="1"/>
  <c r="F3683" i="37"/>
  <c r="H3683" i="37" s="1"/>
  <c r="F130" i="23"/>
  <c r="D130" i="23"/>
  <c r="E130" i="23" s="1"/>
  <c r="I3686" i="37" l="1"/>
  <c r="C81" i="47" l="1"/>
  <c r="H81" i="47" s="1"/>
  <c r="C80" i="47" l="1"/>
  <c r="H80" i="47" s="1"/>
  <c r="F2276" i="37" l="1"/>
  <c r="H2276" i="37" s="1"/>
  <c r="H1606" i="37"/>
  <c r="G2295" i="37"/>
  <c r="G2294" i="37"/>
  <c r="I2291" i="37"/>
  <c r="G2281" i="37"/>
  <c r="I1621" i="37"/>
  <c r="G1386" i="37" l="1"/>
  <c r="I186" i="34" l="1"/>
  <c r="K186" i="34" s="1"/>
  <c r="K188" i="34" l="1"/>
  <c r="E306" i="14" s="1"/>
  <c r="E307" i="14"/>
  <c r="I465" i="37" l="1"/>
  <c r="I460" i="37"/>
  <c r="I103" i="34" l="1"/>
  <c r="F143" i="23" l="1"/>
  <c r="F142" i="23"/>
  <c r="F141" i="23"/>
  <c r="F140" i="23"/>
  <c r="D145" i="23"/>
  <c r="E145" i="23" s="1"/>
  <c r="F145" i="23"/>
  <c r="F144" i="23"/>
  <c r="F139" i="23"/>
  <c r="D139" i="23"/>
  <c r="E139" i="23" s="1"/>
  <c r="F137" i="23"/>
  <c r="D137" i="23"/>
  <c r="E137" i="23" s="1"/>
  <c r="F136" i="23"/>
  <c r="D136" i="23"/>
  <c r="E136" i="23" s="1"/>
  <c r="F128" i="23"/>
  <c r="D128" i="23"/>
  <c r="E128" i="23" s="1"/>
  <c r="F127" i="23"/>
  <c r="D127" i="23"/>
  <c r="E127" i="23" s="1"/>
  <c r="F126" i="23"/>
  <c r="D126" i="23"/>
  <c r="E126" i="23" s="1"/>
  <c r="F108" i="23"/>
  <c r="D108" i="23"/>
  <c r="E108" i="23" s="1"/>
  <c r="C83" i="23"/>
  <c r="F3516" i="37" s="1"/>
  <c r="H3516" i="37" s="1"/>
  <c r="C82" i="23"/>
  <c r="F3515" i="37" s="1"/>
  <c r="H3515" i="37" s="1"/>
  <c r="C73" i="23"/>
  <c r="F3461" i="37" s="1"/>
  <c r="H3461" i="37" s="1"/>
  <c r="C72" i="23"/>
  <c r="F3460" i="37" s="1"/>
  <c r="H3460" i="37" s="1"/>
  <c r="C38" i="23"/>
  <c r="C40" i="23"/>
  <c r="C39" i="23"/>
  <c r="F2392" i="37" s="1"/>
  <c r="H2392" i="37" s="1"/>
  <c r="I3518" i="37" l="1"/>
  <c r="D143" i="23"/>
  <c r="E143" i="23" s="1"/>
  <c r="D141" i="23"/>
  <c r="E141" i="23" s="1"/>
  <c r="D144" i="23"/>
  <c r="E144" i="23" s="1"/>
  <c r="D140" i="23"/>
  <c r="E140" i="23" s="1"/>
  <c r="D142" i="23"/>
  <c r="E142" i="23" s="1"/>
  <c r="C30" i="23" l="1"/>
  <c r="C29" i="23"/>
  <c r="I1845" i="37" l="1"/>
  <c r="H1830" i="37"/>
  <c r="I1396" i="37" l="1"/>
  <c r="G1387" i="37"/>
  <c r="C147" i="23" l="1"/>
  <c r="K169" i="34" l="1"/>
  <c r="K170" i="34" s="1"/>
  <c r="E304" i="14" s="1"/>
  <c r="I161" i="34"/>
  <c r="K161" i="34" s="1"/>
  <c r="I129" i="34"/>
  <c r="I114" i="34"/>
  <c r="K114" i="34" s="1"/>
  <c r="K129" i="34" l="1"/>
  <c r="F2125" i="37" l="1"/>
  <c r="H2125" i="37" s="1"/>
  <c r="G2119" i="37"/>
  <c r="C56" i="23" l="1"/>
  <c r="C25" i="44" l="1"/>
  <c r="C15" i="44"/>
  <c r="G1725" i="37"/>
  <c r="G2571" i="37" l="1"/>
  <c r="I233" i="34"/>
  <c r="K233" i="34" s="1"/>
  <c r="D2010" i="37"/>
  <c r="F2010" i="37" s="1"/>
  <c r="H2010" i="37" s="1"/>
  <c r="I2012" i="37" s="1"/>
  <c r="G1331" i="37" l="1"/>
  <c r="C11" i="23" l="1"/>
  <c r="I33" i="44" l="1"/>
  <c r="C17" i="44"/>
  <c r="C16" i="44"/>
  <c r="C11" i="43"/>
  <c r="C11" i="41"/>
  <c r="F33" i="23" l="1"/>
  <c r="F2116" i="37" s="1"/>
  <c r="F32" i="23"/>
  <c r="F2117" i="37" s="1"/>
  <c r="H2117" i="37" s="1"/>
  <c r="H2116" i="37" l="1"/>
  <c r="I232" i="34"/>
  <c r="K232" i="34" s="1"/>
  <c r="K235" i="34" s="1"/>
  <c r="E312" i="14" s="1"/>
  <c r="I160" i="34" l="1"/>
  <c r="K160" i="34" s="1"/>
  <c r="I159" i="34"/>
  <c r="K159" i="34" s="1"/>
  <c r="F1215" i="37"/>
  <c r="H1215" i="37" s="1"/>
  <c r="F1229" i="37"/>
  <c r="H1229" i="37" s="1"/>
  <c r="F1228" i="37"/>
  <c r="H1228" i="37" s="1"/>
  <c r="G1179" i="37"/>
  <c r="G1178" i="37"/>
  <c r="K163" i="34" l="1"/>
  <c r="E303" i="14" s="1"/>
  <c r="I1231" i="37"/>
  <c r="E127" i="33" l="1"/>
  <c r="F24" i="33"/>
  <c r="F21" i="33"/>
  <c r="F80" i="33" l="1"/>
  <c r="F77" i="33"/>
  <c r="E15" i="33"/>
  <c r="G15" i="33" s="1"/>
  <c r="D10" i="26"/>
  <c r="E10" i="26" s="1"/>
  <c r="F10" i="26" s="1"/>
  <c r="C25" i="24"/>
  <c r="F2443" i="37" l="1"/>
  <c r="H2443" i="37" s="1"/>
  <c r="F2054" i="37"/>
  <c r="F5138" i="37"/>
  <c r="H5138" i="37" s="1"/>
  <c r="F4237" i="37"/>
  <c r="H4237" i="37" s="1"/>
  <c r="E10" i="25"/>
  <c r="D20" i="25" s="1"/>
  <c r="D18" i="25" l="1"/>
  <c r="D14" i="25"/>
  <c r="D15" i="25"/>
  <c r="D19" i="25"/>
  <c r="D17" i="25"/>
  <c r="D16" i="25"/>
  <c r="F132" i="23"/>
  <c r="D132" i="23" l="1"/>
  <c r="E132" i="23" s="1"/>
  <c r="D7" i="23"/>
  <c r="E7" i="23" s="1"/>
  <c r="C58" i="23"/>
  <c r="D106" i="23" l="1"/>
  <c r="E106" i="23" s="1"/>
  <c r="F106" i="23"/>
  <c r="C27" i="23"/>
  <c r="F13" i="23"/>
  <c r="D13" i="23"/>
  <c r="E13" i="23" s="1"/>
  <c r="D9" i="23"/>
  <c r="E9" i="23" s="1"/>
  <c r="F9" i="23"/>
  <c r="D10" i="23"/>
  <c r="E10" i="23" s="1"/>
  <c r="F10" i="23"/>
  <c r="D11" i="23"/>
  <c r="E11" i="23" s="1"/>
  <c r="F11" i="23"/>
  <c r="D12" i="23"/>
  <c r="E12" i="23" s="1"/>
  <c r="F12" i="23"/>
  <c r="D14" i="23"/>
  <c r="E14" i="23" s="1"/>
  <c r="F14" i="23"/>
  <c r="D15" i="23"/>
  <c r="E15" i="23" s="1"/>
  <c r="F15" i="23"/>
  <c r="D16" i="23"/>
  <c r="E16" i="23" s="1"/>
  <c r="F16" i="23"/>
  <c r="D17" i="23"/>
  <c r="E17" i="23" s="1"/>
  <c r="F17" i="23"/>
  <c r="E189" i="33" s="1"/>
  <c r="D18" i="23"/>
  <c r="E18" i="23" s="1"/>
  <c r="F18" i="23"/>
  <c r="E245" i="33" s="1"/>
  <c r="F7" i="23"/>
  <c r="F4805" i="37" l="1"/>
  <c r="H4805" i="37" s="1"/>
  <c r="I4808" i="37" s="1"/>
  <c r="F4747" i="37"/>
  <c r="H4747" i="37" s="1"/>
  <c r="I4750" i="37" s="1"/>
  <c r="F4189" i="37"/>
  <c r="H4189" i="37" s="1"/>
  <c r="I4191" i="37" s="1"/>
  <c r="F4133" i="37"/>
  <c r="H4133" i="37" s="1"/>
  <c r="I4135" i="37" s="1"/>
  <c r="F4022" i="37"/>
  <c r="H4022" i="37" s="1"/>
  <c r="I4024" i="37" s="1"/>
  <c r="F3966" i="37"/>
  <c r="H3966" i="37" s="1"/>
  <c r="I3968" i="37" s="1"/>
  <c r="F3910" i="37"/>
  <c r="H3910" i="37" s="1"/>
  <c r="I3912" i="37" s="1"/>
  <c r="F3856" i="37"/>
  <c r="H3856" i="37" s="1"/>
  <c r="I3858" i="37" s="1"/>
  <c r="F3406" i="37"/>
  <c r="H3406" i="37" s="1"/>
  <c r="I3408" i="37" s="1"/>
  <c r="F4078" i="37"/>
  <c r="H4078" i="37" s="1"/>
  <c r="I4080" i="37" s="1"/>
  <c r="F3798" i="37"/>
  <c r="H3798" i="37" s="1"/>
  <c r="I3800" i="37" s="1"/>
  <c r="F3462" i="37"/>
  <c r="H3462" i="37" s="1"/>
  <c r="I3464" i="37" s="1"/>
  <c r="F3351" i="37"/>
  <c r="H3351" i="37" s="1"/>
  <c r="I3353" i="37" s="1"/>
  <c r="E77" i="33"/>
  <c r="F3125" i="37"/>
  <c r="H3125" i="37" s="1"/>
  <c r="F3297" i="37"/>
  <c r="H3297" i="37" s="1"/>
  <c r="I3299" i="37" s="1"/>
  <c r="F4467" i="37"/>
  <c r="F1221" i="37"/>
  <c r="H1221" i="37" s="1"/>
  <c r="C59" i="47"/>
  <c r="G59" i="47" s="1"/>
  <c r="F3239" i="37"/>
  <c r="H3239" i="37" s="1"/>
  <c r="I3242" i="37" s="1"/>
  <c r="F3581" i="37"/>
  <c r="F1222" i="37"/>
  <c r="H1222" i="37" s="1"/>
  <c r="E24" i="33"/>
  <c r="E80" i="33"/>
  <c r="I1225" i="37" l="1"/>
  <c r="C109" i="47"/>
  <c r="I109" i="47" s="1"/>
  <c r="K471" i="34"/>
  <c r="D149" i="23"/>
  <c r="E149" i="23" s="1"/>
  <c r="F149" i="23"/>
  <c r="K472" i="34" l="1"/>
  <c r="E368" i="14" s="1"/>
  <c r="K465" i="34"/>
  <c r="E364" i="14" s="1"/>
  <c r="F123" i="23"/>
  <c r="F148" i="23"/>
  <c r="D148" i="23"/>
  <c r="E148" i="23" s="1"/>
  <c r="F146" i="23"/>
  <c r="D146" i="23"/>
  <c r="E146" i="23" s="1"/>
  <c r="D147" i="23"/>
  <c r="E147" i="23" s="1"/>
  <c r="F110" i="23"/>
  <c r="D110" i="23"/>
  <c r="E110" i="23" s="1"/>
  <c r="D135" i="23"/>
  <c r="E135" i="23" s="1"/>
  <c r="F134" i="23"/>
  <c r="F133" i="23"/>
  <c r="F131" i="23"/>
  <c r="F135" i="23" l="1"/>
  <c r="D131" i="23"/>
  <c r="E131" i="23" s="1"/>
  <c r="F147" i="23"/>
  <c r="D123" i="23"/>
  <c r="E123" i="23" s="1"/>
  <c r="D134" i="23"/>
  <c r="E134" i="23" s="1"/>
  <c r="D133" i="23"/>
  <c r="E133" i="23" s="1"/>
  <c r="I1733" i="37" l="1"/>
  <c r="H1718" i="37"/>
  <c r="F129" i="23" l="1"/>
  <c r="D129" i="23"/>
  <c r="E129" i="23" s="1"/>
  <c r="F124" i="23"/>
  <c r="F122" i="23"/>
  <c r="D124" i="23" l="1"/>
  <c r="E124" i="23" s="1"/>
  <c r="D122" i="23"/>
  <c r="E122" i="23" s="1"/>
  <c r="I392" i="34" l="1"/>
  <c r="K392" i="34" s="1"/>
  <c r="K395" i="34" s="1"/>
  <c r="E348" i="14" s="1"/>
  <c r="K385" i="34"/>
  <c r="F4413" i="37"/>
  <c r="H4413" i="37" s="1"/>
  <c r="I4416" i="37" s="1"/>
  <c r="H4408" i="37"/>
  <c r="I4410" i="37" s="1"/>
  <c r="F105" i="23"/>
  <c r="F104" i="23"/>
  <c r="F103" i="23"/>
  <c r="F102" i="23"/>
  <c r="F101" i="23"/>
  <c r="D100" i="23"/>
  <c r="E100" i="23" s="1"/>
  <c r="D99" i="23"/>
  <c r="E99" i="23" s="1"/>
  <c r="F98" i="23"/>
  <c r="F97" i="23"/>
  <c r="F96" i="23"/>
  <c r="D96" i="23"/>
  <c r="E96" i="23" s="1"/>
  <c r="F93" i="23"/>
  <c r="D93" i="23"/>
  <c r="E93" i="23" s="1"/>
  <c r="F95" i="23"/>
  <c r="D94" i="23"/>
  <c r="E94" i="23" s="1"/>
  <c r="D92" i="23"/>
  <c r="E92" i="23" s="1"/>
  <c r="F91" i="23"/>
  <c r="F90" i="23"/>
  <c r="F85" i="23"/>
  <c r="D89" i="23"/>
  <c r="E89" i="23" s="1"/>
  <c r="F88" i="23"/>
  <c r="F87" i="23"/>
  <c r="F86" i="23"/>
  <c r="D83" i="23"/>
  <c r="E83" i="23" s="1"/>
  <c r="D82" i="23"/>
  <c r="E82" i="23" s="1"/>
  <c r="F81" i="23"/>
  <c r="D81" i="23"/>
  <c r="E81" i="23" s="1"/>
  <c r="F80" i="23"/>
  <c r="D80" i="23"/>
  <c r="E80" i="23" s="1"/>
  <c r="F79" i="23"/>
  <c r="D79" i="23"/>
  <c r="E79" i="23" s="1"/>
  <c r="F77" i="23"/>
  <c r="D77" i="23"/>
  <c r="E77" i="23" s="1"/>
  <c r="F76" i="23"/>
  <c r="D76" i="23"/>
  <c r="E76" i="23" s="1"/>
  <c r="F75" i="23"/>
  <c r="D75" i="23"/>
  <c r="E75" i="23" s="1"/>
  <c r="D74" i="23"/>
  <c r="E74" i="23" s="1"/>
  <c r="F73" i="23"/>
  <c r="D73" i="23"/>
  <c r="E73" i="23" s="1"/>
  <c r="F72" i="23"/>
  <c r="D72" i="23"/>
  <c r="E72" i="23" s="1"/>
  <c r="D71" i="23"/>
  <c r="E71" i="23" s="1"/>
  <c r="F70" i="23"/>
  <c r="D70" i="23"/>
  <c r="E70" i="23" s="1"/>
  <c r="F69" i="23"/>
  <c r="D69" i="23"/>
  <c r="E69" i="23" s="1"/>
  <c r="F68" i="23"/>
  <c r="F67" i="23"/>
  <c r="D67" i="23"/>
  <c r="E67" i="23" s="1"/>
  <c r="F65" i="23"/>
  <c r="D65" i="23"/>
  <c r="E65" i="23" s="1"/>
  <c r="F64" i="23"/>
  <c r="D64" i="23"/>
  <c r="E64" i="23" s="1"/>
  <c r="D63" i="23"/>
  <c r="E63" i="23" s="1"/>
  <c r="K386" i="34" l="1"/>
  <c r="E347" i="14" s="1"/>
  <c r="F83" i="23"/>
  <c r="D88" i="23"/>
  <c r="E88" i="23" s="1"/>
  <c r="F99" i="23"/>
  <c r="D90" i="23"/>
  <c r="E90" i="23" s="1"/>
  <c r="D97" i="23"/>
  <c r="E97" i="23" s="1"/>
  <c r="D101" i="23"/>
  <c r="E101" i="23" s="1"/>
  <c r="D87" i="23"/>
  <c r="E87" i="23" s="1"/>
  <c r="F92" i="23"/>
  <c r="F94" i="23"/>
  <c r="D95" i="23"/>
  <c r="E95" i="23" s="1"/>
  <c r="D98" i="23"/>
  <c r="E98" i="23" s="1"/>
  <c r="F63" i="23"/>
  <c r="F82" i="23"/>
  <c r="D86" i="23"/>
  <c r="E86" i="23" s="1"/>
  <c r="D91" i="23"/>
  <c r="E91" i="23" s="1"/>
  <c r="F100" i="23"/>
  <c r="F89" i="23"/>
  <c r="D85" i="23"/>
  <c r="E85" i="23" s="1"/>
  <c r="D102" i="23"/>
  <c r="E102" i="23" s="1"/>
  <c r="D103" i="23"/>
  <c r="E103" i="23" s="1"/>
  <c r="D104" i="23"/>
  <c r="E104" i="23" s="1"/>
  <c r="D105" i="23"/>
  <c r="E105" i="23" s="1"/>
  <c r="F74" i="23"/>
  <c r="D68" i="23"/>
  <c r="E68" i="23" s="1"/>
  <c r="F71" i="23"/>
  <c r="F57" i="23" l="1"/>
  <c r="D58" i="23"/>
  <c r="E58" i="23" s="1"/>
  <c r="F62" i="23"/>
  <c r="D62" i="23"/>
  <c r="E62" i="23" s="1"/>
  <c r="F61" i="23"/>
  <c r="D61" i="23"/>
  <c r="E61" i="23" s="1"/>
  <c r="F60" i="23"/>
  <c r="D60" i="23"/>
  <c r="E60" i="23" s="1"/>
  <c r="C59" i="23"/>
  <c r="F59" i="23" s="1"/>
  <c r="F56" i="23"/>
  <c r="D57" i="23" l="1"/>
  <c r="E57" i="23" s="1"/>
  <c r="F58" i="23"/>
  <c r="D59" i="23"/>
  <c r="E59" i="23" s="1"/>
  <c r="D56" i="23"/>
  <c r="E56" i="23" s="1"/>
  <c r="F55" i="23" l="1"/>
  <c r="F2115" i="37" s="1"/>
  <c r="H2115" i="37" s="1"/>
  <c r="D55" i="23"/>
  <c r="E55" i="23" s="1"/>
  <c r="G2560" i="37"/>
  <c r="K278" i="34"/>
  <c r="E320" i="14" s="1"/>
  <c r="I268" i="34" l="1"/>
  <c r="K268" i="34" s="1"/>
  <c r="I266" i="34"/>
  <c r="K266" i="34" s="1"/>
  <c r="K269" i="34" s="1"/>
  <c r="I2068" i="37"/>
  <c r="H2054" i="37"/>
  <c r="I1901" i="37"/>
  <c r="H1886" i="37"/>
  <c r="I2347" i="37"/>
  <c r="H2332" i="37"/>
  <c r="F1270" i="37"/>
  <c r="H1270" i="37" s="1"/>
  <c r="G1289" i="37"/>
  <c r="F1284" i="37"/>
  <c r="H1284" i="37" s="1"/>
  <c r="F1283" i="37"/>
  <c r="H1283" i="37" s="1"/>
  <c r="I1280" i="37"/>
  <c r="G1068" i="37"/>
  <c r="F1049" i="37"/>
  <c r="H1049" i="37" s="1"/>
  <c r="F1063" i="37"/>
  <c r="H1063" i="37" s="1"/>
  <c r="F1062" i="37"/>
  <c r="H1062" i="37" s="1"/>
  <c r="I1059" i="37"/>
  <c r="I574" i="37"/>
  <c r="I569" i="37"/>
  <c r="E324" i="14" l="1"/>
  <c r="E319" i="14"/>
  <c r="I1286" i="37"/>
  <c r="I1065" i="37"/>
  <c r="I241" i="34" l="1"/>
  <c r="K241" i="34" s="1"/>
  <c r="K242" i="34" l="1"/>
  <c r="E313" i="14" s="1"/>
  <c r="L136" i="34" l="1"/>
  <c r="L144" i="34" s="1"/>
  <c r="E298" i="14" l="1"/>
  <c r="I128" i="34"/>
  <c r="I127" i="34"/>
  <c r="K127" i="34" l="1"/>
  <c r="K128" i="34"/>
  <c r="K130" i="34" l="1"/>
  <c r="E297" i="14" s="1"/>
  <c r="I116" i="34"/>
  <c r="K116" i="34" s="1"/>
  <c r="K121" i="34" l="1"/>
  <c r="E296" i="14" s="1"/>
  <c r="K103" i="34"/>
  <c r="K107" i="34" s="1"/>
  <c r="E292" i="14" s="1"/>
  <c r="I152" i="34" l="1"/>
  <c r="D29" i="45"/>
  <c r="D31" i="45" s="1"/>
  <c r="D37" i="45" s="1"/>
  <c r="D39" i="45" s="1"/>
  <c r="D40" i="45" s="1"/>
  <c r="D35" i="45"/>
  <c r="D25" i="44"/>
  <c r="G25" i="44" s="1"/>
  <c r="I25" i="44" s="1"/>
  <c r="D17" i="44"/>
  <c r="G17" i="44" s="1"/>
  <c r="I17" i="44" s="1"/>
  <c r="D16" i="44"/>
  <c r="G16" i="44" s="1"/>
  <c r="I16" i="44" s="1"/>
  <c r="D15" i="44"/>
  <c r="G15" i="44" s="1"/>
  <c r="I15" i="44" s="1"/>
  <c r="I35" i="44"/>
  <c r="I34" i="44"/>
  <c r="I32" i="44"/>
  <c r="K31" i="44" l="1"/>
  <c r="I19" i="44"/>
  <c r="I27" i="44"/>
  <c r="K10" i="44" l="1"/>
  <c r="D138" i="23" l="1"/>
  <c r="E138" i="23" s="1"/>
  <c r="D118" i="23"/>
  <c r="E118" i="23" s="1"/>
  <c r="D117" i="23"/>
  <c r="E117" i="23" s="1"/>
  <c r="D116" i="23"/>
  <c r="E116" i="23" s="1"/>
  <c r="D112" i="23"/>
  <c r="E112" i="23" s="1"/>
  <c r="D111" i="23"/>
  <c r="E111" i="23" s="1"/>
  <c r="D109" i="23"/>
  <c r="E109" i="23" s="1"/>
  <c r="D107" i="23"/>
  <c r="E107" i="23" s="1"/>
  <c r="D54" i="23"/>
  <c r="E54" i="23" s="1"/>
  <c r="D53" i="23"/>
  <c r="E53" i="23" s="1"/>
  <c r="D52" i="23"/>
  <c r="E52" i="23" s="1"/>
  <c r="D50" i="23"/>
  <c r="E50" i="23" s="1"/>
  <c r="D46" i="23"/>
  <c r="E46" i="23" s="1"/>
  <c r="D44" i="23"/>
  <c r="E44" i="23" s="1"/>
  <c r="D43" i="23"/>
  <c r="E43" i="23" s="1"/>
  <c r="D42" i="23"/>
  <c r="E42" i="23" s="1"/>
  <c r="D41" i="23"/>
  <c r="E41" i="23" s="1"/>
  <c r="D40" i="23"/>
  <c r="E40" i="23" s="1"/>
  <c r="D39" i="23"/>
  <c r="E39" i="23" s="1"/>
  <c r="D38" i="23"/>
  <c r="E38" i="23" s="1"/>
  <c r="D66" i="23"/>
  <c r="E66" i="23" s="1"/>
  <c r="D37" i="23"/>
  <c r="E37" i="23" s="1"/>
  <c r="D36" i="23"/>
  <c r="E36" i="23" s="1"/>
  <c r="D35" i="23"/>
  <c r="E35" i="23" s="1"/>
  <c r="D34" i="23"/>
  <c r="E34" i="23" s="1"/>
  <c r="D31" i="23"/>
  <c r="E31" i="23" s="1"/>
  <c r="D26" i="23"/>
  <c r="E26" i="23" s="1"/>
  <c r="D25" i="23"/>
  <c r="E25" i="23" s="1"/>
  <c r="D24" i="23"/>
  <c r="E24" i="23" s="1"/>
  <c r="D23" i="23"/>
  <c r="E23" i="23" s="1"/>
  <c r="D22" i="23"/>
  <c r="E22" i="23" s="1"/>
  <c r="D20" i="23"/>
  <c r="E20" i="23" s="1"/>
  <c r="D8" i="23"/>
  <c r="E8" i="23" s="1"/>
  <c r="D11" i="43"/>
  <c r="G11" i="43" s="1"/>
  <c r="I11" i="43" s="1"/>
  <c r="I13" i="43" s="1"/>
  <c r="E11" i="42" s="1"/>
  <c r="F11" i="42" s="1"/>
  <c r="F34" i="42"/>
  <c r="F33" i="42"/>
  <c r="F32" i="42"/>
  <c r="F31" i="42"/>
  <c r="F30" i="42"/>
  <c r="F29" i="42"/>
  <c r="F28" i="42"/>
  <c r="F27" i="42"/>
  <c r="G26" i="42"/>
  <c r="F26" i="42"/>
  <c r="F25" i="42"/>
  <c r="F24" i="42"/>
  <c r="F23" i="42"/>
  <c r="G22" i="42"/>
  <c r="F22" i="42"/>
  <c r="F21" i="42"/>
  <c r="F20" i="42"/>
  <c r="F19" i="42"/>
  <c r="F18" i="42"/>
  <c r="F17" i="42"/>
  <c r="D11" i="41"/>
  <c r="G11" i="41" s="1"/>
  <c r="I11" i="41" s="1"/>
  <c r="I13" i="41" s="1"/>
  <c r="E21" i="40" s="1"/>
  <c r="F21" i="40" s="1"/>
  <c r="F22" i="40" s="1"/>
  <c r="F17" i="40"/>
  <c r="F16" i="40"/>
  <c r="F15" i="40"/>
  <c r="F11" i="40"/>
  <c r="F10" i="40"/>
  <c r="F18" i="40" l="1"/>
  <c r="F12" i="40"/>
  <c r="F12" i="42"/>
  <c r="F35" i="42"/>
  <c r="F25" i="40" l="1"/>
  <c r="G37" i="42"/>
  <c r="F4692" i="37" l="1"/>
  <c r="H4692" i="37" s="1"/>
  <c r="I4694" i="37" s="1"/>
  <c r="H4687" i="37"/>
  <c r="H4686" i="37"/>
  <c r="I4689" i="37" l="1"/>
  <c r="F4580" i="37" l="1"/>
  <c r="H4580" i="37" s="1"/>
  <c r="I4582" i="37" s="1"/>
  <c r="H4575" i="37"/>
  <c r="H4574" i="37"/>
  <c r="F4524" i="37"/>
  <c r="H4524" i="37" s="1"/>
  <c r="I4527" i="37" s="1"/>
  <c r="H4519" i="37"/>
  <c r="H4518" i="37"/>
  <c r="F4473" i="37"/>
  <c r="H4473" i="37" s="1"/>
  <c r="I4475" i="37" s="1"/>
  <c r="H4468" i="37"/>
  <c r="H4467" i="37"/>
  <c r="H4466" i="37"/>
  <c r="H4465" i="37"/>
  <c r="H4464" i="37"/>
  <c r="H4463" i="37"/>
  <c r="F3586" i="37"/>
  <c r="H3586" i="37" s="1"/>
  <c r="I3589" i="37" s="1"/>
  <c r="H3572" i="37"/>
  <c r="H3571" i="37"/>
  <c r="H3570" i="37"/>
  <c r="H3569" i="37"/>
  <c r="F54" i="23"/>
  <c r="I1677" i="37"/>
  <c r="H1662" i="37"/>
  <c r="G1557" i="37"/>
  <c r="H1166" i="37"/>
  <c r="F5207" i="37"/>
  <c r="H5207" i="37" s="1"/>
  <c r="I5209" i="37" s="1"/>
  <c r="F4636" i="37"/>
  <c r="H4636" i="37" s="1"/>
  <c r="I4638" i="37" s="1"/>
  <c r="H4631" i="37"/>
  <c r="H4630" i="37"/>
  <c r="I2128" i="37"/>
  <c r="F2733" i="37"/>
  <c r="H2733" i="37" s="1"/>
  <c r="I2736" i="37" s="1"/>
  <c r="F2684" i="37"/>
  <c r="H2684" i="37" s="1"/>
  <c r="F2678" i="37"/>
  <c r="H2678" i="37" s="1"/>
  <c r="I2680" i="37" s="1"/>
  <c r="I2567" i="37"/>
  <c r="F2510" i="37"/>
  <c r="H2510" i="37" s="1"/>
  <c r="I2512" i="37" s="1"/>
  <c r="I1565" i="37"/>
  <c r="F1341" i="37"/>
  <c r="H1341" i="37" s="1"/>
  <c r="D1340" i="37"/>
  <c r="F1340" i="37" s="1"/>
  <c r="H1340" i="37" s="1"/>
  <c r="D1339" i="37"/>
  <c r="F1339" i="37" s="1"/>
  <c r="H1339" i="37" s="1"/>
  <c r="F1325" i="37"/>
  <c r="H1325" i="37" s="1"/>
  <c r="I1328" i="37" s="1"/>
  <c r="I1175" i="37"/>
  <c r="F1160" i="37"/>
  <c r="H1160" i="37" s="1"/>
  <c r="I1112" i="37"/>
  <c r="G33" i="37"/>
  <c r="G32" i="37"/>
  <c r="G31" i="37"/>
  <c r="F26" i="37"/>
  <c r="H26" i="37" s="1"/>
  <c r="I28" i="37" s="1"/>
  <c r="G21" i="37"/>
  <c r="G20" i="37"/>
  <c r="F13" i="37"/>
  <c r="H13" i="37" s="1"/>
  <c r="I4577" i="37" l="1"/>
  <c r="I4470" i="37"/>
  <c r="I4521" i="37"/>
  <c r="I1170" i="37"/>
  <c r="I1342" i="37"/>
  <c r="I1117" i="37"/>
  <c r="I4633" i="37"/>
  <c r="E78" i="33"/>
  <c r="E22" i="33"/>
  <c r="C30" i="33"/>
  <c r="F138" i="23" l="1"/>
  <c r="F118" i="23"/>
  <c r="F117" i="23"/>
  <c r="F116" i="23"/>
  <c r="F112" i="23"/>
  <c r="F111" i="23"/>
  <c r="F109" i="23"/>
  <c r="F107" i="23"/>
  <c r="D121" i="23"/>
  <c r="E121" i="23" s="1"/>
  <c r="D120" i="23"/>
  <c r="E120" i="23" s="1"/>
  <c r="D119" i="23"/>
  <c r="E119" i="23" s="1"/>
  <c r="F53" i="23"/>
  <c r="F52" i="23"/>
  <c r="F50" i="23"/>
  <c r="F3123" i="37" s="1"/>
  <c r="H3123" i="37" s="1"/>
  <c r="F46" i="23"/>
  <c r="F44" i="23"/>
  <c r="F2837" i="37" s="1"/>
  <c r="H2837" i="37" s="1"/>
  <c r="I2839" i="37" s="1"/>
  <c r="F43" i="23"/>
  <c r="F40" i="23"/>
  <c r="F5201" i="37" l="1"/>
  <c r="H5201" i="37" s="1"/>
  <c r="F5202" i="37"/>
  <c r="H5202" i="37" s="1"/>
  <c r="F5199" i="37"/>
  <c r="H5199" i="37" s="1"/>
  <c r="F5200" i="37"/>
  <c r="H5200" i="37" s="1"/>
  <c r="F119" i="23"/>
  <c r="F2728" i="37"/>
  <c r="H2728" i="37" s="1"/>
  <c r="I2730" i="37" s="1"/>
  <c r="F121" i="23"/>
  <c r="F2672" i="37"/>
  <c r="H2672" i="37" s="1"/>
  <c r="I2675" i="37" s="1"/>
  <c r="F120" i="23"/>
  <c r="F2504" i="37"/>
  <c r="H2504" i="37" s="1"/>
  <c r="I5204" i="37" l="1"/>
  <c r="I415" i="34" l="1"/>
  <c r="K415" i="34" s="1"/>
  <c r="I408" i="34"/>
  <c r="K408" i="34" s="1"/>
  <c r="K409" i="34" s="1"/>
  <c r="E350" i="14" s="1"/>
  <c r="I401" i="34"/>
  <c r="K401" i="34" s="1"/>
  <c r="K402" i="34" s="1"/>
  <c r="E349" i="14" s="1"/>
  <c r="K416" i="34" l="1"/>
  <c r="E351" i="14" s="1"/>
  <c r="K12" i="34" l="1"/>
  <c r="K15" i="34" s="1"/>
  <c r="E280" i="14" s="1"/>
  <c r="K443" i="34"/>
  <c r="K444" i="34" s="1"/>
  <c r="E358" i="14" s="1"/>
  <c r="K152" i="34" l="1"/>
  <c r="K153" i="34" l="1"/>
  <c r="E299" i="14" s="1"/>
  <c r="D10" i="25"/>
  <c r="E144" i="33"/>
  <c r="G144" i="33" s="1"/>
  <c r="E142" i="33"/>
  <c r="G142" i="33" s="1"/>
  <c r="E85" i="33"/>
  <c r="G85" i="33" s="1"/>
  <c r="E29" i="33"/>
  <c r="G29" i="33" s="1"/>
  <c r="E32" i="33"/>
  <c r="G32" i="33" s="1"/>
  <c r="F42" i="23"/>
  <c r="F41" i="23"/>
  <c r="C31" i="33"/>
  <c r="E31" i="33" s="1"/>
  <c r="G31" i="33" s="1"/>
  <c r="H18" i="33"/>
  <c r="H38" i="33"/>
  <c r="E30" i="33"/>
  <c r="G30" i="33" s="1"/>
  <c r="G22" i="33"/>
  <c r="E251" i="33"/>
  <c r="G251" i="33" s="1"/>
  <c r="H253" i="33" s="1"/>
  <c r="G245" i="33"/>
  <c r="E195" i="33"/>
  <c r="G195" i="33" s="1"/>
  <c r="H197" i="33" s="1"/>
  <c r="G189" i="33"/>
  <c r="E145" i="33"/>
  <c r="G145" i="33" s="1"/>
  <c r="C143" i="33"/>
  <c r="E143" i="33" s="1"/>
  <c r="G143" i="33" s="1"/>
  <c r="G127" i="33"/>
  <c r="H130" i="33" s="1"/>
  <c r="H94" i="33"/>
  <c r="E88" i="33"/>
  <c r="G88" i="33" s="1"/>
  <c r="C87" i="33"/>
  <c r="E87" i="33" s="1"/>
  <c r="G87" i="33" s="1"/>
  <c r="C86" i="33"/>
  <c r="E86" i="33" s="1"/>
  <c r="G86" i="33" s="1"/>
  <c r="G78" i="33"/>
  <c r="E71" i="33"/>
  <c r="G71" i="33" s="1"/>
  <c r="H74" i="33" s="1"/>
  <c r="G77" i="33" l="1"/>
  <c r="H33" i="33"/>
  <c r="G24" i="33"/>
  <c r="H89" i="33"/>
  <c r="G80" i="33"/>
  <c r="H147" i="33"/>
  <c r="F39" i="23" l="1"/>
  <c r="F2002" i="37" s="1"/>
  <c r="H2002" i="37" s="1"/>
  <c r="F8" i="23" l="1"/>
  <c r="F19" i="37" l="1"/>
  <c r="H19" i="37" s="1"/>
  <c r="E19" i="25"/>
  <c r="E17" i="25"/>
  <c r="E15" i="25"/>
  <c r="E20" i="25"/>
  <c r="E18" i="25"/>
  <c r="E16" i="25"/>
  <c r="E14" i="25"/>
  <c r="D1792" i="37" l="1"/>
  <c r="F1792" i="37" s="1"/>
  <c r="H1792" i="37" s="1"/>
  <c r="D1456" i="37"/>
  <c r="F1456" i="37" s="1"/>
  <c r="H1456" i="37" s="1"/>
  <c r="D4308" i="37"/>
  <c r="F4308" i="37" s="1"/>
  <c r="H4308" i="37" s="1"/>
  <c r="D6554" i="37"/>
  <c r="F6554" i="37" s="1"/>
  <c r="H6554" i="37" s="1"/>
  <c r="D5155" i="37"/>
  <c r="F5155" i="37" s="1"/>
  <c r="H5155" i="37" s="1"/>
  <c r="D4927" i="37"/>
  <c r="F4927" i="37" s="1"/>
  <c r="H4927" i="37" s="1"/>
  <c r="D4089" i="37"/>
  <c r="F4089" i="37" s="1"/>
  <c r="H4089" i="37" s="1"/>
  <c r="D3977" i="37"/>
  <c r="F3977" i="37" s="1"/>
  <c r="H3977" i="37" s="1"/>
  <c r="D3867" i="37"/>
  <c r="F3867" i="37" s="1"/>
  <c r="H3867" i="37" s="1"/>
  <c r="D3416" i="37"/>
  <c r="F3416" i="37" s="1"/>
  <c r="H3416" i="37" s="1"/>
  <c r="D4254" i="37"/>
  <c r="F4254" i="37" s="1"/>
  <c r="H4254" i="37" s="1"/>
  <c r="D4033" i="37"/>
  <c r="F4033" i="37" s="1"/>
  <c r="H4033" i="37" s="1"/>
  <c r="D3809" i="37"/>
  <c r="F3809" i="37" s="1"/>
  <c r="H3809" i="37" s="1"/>
  <c r="D3472" i="37"/>
  <c r="F3472" i="37" s="1"/>
  <c r="H3472" i="37" s="1"/>
  <c r="D3361" i="37"/>
  <c r="F3361" i="37" s="1"/>
  <c r="H3361" i="37" s="1"/>
  <c r="D4144" i="37"/>
  <c r="F4144" i="37" s="1"/>
  <c r="H4144" i="37" s="1"/>
  <c r="D3921" i="37"/>
  <c r="F3921" i="37" s="1"/>
  <c r="H3921" i="37" s="1"/>
  <c r="D4200" i="37"/>
  <c r="F4200" i="37" s="1"/>
  <c r="H4200" i="37" s="1"/>
  <c r="D3193" i="37"/>
  <c r="F3193" i="37" s="1"/>
  <c r="H3193" i="37" s="1"/>
  <c r="D3136" i="37"/>
  <c r="F3136" i="37" s="1"/>
  <c r="H3136" i="37" s="1"/>
  <c r="D2404" i="37"/>
  <c r="F2404" i="37" s="1"/>
  <c r="H2404" i="37" s="1"/>
  <c r="D2460" i="37"/>
  <c r="F2460" i="37" s="1"/>
  <c r="H2460" i="37" s="1"/>
  <c r="D5933" i="37"/>
  <c r="F5933" i="37" s="1"/>
  <c r="H5933" i="37" s="1"/>
  <c r="D5823" i="37"/>
  <c r="F5823" i="37" s="1"/>
  <c r="H5823" i="37" s="1"/>
  <c r="D2237" i="37"/>
  <c r="F2237" i="37" s="1"/>
  <c r="H2237" i="37" s="1"/>
  <c r="D3748" i="37"/>
  <c r="F3748" i="37" s="1"/>
  <c r="H3748" i="37" s="1"/>
  <c r="D6665" i="37"/>
  <c r="F6665" i="37" s="1"/>
  <c r="H6665" i="37" s="1"/>
  <c r="D6215" i="37"/>
  <c r="F6215" i="37" s="1"/>
  <c r="H6215" i="37" s="1"/>
  <c r="D6159" i="37"/>
  <c r="F6159" i="37" s="1"/>
  <c r="H6159" i="37" s="1"/>
  <c r="D5382" i="37"/>
  <c r="F5382" i="37" s="1"/>
  <c r="H5382" i="37" s="1"/>
  <c r="D6103" i="37"/>
  <c r="F6103" i="37" s="1"/>
  <c r="H6103" i="37" s="1"/>
  <c r="D6271" i="37"/>
  <c r="F6271" i="37" s="1"/>
  <c r="H6271" i="37" s="1"/>
  <c r="D3077" i="37"/>
  <c r="F3077" i="37" s="1"/>
  <c r="H3077" i="37" s="1"/>
  <c r="D1511" i="37"/>
  <c r="F1511" i="37" s="1"/>
  <c r="H1511" i="37" s="1"/>
  <c r="D2626" i="37"/>
  <c r="F2626" i="37" s="1"/>
  <c r="H2626" i="37" s="1"/>
  <c r="D686" i="37"/>
  <c r="F686" i="37" s="1"/>
  <c r="H686" i="37" s="1"/>
  <c r="D5879" i="37"/>
  <c r="F5879" i="37" s="1"/>
  <c r="H5879" i="37" s="1"/>
  <c r="D6776" i="37"/>
  <c r="F6776" i="37" s="1"/>
  <c r="H6776" i="37" s="1"/>
  <c r="D6723" i="37"/>
  <c r="F6723" i="37" s="1"/>
  <c r="H6723" i="37" s="1"/>
  <c r="D3307" i="37"/>
  <c r="F3307" i="37" s="1"/>
  <c r="H3307" i="37" s="1"/>
  <c r="D3696" i="37"/>
  <c r="F3696" i="37" s="1"/>
  <c r="H3696" i="37" s="1"/>
  <c r="D3638" i="37"/>
  <c r="F3638" i="37" s="1"/>
  <c r="H3638" i="37" s="1"/>
  <c r="D3021" i="37"/>
  <c r="F3021" i="37" s="1"/>
  <c r="H3021" i="37" s="1"/>
  <c r="D2964" i="37"/>
  <c r="F2964" i="37" s="1"/>
  <c r="H2964" i="37" s="1"/>
  <c r="D2908" i="37"/>
  <c r="F2908" i="37" s="1"/>
  <c r="H2908" i="37" s="1"/>
  <c r="D1960" i="37"/>
  <c r="F1960" i="37" s="1"/>
  <c r="H1960" i="37" s="1"/>
  <c r="D2187" i="37"/>
  <c r="F2187" i="37" s="1"/>
  <c r="H2187" i="37" s="1"/>
  <c r="D2848" i="37"/>
  <c r="F2848" i="37" s="1"/>
  <c r="H2848" i="37" s="1"/>
  <c r="D413" i="37"/>
  <c r="F413" i="37" s="1"/>
  <c r="H413" i="37" s="1"/>
  <c r="D358" i="37"/>
  <c r="F358" i="37" s="1"/>
  <c r="H358" i="37" s="1"/>
  <c r="D303" i="37"/>
  <c r="F303" i="37" s="1"/>
  <c r="H303" i="37" s="1"/>
  <c r="D631" i="37"/>
  <c r="F631" i="37" s="1"/>
  <c r="H631" i="37" s="1"/>
  <c r="D5322" i="37"/>
  <c r="F5322" i="37" s="1"/>
  <c r="H5322" i="37" s="1"/>
  <c r="D6608" i="37"/>
  <c r="F6608" i="37" s="1"/>
  <c r="H6608" i="37" s="1"/>
  <c r="D3250" i="37"/>
  <c r="F3250" i="37" s="1"/>
  <c r="H3250" i="37" s="1"/>
  <c r="D3526" i="37"/>
  <c r="F3526" i="37" s="1"/>
  <c r="H3526" i="37" s="1"/>
  <c r="D2798" i="37"/>
  <c r="F2798" i="37" s="1"/>
  <c r="H2798" i="37" s="1"/>
  <c r="D1624" i="37"/>
  <c r="F1624" i="37" s="1"/>
  <c r="H1624" i="37" s="1"/>
  <c r="D2294" i="37"/>
  <c r="F2294" i="37" s="1"/>
  <c r="H2294" i="37" s="1"/>
  <c r="D5099" i="37"/>
  <c r="F5099" i="37" s="1"/>
  <c r="H5099" i="37" s="1"/>
  <c r="D1793" i="37"/>
  <c r="F1793" i="37" s="1"/>
  <c r="H1793" i="37" s="1"/>
  <c r="D632" i="37"/>
  <c r="F632" i="37" s="1"/>
  <c r="H632" i="37" s="1"/>
  <c r="D1457" i="37"/>
  <c r="F1457" i="37" s="1"/>
  <c r="H1457" i="37" s="1"/>
  <c r="D4309" i="37"/>
  <c r="F4309" i="37" s="1"/>
  <c r="H4309" i="37" s="1"/>
  <c r="D5548" i="37"/>
  <c r="F5548" i="37" s="1"/>
  <c r="H5548" i="37" s="1"/>
  <c r="D5658" i="37"/>
  <c r="F5658" i="37" s="1"/>
  <c r="H5658" i="37" s="1"/>
  <c r="D6555" i="37"/>
  <c r="F6555" i="37" s="1"/>
  <c r="H6555" i="37" s="1"/>
  <c r="D1011" i="37"/>
  <c r="F1011" i="37" s="1"/>
  <c r="H1011" i="37" s="1"/>
  <c r="I1013" i="37" s="1"/>
  <c r="H995" i="37" s="1"/>
  <c r="I997" i="37" s="1"/>
  <c r="I1015" i="37" s="1"/>
  <c r="D5602" i="37"/>
  <c r="F5602" i="37" s="1"/>
  <c r="H5602" i="37" s="1"/>
  <c r="D5494" i="37"/>
  <c r="F5494" i="37" s="1"/>
  <c r="H5494" i="37" s="1"/>
  <c r="D6505" i="37"/>
  <c r="F6505" i="37" s="1"/>
  <c r="H6505" i="37" s="1"/>
  <c r="D5156" i="37"/>
  <c r="F5156" i="37" s="1"/>
  <c r="H5156" i="37" s="1"/>
  <c r="D4817" i="37"/>
  <c r="F4817" i="37" s="1"/>
  <c r="H4817" i="37" s="1"/>
  <c r="D5043" i="37"/>
  <c r="F5043" i="37" s="1"/>
  <c r="H5043" i="37" s="1"/>
  <c r="D4986" i="37"/>
  <c r="F4986" i="37" s="1"/>
  <c r="H4986" i="37" s="1"/>
  <c r="D5438" i="37"/>
  <c r="F5438" i="37" s="1"/>
  <c r="H5438" i="37" s="1"/>
  <c r="D4928" i="37"/>
  <c r="F4928" i="37" s="1"/>
  <c r="H4928" i="37" s="1"/>
  <c r="D4759" i="37"/>
  <c r="F4759" i="37" s="1"/>
  <c r="H4759" i="37" s="1"/>
  <c r="D4145" i="37"/>
  <c r="F4145" i="37" s="1"/>
  <c r="H4145" i="37" s="1"/>
  <c r="D3922" i="37"/>
  <c r="F3922" i="37" s="1"/>
  <c r="H3922" i="37" s="1"/>
  <c r="D4255" i="37"/>
  <c r="F4255" i="37" s="1"/>
  <c r="H4255" i="37" s="1"/>
  <c r="D4034" i="37"/>
  <c r="F4034" i="37" s="1"/>
  <c r="H4034" i="37" s="1"/>
  <c r="D3473" i="37"/>
  <c r="F3473" i="37" s="1"/>
  <c r="H3473" i="37" s="1"/>
  <c r="D3362" i="37"/>
  <c r="F3362" i="37" s="1"/>
  <c r="H3362" i="37" s="1"/>
  <c r="D4090" i="37"/>
  <c r="F4090" i="37" s="1"/>
  <c r="H4090" i="37" s="1"/>
  <c r="D4201" i="37"/>
  <c r="F4201" i="37" s="1"/>
  <c r="H4201" i="37" s="1"/>
  <c r="D3978" i="37"/>
  <c r="F3978" i="37" s="1"/>
  <c r="H3978" i="37" s="1"/>
  <c r="D3868" i="37"/>
  <c r="F3868" i="37" s="1"/>
  <c r="H3868" i="37" s="1"/>
  <c r="D3417" i="37"/>
  <c r="F3417" i="37" s="1"/>
  <c r="H3417" i="37" s="1"/>
  <c r="D3810" i="37"/>
  <c r="F3810" i="37" s="1"/>
  <c r="H3810" i="37" s="1"/>
  <c r="D3194" i="37"/>
  <c r="F3194" i="37" s="1"/>
  <c r="H3194" i="37" s="1"/>
  <c r="D3137" i="37"/>
  <c r="F3137" i="37" s="1"/>
  <c r="H3137" i="37" s="1"/>
  <c r="D2405" i="37"/>
  <c r="F2405" i="37" s="1"/>
  <c r="H2405" i="37" s="1"/>
  <c r="D2461" i="37"/>
  <c r="F2461" i="37" s="1"/>
  <c r="H2461" i="37" s="1"/>
  <c r="D5934" i="37"/>
  <c r="F5934" i="37" s="1"/>
  <c r="H5934" i="37" s="1"/>
  <c r="D5824" i="37"/>
  <c r="F5824" i="37" s="1"/>
  <c r="H5824" i="37" s="1"/>
  <c r="D2238" i="37"/>
  <c r="F2238" i="37" s="1"/>
  <c r="H2238" i="37" s="1"/>
  <c r="D849" i="37"/>
  <c r="F849" i="37" s="1"/>
  <c r="H849" i="37" s="1"/>
  <c r="I851" i="37" s="1"/>
  <c r="H833" i="37" s="1"/>
  <c r="I835" i="37" s="1"/>
  <c r="I853" i="37" s="1"/>
  <c r="D6448" i="37"/>
  <c r="F6448" i="37" s="1"/>
  <c r="H6448" i="37" s="1"/>
  <c r="D3749" i="37"/>
  <c r="F3749" i="37" s="1"/>
  <c r="H3749" i="37" s="1"/>
  <c r="D903" i="37"/>
  <c r="F903" i="37" s="1"/>
  <c r="H903" i="37" s="1"/>
  <c r="I905" i="37" s="1"/>
  <c r="H887" i="37" s="1"/>
  <c r="I889" i="37" s="1"/>
  <c r="I907" i="37" s="1"/>
  <c r="D741" i="37"/>
  <c r="F741" i="37" s="1"/>
  <c r="H741" i="37" s="1"/>
  <c r="I743" i="37" s="1"/>
  <c r="H725" i="37" s="1"/>
  <c r="I727" i="37" s="1"/>
  <c r="I745" i="37" s="1"/>
  <c r="D957" i="37"/>
  <c r="F957" i="37" s="1"/>
  <c r="H957" i="37" s="1"/>
  <c r="I959" i="37" s="1"/>
  <c r="H941" i="37" s="1"/>
  <c r="I943" i="37" s="1"/>
  <c r="I961" i="37" s="1"/>
  <c r="D795" i="37"/>
  <c r="F795" i="37" s="1"/>
  <c r="H795" i="37" s="1"/>
  <c r="I797" i="37" s="1"/>
  <c r="H779" i="37" s="1"/>
  <c r="I781" i="37" s="1"/>
  <c r="I799" i="37" s="1"/>
  <c r="D6666" i="37"/>
  <c r="F6666" i="37" s="1"/>
  <c r="H6666" i="37" s="1"/>
  <c r="D6385" i="37"/>
  <c r="F6385" i="37" s="1"/>
  <c r="H6385" i="37" s="1"/>
  <c r="D6334" i="37"/>
  <c r="F6334" i="37" s="1"/>
  <c r="H6334" i="37" s="1"/>
  <c r="D5383" i="37"/>
  <c r="F5383" i="37" s="1"/>
  <c r="H5383" i="37" s="1"/>
  <c r="D6104" i="37"/>
  <c r="F6104" i="37" s="1"/>
  <c r="H6104" i="37" s="1"/>
  <c r="D6272" i="37"/>
  <c r="F6272" i="37" s="1"/>
  <c r="H6272" i="37" s="1"/>
  <c r="D6216" i="37"/>
  <c r="F6216" i="37" s="1"/>
  <c r="H6216" i="37" s="1"/>
  <c r="D6160" i="37"/>
  <c r="F6160" i="37" s="1"/>
  <c r="H6160" i="37" s="1"/>
  <c r="D6048" i="37"/>
  <c r="F6048" i="37" s="1"/>
  <c r="H6048" i="37" s="1"/>
  <c r="D5992" i="37"/>
  <c r="F5992" i="37" s="1"/>
  <c r="H5992" i="37" s="1"/>
  <c r="D3078" i="37"/>
  <c r="F3078" i="37" s="1"/>
  <c r="H3078" i="37" s="1"/>
  <c r="D2627" i="37"/>
  <c r="F2627" i="37" s="1"/>
  <c r="H2627" i="37" s="1"/>
  <c r="D1512" i="37"/>
  <c r="F1512" i="37" s="1"/>
  <c r="H1512" i="37" s="1"/>
  <c r="D687" i="37"/>
  <c r="F687" i="37" s="1"/>
  <c r="H687" i="37" s="1"/>
  <c r="D6777" i="37"/>
  <c r="F6777" i="37" s="1"/>
  <c r="H6777" i="37" s="1"/>
  <c r="D6724" i="37"/>
  <c r="F6724" i="37" s="1"/>
  <c r="H6724" i="37" s="1"/>
  <c r="D4420" i="37"/>
  <c r="D5712" i="37"/>
  <c r="F5712" i="37" s="1"/>
  <c r="H5712" i="37" s="1"/>
  <c r="D5269" i="37"/>
  <c r="F5269" i="37" s="1"/>
  <c r="H5269" i="37" s="1"/>
  <c r="D6609" i="37"/>
  <c r="F6609" i="37" s="1"/>
  <c r="H6609" i="37" s="1"/>
  <c r="D522" i="37"/>
  <c r="F522" i="37" s="1"/>
  <c r="H522" i="37" s="1"/>
  <c r="I524" i="37" s="1"/>
  <c r="H506" i="37" s="1"/>
  <c r="I508" i="37" s="1"/>
  <c r="I526" i="37" s="1"/>
  <c r="D5880" i="37"/>
  <c r="F5880" i="37" s="1"/>
  <c r="H5880" i="37" s="1"/>
  <c r="D5768" i="37"/>
  <c r="F5768" i="37" s="1"/>
  <c r="H5768" i="37" s="1"/>
  <c r="D3593" i="37"/>
  <c r="D3697" i="37"/>
  <c r="F3697" i="37" s="1"/>
  <c r="H3697" i="37" s="1"/>
  <c r="D3639" i="37"/>
  <c r="F3639" i="37" s="1"/>
  <c r="H3639" i="37" s="1"/>
  <c r="D3022" i="37"/>
  <c r="F3022" i="37" s="1"/>
  <c r="H3022" i="37" s="1"/>
  <c r="D2965" i="37"/>
  <c r="F2965" i="37" s="1"/>
  <c r="H2965" i="37" s="1"/>
  <c r="D2909" i="37"/>
  <c r="F2909" i="37" s="1"/>
  <c r="H2909" i="37" s="1"/>
  <c r="D3308" i="37"/>
  <c r="F3308" i="37" s="1"/>
  <c r="H3308" i="37" s="1"/>
  <c r="D2188" i="37"/>
  <c r="F2188" i="37" s="1"/>
  <c r="H2188" i="37" s="1"/>
  <c r="D2849" i="37"/>
  <c r="F2849" i="37" s="1"/>
  <c r="H2849" i="37" s="1"/>
  <c r="D2132" i="37"/>
  <c r="D1961" i="37"/>
  <c r="F1961" i="37" s="1"/>
  <c r="H1961" i="37" s="1"/>
  <c r="D468" i="37"/>
  <c r="F468" i="37" s="1"/>
  <c r="H468" i="37" s="1"/>
  <c r="I470" i="37" s="1"/>
  <c r="H452" i="37" s="1"/>
  <c r="I454" i="37" s="1"/>
  <c r="I472" i="37" s="1"/>
  <c r="D414" i="37"/>
  <c r="F414" i="37" s="1"/>
  <c r="H414" i="37" s="1"/>
  <c r="D359" i="37"/>
  <c r="F359" i="37" s="1"/>
  <c r="H359" i="37" s="1"/>
  <c r="D304" i="37"/>
  <c r="F304" i="37" s="1"/>
  <c r="H304" i="37" s="1"/>
  <c r="D249" i="37"/>
  <c r="F249" i="37" s="1"/>
  <c r="H249" i="37" s="1"/>
  <c r="D193" i="37"/>
  <c r="F193" i="37" s="1"/>
  <c r="H193" i="37" s="1"/>
  <c r="I195" i="37" s="1"/>
  <c r="H177" i="37" s="1"/>
  <c r="I179" i="37" s="1"/>
  <c r="I197" i="37" s="1"/>
  <c r="D83" i="37"/>
  <c r="F83" i="37" s="1"/>
  <c r="H83" i="37" s="1"/>
  <c r="I85" i="37" s="1"/>
  <c r="H67" i="37" s="1"/>
  <c r="I69" i="37" s="1"/>
  <c r="I87" i="37" s="1"/>
  <c r="D138" i="37"/>
  <c r="F138" i="37" s="1"/>
  <c r="H138" i="37" s="1"/>
  <c r="I140" i="37" s="1"/>
  <c r="H122" i="37" s="1"/>
  <c r="I124" i="37" s="1"/>
  <c r="I142" i="37" s="1"/>
  <c r="D5323" i="37"/>
  <c r="F5323" i="37" s="1"/>
  <c r="H5323" i="37" s="1"/>
  <c r="D4366" i="37"/>
  <c r="F4366" i="37" s="1"/>
  <c r="H4366" i="37" s="1"/>
  <c r="D3527" i="37"/>
  <c r="F3527" i="37" s="1"/>
  <c r="H3527" i="37" s="1"/>
  <c r="D3251" i="37"/>
  <c r="F3251" i="37" s="1"/>
  <c r="H3251" i="37" s="1"/>
  <c r="D2799" i="37"/>
  <c r="F2799" i="37" s="1"/>
  <c r="H2799" i="37" s="1"/>
  <c r="C200" i="33"/>
  <c r="E200" i="33" s="1"/>
  <c r="G200" i="33" s="1"/>
  <c r="C256" i="33"/>
  <c r="E256" i="33" s="1"/>
  <c r="G256" i="33" s="1"/>
  <c r="D5213" i="37"/>
  <c r="D2295" i="37"/>
  <c r="F2295" i="37" s="1"/>
  <c r="H2295" i="37" s="1"/>
  <c r="D1625" i="37"/>
  <c r="F1625" i="37" s="1"/>
  <c r="H1625" i="37" s="1"/>
  <c r="D5547" i="37"/>
  <c r="F5547" i="37" s="1"/>
  <c r="H5547" i="37" s="1"/>
  <c r="I5550" i="37" s="1"/>
  <c r="H5528" i="37" s="1"/>
  <c r="I5530" i="37" s="1"/>
  <c r="I5552" i="37" s="1"/>
  <c r="D5657" i="37"/>
  <c r="F5657" i="37" s="1"/>
  <c r="H5657" i="37" s="1"/>
  <c r="I5660" i="37" s="1"/>
  <c r="H5637" i="37" s="1"/>
  <c r="I5639" i="37" s="1"/>
  <c r="I5662" i="37" s="1"/>
  <c r="D5601" i="37"/>
  <c r="F5601" i="37" s="1"/>
  <c r="H5601" i="37" s="1"/>
  <c r="I5604" i="37" s="1"/>
  <c r="H5582" i="37" s="1"/>
  <c r="I5584" i="37" s="1"/>
  <c r="I5606" i="37" s="1"/>
  <c r="D5493" i="37"/>
  <c r="F5493" i="37" s="1"/>
  <c r="H5493" i="37" s="1"/>
  <c r="I5496" i="37" s="1"/>
  <c r="H5474" i="37" s="1"/>
  <c r="I5476" i="37" s="1"/>
  <c r="I5498" i="37" s="1"/>
  <c r="D5437" i="37"/>
  <c r="F5437" i="37" s="1"/>
  <c r="H5437" i="37" s="1"/>
  <c r="I5440" i="37" s="1"/>
  <c r="H5418" i="37" s="1"/>
  <c r="I5421" i="37" s="1"/>
  <c r="I5442" i="37" s="1"/>
  <c r="D6504" i="37"/>
  <c r="F6504" i="37" s="1"/>
  <c r="H6504" i="37" s="1"/>
  <c r="I6507" i="37" s="1"/>
  <c r="H6479" i="37" s="1"/>
  <c r="I6481" i="37" s="1"/>
  <c r="I6509" i="37" s="1"/>
  <c r="D6447" i="37"/>
  <c r="F6447" i="37" s="1"/>
  <c r="H6447" i="37" s="1"/>
  <c r="I6450" i="37" s="1"/>
  <c r="H6422" i="37" s="1"/>
  <c r="I6424" i="37" s="1"/>
  <c r="I6452" i="37" s="1"/>
  <c r="D6333" i="37"/>
  <c r="F6333" i="37" s="1"/>
  <c r="H6333" i="37" s="1"/>
  <c r="I6336" i="37" s="1"/>
  <c r="H6309" i="37" s="1"/>
  <c r="I6311" i="37" s="1"/>
  <c r="I6338" i="37" s="1"/>
  <c r="D6047" i="37"/>
  <c r="F6047" i="37" s="1"/>
  <c r="H6047" i="37" s="1"/>
  <c r="I6050" i="37" s="1"/>
  <c r="H6028" i="37" s="1"/>
  <c r="I6031" i="37" s="1"/>
  <c r="I6052" i="37" s="1"/>
  <c r="D5991" i="37"/>
  <c r="F5991" i="37" s="1"/>
  <c r="H5991" i="37" s="1"/>
  <c r="I5994" i="37" s="1"/>
  <c r="H5972" i="37" s="1"/>
  <c r="I5975" i="37" s="1"/>
  <c r="I5996" i="37" s="1"/>
  <c r="D5767" i="37"/>
  <c r="F5767" i="37" s="1"/>
  <c r="H5767" i="37" s="1"/>
  <c r="I5770" i="37" s="1"/>
  <c r="H5748" i="37" s="1"/>
  <c r="I5751" i="37" s="1"/>
  <c r="I5772" i="37" s="1"/>
  <c r="D5711" i="37"/>
  <c r="F5711" i="37" s="1"/>
  <c r="H5711" i="37" s="1"/>
  <c r="I5714" i="37" s="1"/>
  <c r="H5692" i="37" s="1"/>
  <c r="I5695" i="37" s="1"/>
  <c r="I5716" i="37" s="1"/>
  <c r="D5268" i="37"/>
  <c r="F5268" i="37" s="1"/>
  <c r="H5268" i="37" s="1"/>
  <c r="I5271" i="37" s="1"/>
  <c r="H5249" i="37" s="1"/>
  <c r="I5252" i="37" s="1"/>
  <c r="I5273" i="37" s="1"/>
  <c r="D5212" i="37"/>
  <c r="F5212" i="37" s="1"/>
  <c r="H5212" i="37" s="1"/>
  <c r="D5098" i="37"/>
  <c r="F5098" i="37" s="1"/>
  <c r="H5098" i="37" s="1"/>
  <c r="I5102" i="37" s="1"/>
  <c r="H5081" i="37" s="1"/>
  <c r="I5083" i="37" s="1"/>
  <c r="I5104" i="37" s="1"/>
  <c r="D4985" i="37"/>
  <c r="F4985" i="37" s="1"/>
  <c r="H4985" i="37" s="1"/>
  <c r="I4989" i="37" s="1"/>
  <c r="H4968" i="37" s="1"/>
  <c r="I4970" i="37" s="1"/>
  <c r="I4991" i="37" s="1"/>
  <c r="D4816" i="37"/>
  <c r="F4816" i="37" s="1"/>
  <c r="H4816" i="37" s="1"/>
  <c r="I4819" i="37" s="1"/>
  <c r="H4795" i="37" s="1"/>
  <c r="I4797" i="37" s="1"/>
  <c r="I4821" i="37" s="1"/>
  <c r="D4758" i="37"/>
  <c r="F4758" i="37" s="1"/>
  <c r="H4758" i="37" s="1"/>
  <c r="I4761" i="37" s="1"/>
  <c r="H4737" i="37" s="1"/>
  <c r="I4739" i="37" s="1"/>
  <c r="I4763" i="37" s="1"/>
  <c r="D5042" i="37"/>
  <c r="F5042" i="37" s="1"/>
  <c r="H5042" i="37" s="1"/>
  <c r="I5046" i="37" s="1"/>
  <c r="H5025" i="37" s="1"/>
  <c r="I5027" i="37" s="1"/>
  <c r="I5048" i="37" s="1"/>
  <c r="D6384" i="37"/>
  <c r="F6384" i="37" s="1"/>
  <c r="H6384" i="37" s="1"/>
  <c r="I6387" i="37" s="1"/>
  <c r="H6365" i="37" s="1"/>
  <c r="I6368" i="37" s="1"/>
  <c r="I6389" i="37" s="1"/>
  <c r="D248" i="37"/>
  <c r="F248" i="37" s="1"/>
  <c r="H248" i="37" s="1"/>
  <c r="I251" i="37" s="1"/>
  <c r="H232" i="37" s="1"/>
  <c r="I234" i="37" s="1"/>
  <c r="I253" i="37" s="1"/>
  <c r="D4365" i="37"/>
  <c r="F4365" i="37" s="1"/>
  <c r="H4365" i="37" s="1"/>
  <c r="I4368" i="37" s="1"/>
  <c r="I4370" i="37" s="1"/>
  <c r="D1849" i="37"/>
  <c r="F1849" i="37" s="1"/>
  <c r="H1849" i="37" s="1"/>
  <c r="D1400" i="37"/>
  <c r="F1400" i="37" s="1"/>
  <c r="H1400" i="37" s="1"/>
  <c r="C95" i="47"/>
  <c r="I95" i="47" s="1"/>
  <c r="D2016" i="37"/>
  <c r="F2016" i="37" s="1"/>
  <c r="H2016" i="37" s="1"/>
  <c r="D1345" i="37"/>
  <c r="F1345" i="37" s="1"/>
  <c r="H1345" i="37" s="1"/>
  <c r="I1347" i="37" s="1"/>
  <c r="D1121" i="37"/>
  <c r="D1234" i="37"/>
  <c r="F1234" i="37" s="1"/>
  <c r="H1234" i="37" s="1"/>
  <c r="I1236" i="37" s="1"/>
  <c r="H1216" i="37" s="1"/>
  <c r="I1218" i="37" s="1"/>
  <c r="I1238" i="37" s="1"/>
  <c r="H202" i="33"/>
  <c r="G183" i="33" s="1"/>
  <c r="H186" i="33" s="1"/>
  <c r="H258" i="33"/>
  <c r="G239" i="33" s="1"/>
  <c r="H242" i="33" s="1"/>
  <c r="D1848" i="37"/>
  <c r="F1848" i="37" s="1"/>
  <c r="H1848" i="37" s="1"/>
  <c r="D1399" i="37"/>
  <c r="F1399" i="37" s="1"/>
  <c r="H1399" i="37" s="1"/>
  <c r="D2015" i="37"/>
  <c r="F2015" i="37" s="1"/>
  <c r="H2015" i="37" s="1"/>
  <c r="D1120" i="37"/>
  <c r="F1120" i="37" s="1"/>
  <c r="H1120" i="37" s="1"/>
  <c r="D4419" i="37"/>
  <c r="F4419" i="37" s="1"/>
  <c r="H4419" i="37" s="1"/>
  <c r="D1736" i="37"/>
  <c r="F1736" i="37" s="1"/>
  <c r="H1736" i="37" s="1"/>
  <c r="D2071" i="37"/>
  <c r="F2071" i="37" s="1"/>
  <c r="H2071" i="37" s="1"/>
  <c r="D1904" i="37"/>
  <c r="F1904" i="37" s="1"/>
  <c r="H1904" i="37" s="1"/>
  <c r="D2350" i="37"/>
  <c r="F2350" i="37" s="1"/>
  <c r="H2350" i="37" s="1"/>
  <c r="D1737" i="37"/>
  <c r="F1737" i="37" s="1"/>
  <c r="H1737" i="37" s="1"/>
  <c r="F5213" i="37"/>
  <c r="H5213" i="37" s="1"/>
  <c r="F4420" i="37"/>
  <c r="H4420" i="37" s="1"/>
  <c r="D1068" i="37"/>
  <c r="F1068" i="37" s="1"/>
  <c r="H1068" i="37" s="1"/>
  <c r="I1071" i="37" s="1"/>
  <c r="H1050" i="37" s="1"/>
  <c r="I1052" i="37" s="1"/>
  <c r="I1073" i="37" s="1"/>
  <c r="D577" i="37"/>
  <c r="F577" i="37" s="1"/>
  <c r="H577" i="37" s="1"/>
  <c r="I579" i="37" s="1"/>
  <c r="H560" i="37" s="1"/>
  <c r="I562" i="37" s="1"/>
  <c r="I581" i="37" s="1"/>
  <c r="D1569" i="37"/>
  <c r="F1569" i="37" s="1"/>
  <c r="H1569" i="37" s="1"/>
  <c r="D1289" i="37"/>
  <c r="F1289" i="37" s="1"/>
  <c r="H1289" i="37" s="1"/>
  <c r="I1292" i="37" s="1"/>
  <c r="H1271" i="37" s="1"/>
  <c r="I1273" i="37" s="1"/>
  <c r="I1294" i="37" s="1"/>
  <c r="D2351" i="37"/>
  <c r="F2351" i="37" s="1"/>
  <c r="H2351" i="37" s="1"/>
  <c r="D2072" i="37"/>
  <c r="F2072" i="37" s="1"/>
  <c r="H2072" i="37" s="1"/>
  <c r="D1905" i="37"/>
  <c r="F1905" i="37" s="1"/>
  <c r="H1905" i="37" s="1"/>
  <c r="D31" i="37"/>
  <c r="F31" i="37" s="1"/>
  <c r="H31" i="37" s="1"/>
  <c r="D4697" i="37"/>
  <c r="F4697" i="37" s="1"/>
  <c r="H4697" i="37" s="1"/>
  <c r="D4585" i="37"/>
  <c r="F4585" i="37" s="1"/>
  <c r="H4585" i="37" s="1"/>
  <c r="D4641" i="37"/>
  <c r="F4641" i="37" s="1"/>
  <c r="H4641" i="37" s="1"/>
  <c r="D4530" i="37"/>
  <c r="F4530" i="37" s="1"/>
  <c r="H4530" i="37" s="1"/>
  <c r="D2683" i="37"/>
  <c r="F2683" i="37" s="1"/>
  <c r="H2683" i="37" s="1"/>
  <c r="I2686" i="37" s="1"/>
  <c r="H2666" i="37" s="1"/>
  <c r="I2669" i="37" s="1"/>
  <c r="I2688" i="37" s="1"/>
  <c r="D2515" i="37"/>
  <c r="F2515" i="37" s="1"/>
  <c r="H2515" i="37" s="1"/>
  <c r="D1568" i="37"/>
  <c r="F1568" i="37" s="1"/>
  <c r="H1568" i="37" s="1"/>
  <c r="D1680" i="37"/>
  <c r="F1680" i="37" s="1"/>
  <c r="H1680" i="37" s="1"/>
  <c r="D2739" i="37"/>
  <c r="F2739" i="37" s="1"/>
  <c r="H2739" i="37" s="1"/>
  <c r="D3592" i="37"/>
  <c r="F3592" i="37" s="1"/>
  <c r="H3592" i="37" s="1"/>
  <c r="D2570" i="37"/>
  <c r="F2570" i="37" s="1"/>
  <c r="H2570" i="37" s="1"/>
  <c r="D1178" i="37"/>
  <c r="F1178" i="37" s="1"/>
  <c r="H1178" i="37" s="1"/>
  <c r="D4478" i="37"/>
  <c r="F4478" i="37" s="1"/>
  <c r="H4478" i="37" s="1"/>
  <c r="D2131" i="37"/>
  <c r="F2131" i="37" s="1"/>
  <c r="H2131" i="37" s="1"/>
  <c r="D32" i="37"/>
  <c r="F32" i="37" s="1"/>
  <c r="H32" i="37" s="1"/>
  <c r="D4698" i="37"/>
  <c r="F4698" i="37" s="1"/>
  <c r="H4698" i="37" s="1"/>
  <c r="F3593" i="37"/>
  <c r="H3593" i="37" s="1"/>
  <c r="D2740" i="37"/>
  <c r="F2740" i="37" s="1"/>
  <c r="H2740" i="37" s="1"/>
  <c r="D33" i="37"/>
  <c r="F33" i="37" s="1"/>
  <c r="H33" i="37" s="1"/>
  <c r="D4531" i="37"/>
  <c r="F4531" i="37" s="1"/>
  <c r="H4531" i="37" s="1"/>
  <c r="D1681" i="37"/>
  <c r="F1681" i="37" s="1"/>
  <c r="H1681" i="37" s="1"/>
  <c r="F2132" i="37"/>
  <c r="H2132" i="37" s="1"/>
  <c r="D2516" i="37"/>
  <c r="F2516" i="37" s="1"/>
  <c r="H2516" i="37" s="1"/>
  <c r="D1179" i="37"/>
  <c r="F1179" i="37" s="1"/>
  <c r="H1179" i="37" s="1"/>
  <c r="F1121" i="37"/>
  <c r="H1121" i="37" s="1"/>
  <c r="D2571" i="37"/>
  <c r="F2571" i="37" s="1"/>
  <c r="H2571" i="37" s="1"/>
  <c r="D4586" i="37"/>
  <c r="F4586" i="37" s="1"/>
  <c r="H4586" i="37" s="1"/>
  <c r="D4479" i="37"/>
  <c r="F4479" i="37" s="1"/>
  <c r="H4479" i="37" s="1"/>
  <c r="D4642" i="37"/>
  <c r="F4642" i="37" s="1"/>
  <c r="H4642" i="37" s="1"/>
  <c r="F38" i="23"/>
  <c r="F66" i="23"/>
  <c r="F37" i="23"/>
  <c r="F36" i="23"/>
  <c r="F35" i="23"/>
  <c r="F34" i="23"/>
  <c r="D33" i="23"/>
  <c r="E33" i="23" s="1"/>
  <c r="D32" i="23"/>
  <c r="E32" i="23" s="1"/>
  <c r="F31" i="23"/>
  <c r="D29" i="23"/>
  <c r="E29" i="23" s="1"/>
  <c r="F26" i="23"/>
  <c r="F25" i="23"/>
  <c r="F24" i="23"/>
  <c r="F23" i="23"/>
  <c r="F22" i="23"/>
  <c r="F20" i="23"/>
  <c r="F3065" i="37" s="1"/>
  <c r="H3065" i="37" s="1"/>
  <c r="I3068" i="37" s="1"/>
  <c r="I3529" i="37" l="1"/>
  <c r="H3510" i="37" s="1"/>
  <c r="I3512" i="37" s="1"/>
  <c r="I3531" i="37" s="1"/>
  <c r="I634" i="37"/>
  <c r="H615" i="37" s="1"/>
  <c r="I617" i="37" s="1"/>
  <c r="I636" i="37" s="1"/>
  <c r="I2851" i="37"/>
  <c r="H2831" i="37" s="1"/>
  <c r="I2834" i="37" s="1"/>
  <c r="I2853" i="37" s="1"/>
  <c r="I2968" i="37"/>
  <c r="H2943" i="37" s="1"/>
  <c r="I2946" i="37" s="1"/>
  <c r="I3310" i="37"/>
  <c r="I3312" i="37" s="1"/>
  <c r="I689" i="37"/>
  <c r="H670" i="37" s="1"/>
  <c r="I672" i="37" s="1"/>
  <c r="I691" i="37" s="1"/>
  <c r="I6274" i="37"/>
  <c r="H6252" i="37" s="1"/>
  <c r="I6255" i="37" s="1"/>
  <c r="I6276" i="37" s="1"/>
  <c r="I6218" i="37"/>
  <c r="H6196" i="37" s="1"/>
  <c r="I6199" i="37" s="1"/>
  <c r="I6220" i="37" s="1"/>
  <c r="I5827" i="37"/>
  <c r="H5804" i="37" s="1"/>
  <c r="I5806" i="37" s="1"/>
  <c r="I5829" i="37" s="1"/>
  <c r="I3140" i="37"/>
  <c r="H3115" i="37" s="1"/>
  <c r="I3118" i="37" s="1"/>
  <c r="I4147" i="37"/>
  <c r="H4123" i="37" s="1"/>
  <c r="I4125" i="37" s="1"/>
  <c r="I4149" i="37" s="1"/>
  <c r="I4036" i="37"/>
  <c r="H4012" i="37" s="1"/>
  <c r="I4014" i="37" s="1"/>
  <c r="I4038" i="37" s="1"/>
  <c r="I3980" i="37"/>
  <c r="H3956" i="37" s="1"/>
  <c r="I3958" i="37" s="1"/>
  <c r="I3982" i="37" s="1"/>
  <c r="I6558" i="37"/>
  <c r="H6535" i="37" s="1"/>
  <c r="I6537" i="37" s="1"/>
  <c r="I6560" i="37" s="1"/>
  <c r="I2297" i="37"/>
  <c r="H2275" i="37" s="1"/>
  <c r="I2278" i="37" s="1"/>
  <c r="I3253" i="37"/>
  <c r="H3230" i="37" s="1"/>
  <c r="I3232" i="37" s="1"/>
  <c r="I3255" i="37" s="1"/>
  <c r="I306" i="37"/>
  <c r="H287" i="37" s="1"/>
  <c r="I289" i="37" s="1"/>
  <c r="I308" i="37" s="1"/>
  <c r="I2190" i="37"/>
  <c r="H2166" i="37" s="1"/>
  <c r="I2169" i="37" s="1"/>
  <c r="I3025" i="37"/>
  <c r="H3001" i="37" s="1"/>
  <c r="I3004" i="37" s="1"/>
  <c r="I3027" i="37" s="1"/>
  <c r="I6726" i="37"/>
  <c r="H6706" i="37" s="1"/>
  <c r="I6708" i="37" s="1"/>
  <c r="I6728" i="37" s="1"/>
  <c r="I2629" i="37"/>
  <c r="H2610" i="37" s="1"/>
  <c r="I2613" i="37" s="1"/>
  <c r="I6106" i="37"/>
  <c r="H6084" i="37" s="1"/>
  <c r="I6087" i="37" s="1"/>
  <c r="I6108" i="37" s="1"/>
  <c r="I6668" i="37"/>
  <c r="H6650" i="37" s="1"/>
  <c r="I6652" i="37" s="1"/>
  <c r="I6670" i="37" s="1"/>
  <c r="I5937" i="37"/>
  <c r="H5916" i="37" s="1"/>
  <c r="I5918" i="37" s="1"/>
  <c r="I5939" i="37" s="1"/>
  <c r="I3197" i="37"/>
  <c r="H3173" i="37" s="1"/>
  <c r="I3176" i="37" s="1"/>
  <c r="I3199" i="37" s="1"/>
  <c r="I3364" i="37"/>
  <c r="H3342" i="37" s="1"/>
  <c r="I3344" i="37" s="1"/>
  <c r="I3366" i="37" s="1"/>
  <c r="I4257" i="37"/>
  <c r="H4236" i="37" s="1"/>
  <c r="I4239" i="37" s="1"/>
  <c r="I4092" i="37"/>
  <c r="H4068" i="37" s="1"/>
  <c r="I4070" i="37" s="1"/>
  <c r="I4094" i="37" s="1"/>
  <c r="I4311" i="37"/>
  <c r="H4292" i="37" s="1"/>
  <c r="I4294" i="37" s="1"/>
  <c r="I4313" i="37" s="1"/>
  <c r="I1627" i="37"/>
  <c r="H1605" i="37" s="1"/>
  <c r="I1608" i="37" s="1"/>
  <c r="I6611" i="37"/>
  <c r="H6593" i="37" s="1"/>
  <c r="I6595" i="37" s="1"/>
  <c r="I6613" i="37" s="1"/>
  <c r="I361" i="37"/>
  <c r="H342" i="37" s="1"/>
  <c r="I344" i="37" s="1"/>
  <c r="I363" i="37" s="1"/>
  <c r="I1963" i="37"/>
  <c r="H1941" i="37" s="1"/>
  <c r="I1944" i="37" s="1"/>
  <c r="I3641" i="37"/>
  <c r="H3621" i="37" s="1"/>
  <c r="I3623" i="37" s="1"/>
  <c r="I3643" i="37" s="1"/>
  <c r="I6779" i="37"/>
  <c r="I1515" i="37"/>
  <c r="H1492" i="37" s="1"/>
  <c r="I1495" i="37" s="1"/>
  <c r="I5385" i="37"/>
  <c r="H5363" i="37" s="1"/>
  <c r="I5366" i="37" s="1"/>
  <c r="I3751" i="37"/>
  <c r="H3732" i="37" s="1"/>
  <c r="I3734" i="37" s="1"/>
  <c r="I3753" i="37" s="1"/>
  <c r="I2463" i="37"/>
  <c r="H2442" i="37" s="1"/>
  <c r="I2445" i="37" s="1"/>
  <c r="I4203" i="37"/>
  <c r="H4179" i="37" s="1"/>
  <c r="I4181" i="37" s="1"/>
  <c r="I4205" i="37" s="1"/>
  <c r="I3475" i="37"/>
  <c r="H3454" i="37" s="1"/>
  <c r="I3456" i="37" s="1"/>
  <c r="I3477" i="37" s="1"/>
  <c r="I3419" i="37"/>
  <c r="H3398" i="37" s="1"/>
  <c r="I3400" i="37" s="1"/>
  <c r="I3421" i="37" s="1"/>
  <c r="I4930" i="37"/>
  <c r="H4911" i="37" s="1"/>
  <c r="I4913" i="37" s="1"/>
  <c r="I4932" i="37" s="1"/>
  <c r="I1460" i="37"/>
  <c r="H1437" i="37" s="1"/>
  <c r="I1440" i="37" s="1"/>
  <c r="C10" i="47"/>
  <c r="D10" i="47" s="1"/>
  <c r="I2801" i="37"/>
  <c r="H2778" i="37" s="1"/>
  <c r="I2780" i="37" s="1"/>
  <c r="I2803" i="37" s="1"/>
  <c r="I5325" i="37"/>
  <c r="H5307" i="37" s="1"/>
  <c r="I5309" i="37" s="1"/>
  <c r="I5327" i="37" s="1"/>
  <c r="I416" i="37"/>
  <c r="H397" i="37" s="1"/>
  <c r="I399" i="37" s="1"/>
  <c r="I418" i="37" s="1"/>
  <c r="I2912" i="37"/>
  <c r="H2887" i="37" s="1"/>
  <c r="I2890" i="37" s="1"/>
  <c r="I2914" i="37" s="1"/>
  <c r="I3700" i="37"/>
  <c r="H3676" i="37" s="1"/>
  <c r="I3678" i="37" s="1"/>
  <c r="I3702" i="37" s="1"/>
  <c r="I5883" i="37"/>
  <c r="H5860" i="37" s="1"/>
  <c r="I5862" i="37" s="1"/>
  <c r="I5885" i="37" s="1"/>
  <c r="I3080" i="37"/>
  <c r="H3059" i="37" s="1"/>
  <c r="I3062" i="37" s="1"/>
  <c r="I3082" i="37" s="1"/>
  <c r="I6162" i="37"/>
  <c r="H6140" i="37" s="1"/>
  <c r="I6143" i="37" s="1"/>
  <c r="I6164" i="37" s="1"/>
  <c r="I2240" i="37"/>
  <c r="H2219" i="37" s="1"/>
  <c r="I2222" i="37" s="1"/>
  <c r="I2407" i="37"/>
  <c r="H2387" i="37" s="1"/>
  <c r="I2389" i="37" s="1"/>
  <c r="I3924" i="37"/>
  <c r="H3900" i="37" s="1"/>
  <c r="I3902" i="37" s="1"/>
  <c r="I3926" i="37" s="1"/>
  <c r="I3812" i="37"/>
  <c r="H3788" i="37" s="1"/>
  <c r="I3790" i="37" s="1"/>
  <c r="I3814" i="37" s="1"/>
  <c r="I3870" i="37"/>
  <c r="H3844" i="37" s="1"/>
  <c r="I3846" i="37" s="1"/>
  <c r="I3872" i="37" s="1"/>
  <c r="I5158" i="37"/>
  <c r="H5137" i="37" s="1"/>
  <c r="I5140" i="37" s="1"/>
  <c r="I1795" i="37"/>
  <c r="H1773" i="37" s="1"/>
  <c r="I1776" i="37" s="1"/>
  <c r="I1851" i="37"/>
  <c r="H1829" i="37" s="1"/>
  <c r="I1832" i="37" s="1"/>
  <c r="C20" i="47"/>
  <c r="I1403" i="37"/>
  <c r="C44" i="47"/>
  <c r="I44" i="47" s="1"/>
  <c r="C19" i="47"/>
  <c r="F19" i="47" s="1"/>
  <c r="C103" i="47"/>
  <c r="I103" i="47" s="1"/>
  <c r="I2018" i="37"/>
  <c r="H1997" i="37" s="1"/>
  <c r="I1999" i="37" s="1"/>
  <c r="C104" i="47"/>
  <c r="I104" i="47" s="1"/>
  <c r="C98" i="47"/>
  <c r="I98" i="47" s="1"/>
  <c r="C97" i="47"/>
  <c r="I97" i="47" s="1"/>
  <c r="I5215" i="37"/>
  <c r="C52" i="47"/>
  <c r="I52" i="47" s="1"/>
  <c r="C79" i="47"/>
  <c r="H79" i="47" s="1"/>
  <c r="I4422" i="37"/>
  <c r="H4403" i="37" s="1"/>
  <c r="I4405" i="37" s="1"/>
  <c r="I4424" i="37" s="1"/>
  <c r="I1907" i="37"/>
  <c r="H1885" i="37" s="1"/>
  <c r="I1888" i="37" s="1"/>
  <c r="C96" i="47"/>
  <c r="I96" i="47" s="1"/>
  <c r="C89" i="47"/>
  <c r="I89" i="47" s="1"/>
  <c r="C72" i="47"/>
  <c r="H72" i="47" s="1"/>
  <c r="C13" i="47"/>
  <c r="I2353" i="37"/>
  <c r="H2331" i="37" s="1"/>
  <c r="I2334" i="37" s="1"/>
  <c r="I1739" i="37"/>
  <c r="H1717" i="37" s="1"/>
  <c r="I1720" i="37" s="1"/>
  <c r="I4588" i="37"/>
  <c r="H4569" i="37" s="1"/>
  <c r="I4571" i="37" s="1"/>
  <c r="I4590" i="37" s="1"/>
  <c r="I2074" i="37"/>
  <c r="H2053" i="37" s="1"/>
  <c r="I2056" i="37" s="1"/>
  <c r="I2742" i="37"/>
  <c r="H2722" i="37" s="1"/>
  <c r="I2725" i="37" s="1"/>
  <c r="I2518" i="37"/>
  <c r="H2498" i="37" s="1"/>
  <c r="I2501" i="37" s="1"/>
  <c r="I4644" i="37"/>
  <c r="H4625" i="37" s="1"/>
  <c r="I4627" i="37" s="1"/>
  <c r="I4646" i="37" s="1"/>
  <c r="H3581" i="37"/>
  <c r="I3583" i="37" s="1"/>
  <c r="I4481" i="37"/>
  <c r="H4458" i="37" s="1"/>
  <c r="I4460" i="37" s="1"/>
  <c r="I4483" i="37" s="1"/>
  <c r="I1683" i="37"/>
  <c r="E133" i="33"/>
  <c r="G133" i="33" s="1"/>
  <c r="E134" i="33"/>
  <c r="G134" i="33" s="1"/>
  <c r="I3595" i="37"/>
  <c r="H3564" i="37" s="1"/>
  <c r="I3566" i="37" s="1"/>
  <c r="E135" i="33"/>
  <c r="G135" i="33" s="1"/>
  <c r="I2573" i="37"/>
  <c r="H2554" i="37" s="1"/>
  <c r="I2557" i="37" s="1"/>
  <c r="I2134" i="37"/>
  <c r="H2109" i="37" s="1"/>
  <c r="I2112" i="37" s="1"/>
  <c r="I1571" i="37"/>
  <c r="H1549" i="37" s="1"/>
  <c r="I1552" i="37" s="1"/>
  <c r="I1123" i="37"/>
  <c r="H1104" i="37" s="1"/>
  <c r="I1107" i="37" s="1"/>
  <c r="I1125" i="37" s="1"/>
  <c r="F1331" i="37"/>
  <c r="H1331" i="37" s="1"/>
  <c r="F1334" i="37"/>
  <c r="H1334" i="37" s="1"/>
  <c r="F19" i="23"/>
  <c r="D19" i="23"/>
  <c r="E19" i="23" s="1"/>
  <c r="F21" i="37"/>
  <c r="H21" i="37" s="1"/>
  <c r="F28" i="23"/>
  <c r="D28" i="23"/>
  <c r="E28" i="23" s="1"/>
  <c r="F20" i="37"/>
  <c r="H20" i="37" s="1"/>
  <c r="F30" i="23"/>
  <c r="D30" i="23"/>
  <c r="E30" i="23" s="1"/>
  <c r="F27" i="23"/>
  <c r="D27" i="23"/>
  <c r="E27" i="23" s="1"/>
  <c r="I1181" i="37"/>
  <c r="H1161" i="37" s="1"/>
  <c r="I1163" i="37" s="1"/>
  <c r="I1183" i="37" s="1"/>
  <c r="I4533" i="37"/>
  <c r="H4513" i="37" s="1"/>
  <c r="I4515" i="37" s="1"/>
  <c r="I4535" i="37" s="1"/>
  <c r="I4700" i="37"/>
  <c r="H4681" i="37" s="1"/>
  <c r="I4683" i="37" s="1"/>
  <c r="I4702" i="37" s="1"/>
  <c r="I35" i="37"/>
  <c r="H14" i="37" s="1"/>
  <c r="I16" i="37" s="1"/>
  <c r="F1333" i="37"/>
  <c r="H1333" i="37" s="1"/>
  <c r="E79" i="33"/>
  <c r="G79" i="33" s="1"/>
  <c r="E81" i="33" s="1"/>
  <c r="G81" i="33" s="1"/>
  <c r="H82" i="33" s="1"/>
  <c r="H96" i="33" s="1"/>
  <c r="E23" i="33"/>
  <c r="G23" i="33" s="1"/>
  <c r="F1332" i="37"/>
  <c r="H1332" i="37" s="1"/>
  <c r="E21" i="33"/>
  <c r="F29" i="23"/>
  <c r="E136" i="33" s="1"/>
  <c r="G136" i="33" s="1"/>
  <c r="F1444" i="37" l="1"/>
  <c r="H1444" i="37" s="1"/>
  <c r="F1781" i="37"/>
  <c r="H1781" i="37" s="1"/>
  <c r="H6760" i="37"/>
  <c r="I6762" i="37" s="1"/>
  <c r="I6781" i="37"/>
  <c r="C11" i="47"/>
  <c r="E11" i="47" s="1"/>
  <c r="C88" i="47"/>
  <c r="I88" i="47" s="1"/>
  <c r="C58" i="47"/>
  <c r="G58" i="47" s="1"/>
  <c r="C61" i="47"/>
  <c r="I61" i="47" s="1"/>
  <c r="I62" i="47" s="1"/>
  <c r="C57" i="47"/>
  <c r="G57" i="47" s="1"/>
  <c r="H1380" i="37"/>
  <c r="I1383" i="37" s="1"/>
  <c r="G21" i="33"/>
  <c r="F4243" i="37"/>
  <c r="H4243" i="37" s="1"/>
  <c r="F5144" i="37"/>
  <c r="H5144" i="37" s="1"/>
  <c r="F2226" i="37"/>
  <c r="H2226" i="37" s="1"/>
  <c r="F2394" i="37"/>
  <c r="H2394" i="37" s="1"/>
  <c r="F2449" i="37"/>
  <c r="H2449" i="37" s="1"/>
  <c r="C70" i="47"/>
  <c r="H70" i="47" s="1"/>
  <c r="F1949" i="37"/>
  <c r="H1949" i="37" s="1"/>
  <c r="F1499" i="37"/>
  <c r="H1499" i="37" s="1"/>
  <c r="C77" i="47"/>
  <c r="H77" i="47" s="1"/>
  <c r="C69" i="47"/>
  <c r="H69" i="47" s="1"/>
  <c r="C76" i="47"/>
  <c r="H76" i="47" s="1"/>
  <c r="C71" i="47"/>
  <c r="H71" i="47" s="1"/>
  <c r="I2744" i="37"/>
  <c r="C51" i="47"/>
  <c r="I51" i="47" s="1"/>
  <c r="I54" i="47" s="1"/>
  <c r="C101" i="47"/>
  <c r="C108" i="47"/>
  <c r="D13" i="47"/>
  <c r="E13" i="47"/>
  <c r="F20" i="47"/>
  <c r="G20" i="47"/>
  <c r="F2172" i="37"/>
  <c r="H2172" i="37" s="1"/>
  <c r="C94" i="47"/>
  <c r="H94" i="47" s="1"/>
  <c r="C91" i="47"/>
  <c r="H91" i="47" s="1"/>
  <c r="F1613" i="37"/>
  <c r="H1613" i="37" s="1"/>
  <c r="F2283" i="37"/>
  <c r="H2283" i="37" s="1"/>
  <c r="H5193" i="37"/>
  <c r="I5196" i="37" s="1"/>
  <c r="I5217" i="37" s="1"/>
  <c r="F1387" i="37"/>
  <c r="H1387" i="37" s="1"/>
  <c r="F1837" i="37"/>
  <c r="H1837" i="37" s="1"/>
  <c r="C92" i="47"/>
  <c r="H92" i="47" s="1"/>
  <c r="F2004" i="37"/>
  <c r="H2004" i="37" s="1"/>
  <c r="E190" i="33"/>
  <c r="G190" i="33" s="1"/>
  <c r="H192" i="33" s="1"/>
  <c r="H204" i="33" s="1"/>
  <c r="E246" i="33"/>
  <c r="G246" i="33" s="1"/>
  <c r="H248" i="33" s="1"/>
  <c r="H260" i="33" s="1"/>
  <c r="C45" i="47"/>
  <c r="I45" i="47" s="1"/>
  <c r="I46" i="47" s="1"/>
  <c r="C65" i="47"/>
  <c r="G65" i="47" s="1"/>
  <c r="H1661" i="37"/>
  <c r="I1664" i="37" s="1"/>
  <c r="I3597" i="37"/>
  <c r="F1725" i="37"/>
  <c r="H1725" i="37" s="1"/>
  <c r="C78" i="47"/>
  <c r="H78" i="47" s="1"/>
  <c r="C74" i="47"/>
  <c r="H74" i="47" s="1"/>
  <c r="C75" i="47"/>
  <c r="H75" i="47" s="1"/>
  <c r="C73" i="47"/>
  <c r="H73" i="47" s="1"/>
  <c r="E137" i="33"/>
  <c r="G137" i="33" s="1"/>
  <c r="H139" i="33" s="1"/>
  <c r="H153" i="33" s="1"/>
  <c r="F3122" i="37" s="1"/>
  <c r="H3122" i="37" s="1"/>
  <c r="F3126" i="37" s="1"/>
  <c r="H3126" i="37" s="1"/>
  <c r="I3127" i="37" s="1"/>
  <c r="I3142" i="37" s="1"/>
  <c r="F2060" i="37"/>
  <c r="H2060" i="37" s="1"/>
  <c r="F1893" i="37"/>
  <c r="H1893" i="37" s="1"/>
  <c r="F2339" i="37"/>
  <c r="H2339" i="37" s="1"/>
  <c r="C17" i="47"/>
  <c r="F17" i="47" s="1"/>
  <c r="I23" i="37"/>
  <c r="I37" i="37" s="1"/>
  <c r="E25" i="33"/>
  <c r="G25" i="33" s="1"/>
  <c r="H26" i="33" s="1"/>
  <c r="H40" i="33" s="1"/>
  <c r="F1669" i="37"/>
  <c r="H1669" i="37" s="1"/>
  <c r="F2119" i="37"/>
  <c r="H2119" i="37" s="1"/>
  <c r="F1557" i="37"/>
  <c r="H1557" i="37" s="1"/>
  <c r="F1335" i="37"/>
  <c r="H1335" i="37" s="1"/>
  <c r="I1336" i="37" s="1"/>
  <c r="I1349" i="37" s="1"/>
  <c r="G62" i="47" l="1"/>
  <c r="F1443" i="37"/>
  <c r="H1443" i="37" s="1"/>
  <c r="I1447" i="37" s="1"/>
  <c r="I1462" i="37" s="1"/>
  <c r="F1779" i="37"/>
  <c r="H1779" i="37" s="1"/>
  <c r="I1783" i="37" s="1"/>
  <c r="I1797" i="37" s="1"/>
  <c r="C117" i="47"/>
  <c r="C118" i="47"/>
  <c r="I118" i="47" s="1"/>
  <c r="F5143" i="37"/>
  <c r="H5143" i="37" s="1"/>
  <c r="F1780" i="37"/>
  <c r="H1780" i="37" s="1"/>
  <c r="C50" i="47"/>
  <c r="H50" i="47" s="1"/>
  <c r="I5147" i="37"/>
  <c r="I5160" i="37" s="1"/>
  <c r="F2448" i="37"/>
  <c r="H2448" i="37" s="1"/>
  <c r="I2451" i="37" s="1"/>
  <c r="I2465" i="37" s="1"/>
  <c r="F4242" i="37"/>
  <c r="H4242" i="37" s="1"/>
  <c r="I4246" i="37" s="1"/>
  <c r="I4259" i="37" s="1"/>
  <c r="F5371" i="37"/>
  <c r="H5371" i="37" s="1"/>
  <c r="I5373" i="37" s="1"/>
  <c r="I5387" i="37" s="1"/>
  <c r="F2393" i="37"/>
  <c r="H2393" i="37" s="1"/>
  <c r="I2396" i="37" s="1"/>
  <c r="I2409" i="37" s="1"/>
  <c r="F1948" i="37"/>
  <c r="H1948" i="37" s="1"/>
  <c r="F2225" i="37"/>
  <c r="H2225" i="37" s="1"/>
  <c r="I2228" i="37" s="1"/>
  <c r="I2242" i="37" s="1"/>
  <c r="F1947" i="37"/>
  <c r="H1947" i="37" s="1"/>
  <c r="F1498" i="37"/>
  <c r="H1498" i="37" s="1"/>
  <c r="I1502" i="37" s="1"/>
  <c r="I1517" i="37" s="1"/>
  <c r="F2950" i="37"/>
  <c r="H2950" i="37" s="1"/>
  <c r="F2954" i="37" s="1"/>
  <c r="H2954" i="37" s="1"/>
  <c r="I2955" i="37" s="1"/>
  <c r="I2970" i="37" s="1"/>
  <c r="F2616" i="37"/>
  <c r="H2616" i="37" s="1"/>
  <c r="I2618" i="37" s="1"/>
  <c r="I2631" i="37" s="1"/>
  <c r="C87" i="47"/>
  <c r="H87" i="47" s="1"/>
  <c r="C64" i="47"/>
  <c r="G64" i="47" s="1"/>
  <c r="C9" i="47"/>
  <c r="F9" i="47" s="1"/>
  <c r="F14" i="47" s="1"/>
  <c r="C16" i="47"/>
  <c r="I108" i="47"/>
  <c r="I115" i="47" s="1"/>
  <c r="C115" i="47"/>
  <c r="I101" i="47"/>
  <c r="I106" i="47" s="1"/>
  <c r="C106" i="47"/>
  <c r="F2003" i="37"/>
  <c r="H2003" i="37" s="1"/>
  <c r="C38" i="47"/>
  <c r="F2173" i="37"/>
  <c r="H2173" i="37" s="1"/>
  <c r="I2179" i="37" s="1"/>
  <c r="I2192" i="37" s="1"/>
  <c r="C90" i="47"/>
  <c r="H90" i="47" s="1"/>
  <c r="F1836" i="37"/>
  <c r="H1836" i="37" s="1"/>
  <c r="F1612" i="37"/>
  <c r="H1612" i="37" s="1"/>
  <c r="F2282" i="37"/>
  <c r="H2282" i="37" s="1"/>
  <c r="F2281" i="37"/>
  <c r="H2281" i="37" s="1"/>
  <c r="F1611" i="37"/>
  <c r="H1611" i="37" s="1"/>
  <c r="F1835" i="37"/>
  <c r="H1835" i="37" s="1"/>
  <c r="F1386" i="37"/>
  <c r="H1386" i="37" s="1"/>
  <c r="I1390" i="37" s="1"/>
  <c r="I1405" i="37" s="1"/>
  <c r="C93" i="47"/>
  <c r="H93" i="47" s="1"/>
  <c r="F2005" i="37"/>
  <c r="H2005" i="37" s="1"/>
  <c r="C82" i="47"/>
  <c r="F1724" i="37"/>
  <c r="H1724" i="37" s="1"/>
  <c r="F1892" i="37"/>
  <c r="H1892" i="37" s="1"/>
  <c r="C24" i="47"/>
  <c r="F1556" i="37"/>
  <c r="H1556" i="37" s="1"/>
  <c r="F2338" i="37"/>
  <c r="H2338" i="37" s="1"/>
  <c r="F1668" i="37"/>
  <c r="H1668" i="37" s="1"/>
  <c r="F2118" i="37"/>
  <c r="H2118" i="37" s="1"/>
  <c r="I2122" i="37" s="1"/>
  <c r="I2136" i="37" s="1"/>
  <c r="C25" i="47"/>
  <c r="F25" i="47" s="1"/>
  <c r="F1667" i="37"/>
  <c r="H1667" i="37" s="1"/>
  <c r="F1723" i="37"/>
  <c r="H1723" i="37" s="1"/>
  <c r="F1891" i="37"/>
  <c r="H1891" i="37" s="1"/>
  <c r="F2337" i="37"/>
  <c r="H2337" i="37" s="1"/>
  <c r="F2059" i="37"/>
  <c r="H2059" i="37" s="1"/>
  <c r="I2062" i="37" s="1"/>
  <c r="I2076" i="37" s="1"/>
  <c r="F1555" i="37"/>
  <c r="H1555" i="37" s="1"/>
  <c r="F2560" i="37"/>
  <c r="H2560" i="37" s="1"/>
  <c r="I2562" i="37" s="1"/>
  <c r="F2505" i="37"/>
  <c r="H2505" i="37" s="1"/>
  <c r="I2507" i="37" s="1"/>
  <c r="I2520" i="37" s="1"/>
  <c r="E40" i="29"/>
  <c r="H117" i="47" l="1"/>
  <c r="H120" i="47" s="1"/>
  <c r="C120" i="47"/>
  <c r="I117" i="47"/>
  <c r="I120" i="47" s="1"/>
  <c r="I1951" i="37"/>
  <c r="I1965" i="37" s="1"/>
  <c r="C49" i="47"/>
  <c r="G49" i="47" s="1"/>
  <c r="I2575" i="37"/>
  <c r="I2007" i="37"/>
  <c r="I2020" i="37" s="1"/>
  <c r="C23" i="47"/>
  <c r="F23" i="47" s="1"/>
  <c r="C39" i="47"/>
  <c r="G39" i="47" s="1"/>
  <c r="C36" i="47"/>
  <c r="H36" i="47" s="1"/>
  <c r="C26" i="47"/>
  <c r="F26" i="47" s="1"/>
  <c r="E16" i="47"/>
  <c r="E21" i="47" s="1"/>
  <c r="G16" i="47"/>
  <c r="F16" i="47"/>
  <c r="G9" i="47"/>
  <c r="G14" i="47" s="1"/>
  <c r="D9" i="47"/>
  <c r="D14" i="47" s="1"/>
  <c r="D123" i="47" s="1"/>
  <c r="H9" i="47"/>
  <c r="H14" i="47" s="1"/>
  <c r="I9" i="47"/>
  <c r="I14" i="47" s="1"/>
  <c r="E9" i="47"/>
  <c r="H99" i="47"/>
  <c r="C12" i="47"/>
  <c r="C86" i="47"/>
  <c r="C18" i="47"/>
  <c r="F24" i="47"/>
  <c r="C66" i="47"/>
  <c r="H82" i="47"/>
  <c r="G38" i="47"/>
  <c r="F38" i="47"/>
  <c r="C56" i="47"/>
  <c r="C37" i="47"/>
  <c r="F37" i="47" s="1"/>
  <c r="I1671" i="37"/>
  <c r="I1685" i="37" s="1"/>
  <c r="I1839" i="37"/>
  <c r="I1853" i="37" s="1"/>
  <c r="I2285" i="37"/>
  <c r="I2299" i="37" s="1"/>
  <c r="I1727" i="37"/>
  <c r="I1741" i="37" s="1"/>
  <c r="I1615" i="37"/>
  <c r="I1629" i="37" s="1"/>
  <c r="I1559" i="37"/>
  <c r="I1573" i="37" s="1"/>
  <c r="I1895" i="37"/>
  <c r="I1909" i="37" s="1"/>
  <c r="I2341" i="37"/>
  <c r="I2355" i="37" s="1"/>
  <c r="C33" i="47" l="1"/>
  <c r="H33" i="47" s="1"/>
  <c r="C29" i="47"/>
  <c r="G29" i="47" s="1"/>
  <c r="C35" i="47"/>
  <c r="H35" i="47" s="1"/>
  <c r="C42" i="47"/>
  <c r="G42" i="47" s="1"/>
  <c r="C34" i="47"/>
  <c r="H34" i="47" s="1"/>
  <c r="C28" i="47"/>
  <c r="G28" i="47" s="1"/>
  <c r="C30" i="47"/>
  <c r="G30" i="47" s="1"/>
  <c r="C31" i="47"/>
  <c r="G31" i="47" s="1"/>
  <c r="C27" i="47"/>
  <c r="F27" i="47" s="1"/>
  <c r="C32" i="47"/>
  <c r="H32" i="47" s="1"/>
  <c r="H40" i="47" s="1"/>
  <c r="I86" i="47"/>
  <c r="I99" i="47" s="1"/>
  <c r="I123" i="47" s="1"/>
  <c r="C99" i="47"/>
  <c r="G18" i="47"/>
  <c r="G21" i="47" s="1"/>
  <c r="F18" i="47"/>
  <c r="F21" i="47" s="1"/>
  <c r="C21" i="47"/>
  <c r="E12" i="47"/>
  <c r="E14" i="47" s="1"/>
  <c r="E123" i="47" s="1"/>
  <c r="C14" i="47"/>
  <c r="C48" i="47"/>
  <c r="F56" i="47"/>
  <c r="F62" i="47" s="1"/>
  <c r="C62" i="47"/>
  <c r="G66" i="47"/>
  <c r="G67" i="47" s="1"/>
  <c r="C67" i="47"/>
  <c r="C83" i="47"/>
  <c r="C40" i="47"/>
  <c r="K8" i="44"/>
  <c r="C43" i="47" l="1"/>
  <c r="C46" i="47" s="1"/>
  <c r="G35" i="47"/>
  <c r="F28" i="47"/>
  <c r="F40" i="47" s="1"/>
  <c r="F123" i="47" s="1"/>
  <c r="G32" i="47"/>
  <c r="H83" i="47"/>
  <c r="H84" i="47" s="1"/>
  <c r="C84" i="47"/>
  <c r="H48" i="47"/>
  <c r="H54" i="47" s="1"/>
  <c r="G48" i="47"/>
  <c r="G54" i="47" s="1"/>
  <c r="C54" i="47"/>
  <c r="G40" i="47"/>
  <c r="G43" i="47" l="1"/>
  <c r="G46" i="47" s="1"/>
  <c r="H123" i="47"/>
  <c r="G123" i="47"/>
  <c r="C129" i="47"/>
  <c r="I129" i="47" s="1"/>
  <c r="C123" i="47"/>
  <c r="G41" i="44"/>
  <c r="I41" i="44" s="1"/>
  <c r="G45" i="44"/>
  <c r="I45" i="44" s="1"/>
  <c r="G40" i="44"/>
  <c r="I40" i="44" s="1"/>
  <c r="G43" i="44"/>
  <c r="I43" i="44" s="1"/>
  <c r="G44" i="44"/>
  <c r="I44" i="44" s="1"/>
  <c r="G42" i="44"/>
  <c r="I42" i="44" s="1"/>
  <c r="C128" i="47" l="1"/>
  <c r="C126" i="47"/>
  <c r="C125" i="47"/>
  <c r="C133" i="47"/>
  <c r="C124" i="47"/>
  <c r="K39" i="44"/>
  <c r="C137" i="47" l="1"/>
  <c r="C131" i="47"/>
  <c r="C135" i="47" s="1"/>
  <c r="E125" i="47"/>
  <c r="I125" i="47"/>
  <c r="D125" i="47"/>
  <c r="G125" i="47"/>
  <c r="F125" i="47"/>
  <c r="H125" i="47"/>
  <c r="E126" i="47"/>
  <c r="F126" i="47"/>
  <c r="I126" i="47"/>
  <c r="H126" i="47"/>
  <c r="D126" i="47"/>
  <c r="G126" i="47"/>
  <c r="E124" i="47"/>
  <c r="I124" i="47"/>
  <c r="H124" i="47"/>
  <c r="D124" i="47"/>
  <c r="F124" i="47"/>
  <c r="G124" i="47"/>
  <c r="F133" i="47"/>
  <c r="E133" i="47"/>
  <c r="H133" i="47"/>
  <c r="I133" i="47"/>
  <c r="G133" i="47"/>
  <c r="D133" i="47"/>
  <c r="H128" i="47"/>
  <c r="I128" i="47"/>
  <c r="E128" i="47"/>
  <c r="D128" i="47"/>
  <c r="F128" i="47"/>
  <c r="G128" i="47"/>
  <c r="K47" i="44"/>
  <c r="K48" i="44" s="1"/>
  <c r="H137" i="47" l="1"/>
  <c r="F131" i="47"/>
  <c r="D137" i="47"/>
  <c r="G131" i="47"/>
  <c r="D131" i="47"/>
  <c r="E131" i="47"/>
  <c r="G137" i="47"/>
  <c r="H131" i="47"/>
  <c r="I137" i="47"/>
  <c r="F137" i="47"/>
  <c r="E137" i="47"/>
  <c r="I131" i="47"/>
  <c r="K50" i="44"/>
  <c r="H139" i="47" l="1"/>
  <c r="K6" i="49" l="1"/>
  <c r="J46" i="49" s="1"/>
  <c r="K70" i="49"/>
  <c r="K69" i="49"/>
  <c r="G61" i="49" l="1"/>
  <c r="I61" i="49" s="1"/>
  <c r="G64" i="49"/>
  <c r="I64" i="49" s="1"/>
  <c r="J9" i="49"/>
  <c r="G63" i="49"/>
  <c r="I63" i="49" s="1"/>
  <c r="G65" i="49"/>
  <c r="I65" i="49" s="1"/>
  <c r="G60" i="49"/>
  <c r="I60" i="49" s="1"/>
  <c r="G62" i="49"/>
  <c r="I62" i="49" s="1"/>
  <c r="G66" i="49"/>
  <c r="I66" i="49" s="1"/>
  <c r="K59" i="49" l="1"/>
  <c r="J60" i="49" s="1"/>
  <c r="K7" i="44"/>
  <c r="J32" i="44" s="1"/>
  <c r="J12" i="44" l="1"/>
  <c r="J40" i="44"/>
  <c r="J48" i="44"/>
  <c r="K68" i="49"/>
  <c r="K72" i="49" s="1"/>
  <c r="J47" i="44" l="1"/>
</calcChain>
</file>

<file path=xl/sharedStrings.xml><?xml version="1.0" encoding="utf-8"?>
<sst xmlns="http://schemas.openxmlformats.org/spreadsheetml/2006/main" count="17823" uniqueCount="1638">
  <si>
    <t>ITEM</t>
  </si>
  <si>
    <t>DESCRIPCION</t>
  </si>
  <si>
    <t xml:space="preserve">UNID. </t>
  </si>
  <si>
    <t>CANT.</t>
  </si>
  <si>
    <t>Vr. PARCIAL</t>
  </si>
  <si>
    <t>M2</t>
  </si>
  <si>
    <t>M3</t>
  </si>
  <si>
    <t>ML</t>
  </si>
  <si>
    <t>Vr. UNIT</t>
  </si>
  <si>
    <t xml:space="preserve">ACABADOS </t>
  </si>
  <si>
    <t>Subtotal Items 2</t>
  </si>
  <si>
    <t>Subtotal Items 1</t>
  </si>
  <si>
    <t>OBRAS PRELIMINARES</t>
  </si>
  <si>
    <t>Subtotal Items 3</t>
  </si>
  <si>
    <t>Subtotal Items 4</t>
  </si>
  <si>
    <t>Subtotal Items 5</t>
  </si>
  <si>
    <t>Subtotal Items 7</t>
  </si>
  <si>
    <t>Subtotal Items 8</t>
  </si>
  <si>
    <t>ESTRUCTURALES</t>
  </si>
  <si>
    <t>GLB</t>
  </si>
  <si>
    <t>ANÁLISIS DE PRECIOS UNITARIOS</t>
  </si>
  <si>
    <t>I. EQUIPO</t>
  </si>
  <si>
    <t>Descripción</t>
  </si>
  <si>
    <t>Tipo</t>
  </si>
  <si>
    <t>Rendimiento</t>
  </si>
  <si>
    <t>Valor-Unit.</t>
  </si>
  <si>
    <t>Sub-Total</t>
  </si>
  <si>
    <t>II. MATERIALES EN OBRA</t>
  </si>
  <si>
    <t>Unidad</t>
  </si>
  <si>
    <t>Precio-Unit.</t>
  </si>
  <si>
    <t>Cantidad</t>
  </si>
  <si>
    <t>III. TRANSPORTES</t>
  </si>
  <si>
    <t>Material</t>
  </si>
  <si>
    <t>Vol. Peso ó Cant.</t>
  </si>
  <si>
    <t>Distancia</t>
  </si>
  <si>
    <t>M3-Km</t>
  </si>
  <si>
    <t>Tarifa</t>
  </si>
  <si>
    <t>IV. MANO DE OBRA</t>
  </si>
  <si>
    <t>Trabajador</t>
  </si>
  <si>
    <t>Jornal</t>
  </si>
  <si>
    <t>Prestaciones</t>
  </si>
  <si>
    <t>Jornal Total</t>
  </si>
  <si>
    <t>OFICIAL</t>
  </si>
  <si>
    <t>TOTAL COSTO DIRECTO</t>
  </si>
  <si>
    <t>ROLLO</t>
  </si>
  <si>
    <t>UNIDAD  :</t>
  </si>
  <si>
    <t>Localizacion, trazado, replanteo y control topografico de la obra</t>
  </si>
  <si>
    <t>Tarifa/dia</t>
  </si>
  <si>
    <t>EQUIPO DE TOPOGRAFIA</t>
  </si>
  <si>
    <t xml:space="preserve">HERRAMIENTAS MENORES </t>
  </si>
  <si>
    <t>Puntillas de hierro 11/2"</t>
  </si>
  <si>
    <t>Lbrs</t>
  </si>
  <si>
    <t>Kgr</t>
  </si>
  <si>
    <t>Liston en madera 4"x2"x3,0mtrs</t>
  </si>
  <si>
    <t>TOPOGRAFO</t>
  </si>
  <si>
    <t>OBREROS (2)</t>
  </si>
  <si>
    <t>HERRAMIENTAS MENORES (5% M.O.)</t>
  </si>
  <si>
    <t>MEZCLADOR DE CONCRETO</t>
  </si>
  <si>
    <t>KG</t>
  </si>
  <si>
    <t>ARENA</t>
  </si>
  <si>
    <t>AGUA</t>
  </si>
  <si>
    <t>LTS</t>
  </si>
  <si>
    <t>%</t>
  </si>
  <si>
    <t>CONCRETO DE 3000 P.S.I.</t>
  </si>
  <si>
    <t>OBREROS (3)</t>
  </si>
  <si>
    <t>OFICIAL (1)</t>
  </si>
  <si>
    <t>ACERO DE REFUERZO 60000 p.s.i</t>
  </si>
  <si>
    <t>ACERO DE REFUERZO 40000 p.s.i</t>
  </si>
  <si>
    <t>MORTERO 1:4</t>
  </si>
  <si>
    <t>ACCESORIOS</t>
  </si>
  <si>
    <t>CURVAS</t>
  </si>
  <si>
    <t>CINTA AISLANTE</t>
  </si>
  <si>
    <t>OBREROS (1)</t>
  </si>
  <si>
    <t>UNIDAD</t>
  </si>
  <si>
    <t>SOLDADURA</t>
  </si>
  <si>
    <t>ANTICORROSIVO</t>
  </si>
  <si>
    <t>GL</t>
  </si>
  <si>
    <t>GLN</t>
  </si>
  <si>
    <t>TUBERIA PVC 4"</t>
  </si>
  <si>
    <t>transporte de materiales</t>
  </si>
  <si>
    <t>MAMPOSTERIA</t>
  </si>
  <si>
    <t>VALOR INGRESADO</t>
  </si>
  <si>
    <t>SALARIO MINIMO MENSUAL SIN SUBSIDIO DE TRANSPORTE</t>
  </si>
  <si>
    <t>SUBSIDIO DE TRANSPORTE</t>
  </si>
  <si>
    <t>SALARIO MINIMO MENSUAL CON SUBSIDIO DE TRANSPORTE</t>
  </si>
  <si>
    <t xml:space="preserve">DIAS DE TRABAJO </t>
  </si>
  <si>
    <t>OBRERO</t>
  </si>
  <si>
    <t>MAESTRO</t>
  </si>
  <si>
    <t>AJUSTADO</t>
  </si>
  <si>
    <t>CAJA 2X4</t>
  </si>
  <si>
    <t>AUXILIAR DE TOPOGRAFIA</t>
  </si>
  <si>
    <t>TARIFA</t>
  </si>
  <si>
    <t>$/HORA</t>
  </si>
  <si>
    <t xml:space="preserve">ARENA DELGADA </t>
  </si>
  <si>
    <t>OBREROS (6)</t>
  </si>
  <si>
    <t>Subtotal Items 9</t>
  </si>
  <si>
    <t>ACERO DE REFUERZO 60000 p.s.i.</t>
  </si>
  <si>
    <t>ALAMBRE QUEMADO</t>
  </si>
  <si>
    <t>ACERO DE REFUERZO 40000 p.s.i.</t>
  </si>
  <si>
    <t>DESPERDICIO DE MATERIALES 3%</t>
  </si>
  <si>
    <t xml:space="preserve">RELLENO </t>
  </si>
  <si>
    <t xml:space="preserve">CEMENTO GRIS </t>
  </si>
  <si>
    <t>IMPERMEABILIZANTE</t>
  </si>
  <si>
    <t>GALON</t>
  </si>
  <si>
    <t>TECNICO</t>
  </si>
  <si>
    <t>Tarifa/hora</t>
  </si>
  <si>
    <t>TECNICO ELECTRICISTA</t>
  </si>
  <si>
    <t>CUBIERTAS</t>
  </si>
  <si>
    <t>Tarifa/Dia</t>
  </si>
  <si>
    <t>AUXILIARES (2)</t>
  </si>
  <si>
    <t>CONCRETO  - 3000 P.S.I.</t>
  </si>
  <si>
    <t>MATERIALES</t>
  </si>
  <si>
    <t>BOB CAT PALA</t>
  </si>
  <si>
    <t>VIBRO-COMPACTADOR- RANA</t>
  </si>
  <si>
    <t>RELLENO - MATERIAL GRANULAR</t>
  </si>
  <si>
    <t>EXCAVACIONES, NIVELACIONES Y RELLENOS</t>
  </si>
  <si>
    <t xml:space="preserve">MEZCLADOR DE CONCRETO </t>
  </si>
  <si>
    <t>ESTUCO PLASTCO</t>
  </si>
  <si>
    <t>CAJA  HEXAGONAL</t>
  </si>
  <si>
    <t>PINTURA DE ACEITE INCLUYE  DILUYENTE</t>
  </si>
  <si>
    <t>OBREROS (12)</t>
  </si>
  <si>
    <t>MATERIALES EN OBRA</t>
  </si>
  <si>
    <t>UNIDAD DE MEDIDA</t>
  </si>
  <si>
    <t>PRECIO PRESUPUESTO</t>
  </si>
  <si>
    <t>PUNTILLAS  11/2"</t>
  </si>
  <si>
    <t>LIBRA</t>
  </si>
  <si>
    <t>CAL (BULTO POR 10 KG)</t>
  </si>
  <si>
    <t>KILOGRAMO</t>
  </si>
  <si>
    <t>LISTON DE MADERA 6" x 4" x 4,0 MTS</t>
  </si>
  <si>
    <t>LISTON DE MADERA 4" x 2" x 4,0 MTS</t>
  </si>
  <si>
    <t>LISTON DE MADERA 4" x 2" x 3,0 MTS</t>
  </si>
  <si>
    <t>LISTON DE MADERA 2" x 1" x 3,0 MTS</t>
  </si>
  <si>
    <t xml:space="preserve">ARENA GRUESA </t>
  </si>
  <si>
    <t>ARENA DELGADA</t>
  </si>
  <si>
    <t>LITRO</t>
  </si>
  <si>
    <t>SOLDADURA PVC</t>
  </si>
  <si>
    <t>CUBIERTA TIPO ZINC INCLUYE AMARRES</t>
  </si>
  <si>
    <t>HERRAMIENTAS MENORES</t>
  </si>
  <si>
    <t>5% M/O</t>
  </si>
  <si>
    <t>EQUIPO DE TOPOGRAFIA (NIVEL)</t>
  </si>
  <si>
    <t>$/DIA</t>
  </si>
  <si>
    <t>BOB CAT MARTILLO</t>
  </si>
  <si>
    <t>MOTONIVELADORA</t>
  </si>
  <si>
    <t>BULDOZER</t>
  </si>
  <si>
    <t>TRABAJADOR</t>
  </si>
  <si>
    <t>VALOR</t>
  </si>
  <si>
    <t>M3/KM</t>
  </si>
  <si>
    <t>DISCO DE CORTE DIAMANTADO 14"</t>
  </si>
  <si>
    <t>TRITURADO</t>
  </si>
  <si>
    <t>CANTIDAD TOTAL</t>
  </si>
  <si>
    <t xml:space="preserve">
</t>
  </si>
  <si>
    <t>LOCALIZACIÓN</t>
  </si>
  <si>
    <t>DIMENSIONES</t>
  </si>
  <si>
    <t>CANTIDAD</t>
  </si>
  <si>
    <t>TOTAL</t>
  </si>
  <si>
    <t>Largo</t>
  </si>
  <si>
    <t>Ancho</t>
  </si>
  <si>
    <t>Alto</t>
  </si>
  <si>
    <t>ACUMULADO</t>
  </si>
  <si>
    <t>CANTIDAD EN M2</t>
  </si>
  <si>
    <t>CANTIDAD EN M3</t>
  </si>
  <si>
    <t>DESPERDICIO DE MATERIALES 5%</t>
  </si>
  <si>
    <t>GEOTEXTIL DE PROTECCION</t>
  </si>
  <si>
    <t>ANTISOL</t>
  </si>
  <si>
    <t>ADAPTADORES</t>
  </si>
  <si>
    <t>Diametro</t>
  </si>
  <si>
    <t>1.1 - Localizacion, trazado, replanteo y control topografico de la obra</t>
  </si>
  <si>
    <t>Levante de muro de block No 4</t>
  </si>
  <si>
    <t>SANITARIOS</t>
  </si>
  <si>
    <t>ITEM 1,1 Localizacion, trazado, replanteo y control topografico de la obra</t>
  </si>
  <si>
    <t>ITEM 4,1 Levante de muro de block No 4</t>
  </si>
  <si>
    <t>BLOQUE No4  0,40 x 0,20 x 0,09 mts</t>
  </si>
  <si>
    <t>SOLDADOR</t>
  </si>
  <si>
    <t>CODO DE 4 90</t>
  </si>
  <si>
    <t>CODO DE 4 45</t>
  </si>
  <si>
    <t>YEE DE 4"</t>
  </si>
  <si>
    <t>TUBERIA CONDUIT 1/2"</t>
  </si>
  <si>
    <t>AUXILIAR ELECTRICO (2)</t>
  </si>
  <si>
    <t>TOMA CORRENTE</t>
  </si>
  <si>
    <t>AUXILIAR ELECTRICO (1)</t>
  </si>
  <si>
    <t>4,1 Levante de muro de block No 4</t>
  </si>
  <si>
    <t>CADENERO</t>
  </si>
  <si>
    <t>Total Costo Directo</t>
  </si>
  <si>
    <t>CEMENTO GRIS TIPO PORTLAND</t>
  </si>
  <si>
    <t>Estuco para muros tipo 1 (estructuras y Muros)</t>
  </si>
  <si>
    <t>A</t>
  </si>
  <si>
    <t>Kg</t>
  </si>
  <si>
    <t>CEMENTO BLANCO</t>
  </si>
  <si>
    <t xml:space="preserve">RELLENO MATERIAL GRANULAR </t>
  </si>
  <si>
    <t>TABLA CARACOLI 10" x 1" x 3,0 MTS</t>
  </si>
  <si>
    <t>IMPERMEABILZANTE TIPO SIKA 1</t>
  </si>
  <si>
    <t>IMPERMEABILZANTE TIPO SIKA 101</t>
  </si>
  <si>
    <t xml:space="preserve">CINTA B-15 </t>
  </si>
  <si>
    <t>M</t>
  </si>
  <si>
    <t xml:space="preserve">GRASA </t>
  </si>
  <si>
    <t>ADOQUIN VIBRADO</t>
  </si>
  <si>
    <t>RIELES METALICOS (Unidad)</t>
  </si>
  <si>
    <t>CORTADORA DE PAVIMENTO</t>
  </si>
  <si>
    <t>FLOTA METALICA</t>
  </si>
  <si>
    <t>CEPILLO METALICO</t>
  </si>
  <si>
    <t>REGLA VIBRATORIA</t>
  </si>
  <si>
    <t>MORTERO 1:4 impermeabilizado</t>
  </si>
  <si>
    <t xml:space="preserve">TRANSPORTE RETIRO </t>
  </si>
  <si>
    <t>BOT CAT CON PALA</t>
  </si>
  <si>
    <t>CEMENTO</t>
  </si>
  <si>
    <t>BLOQUE No 6 - 40 X 20 X 15 cms</t>
  </si>
  <si>
    <t>ESPESOR</t>
  </si>
  <si>
    <t>Pintura tipo 1 para exteriores e interiores (estructuras y Muros)</t>
  </si>
  <si>
    <t>IMPREVISTOS 3%</t>
  </si>
  <si>
    <t>COSTO TOTAL DE OBRA</t>
  </si>
  <si>
    <t>3.1</t>
  </si>
  <si>
    <t>3.2</t>
  </si>
  <si>
    <t>3.3</t>
  </si>
  <si>
    <t>3.4</t>
  </si>
  <si>
    <t>3.5</t>
  </si>
  <si>
    <t>3.7</t>
  </si>
  <si>
    <t>2.1</t>
  </si>
  <si>
    <t>2.2</t>
  </si>
  <si>
    <t>2.3</t>
  </si>
  <si>
    <t>2.4</t>
  </si>
  <si>
    <t>1.1</t>
  </si>
  <si>
    <t>1.2</t>
  </si>
  <si>
    <t>Tarifa alquiler</t>
  </si>
  <si>
    <t>ADITIVO PLASTIFICANTE</t>
  </si>
  <si>
    <t>ADITIVO RETARDANTE</t>
  </si>
  <si>
    <t>AÑO</t>
  </si>
  <si>
    <t>3.8</t>
  </si>
  <si>
    <t>3.9</t>
  </si>
  <si>
    <t>3.10</t>
  </si>
  <si>
    <t>3.11</t>
  </si>
  <si>
    <t>3.12</t>
  </si>
  <si>
    <t>5.1</t>
  </si>
  <si>
    <t>5.2</t>
  </si>
  <si>
    <t>5.3</t>
  </si>
  <si>
    <t>CARPINTERIA METALICA</t>
  </si>
  <si>
    <t>7.1</t>
  </si>
  <si>
    <t>7.2</t>
  </si>
  <si>
    <t>8.1</t>
  </si>
  <si>
    <t>8.2</t>
  </si>
  <si>
    <t>8.3</t>
  </si>
  <si>
    <t>8.4</t>
  </si>
  <si>
    <t>AREA IRREGULAR M2</t>
  </si>
  <si>
    <t>CANTIDAD EN M</t>
  </si>
  <si>
    <t>5.4</t>
  </si>
  <si>
    <t>7.3</t>
  </si>
  <si>
    <t xml:space="preserve">M </t>
  </si>
  <si>
    <t>DESCUENTO M2</t>
  </si>
  <si>
    <t>B</t>
  </si>
  <si>
    <t>Pañete para muros   mortero: 1:4 imp . Esp = 2 cms (estructuras y Muros)</t>
  </si>
  <si>
    <t>9.1</t>
  </si>
  <si>
    <t>9.2</t>
  </si>
  <si>
    <t>9.3</t>
  </si>
  <si>
    <t>10.1</t>
  </si>
  <si>
    <t>Subtotal Items 10</t>
  </si>
  <si>
    <t>LAVAMANOS</t>
  </si>
  <si>
    <t>DUCHAS</t>
  </si>
  <si>
    <t>ORINALES</t>
  </si>
  <si>
    <t>8.5</t>
  </si>
  <si>
    <t>8.6</t>
  </si>
  <si>
    <t>8.7</t>
  </si>
  <si>
    <t>8.8</t>
  </si>
  <si>
    <t>8.9</t>
  </si>
  <si>
    <t>8.10</t>
  </si>
  <si>
    <t>8.11</t>
  </si>
  <si>
    <t>Area irregular M2</t>
  </si>
  <si>
    <t>4.1</t>
  </si>
  <si>
    <t>4.2</t>
  </si>
  <si>
    <t>4.3</t>
  </si>
  <si>
    <t>4.4</t>
  </si>
  <si>
    <t>Aleta</t>
  </si>
  <si>
    <t>C</t>
  </si>
  <si>
    <t>D</t>
  </si>
  <si>
    <t>COSTO DIRECTO OBRA CIVIL</t>
  </si>
  <si>
    <t>Cal (10kgrs)</t>
  </si>
  <si>
    <t>PINTURA TIPO 1</t>
  </si>
  <si>
    <t>TUBERIA PVC 1/2"</t>
  </si>
  <si>
    <t>CODOS 1/2"</t>
  </si>
  <si>
    <t>TEE 1/2"</t>
  </si>
  <si>
    <t>LLAVE DE DISTRIBUCION</t>
  </si>
  <si>
    <t>TUBERIA PVC 3/4"</t>
  </si>
  <si>
    <t>CODOS 3/4"</t>
  </si>
  <si>
    <t>TEE 3/4"</t>
  </si>
  <si>
    <t>TUBERIA PVC 1 1/4"</t>
  </si>
  <si>
    <t>CODOS 1 1/4"</t>
  </si>
  <si>
    <t>TEE 1 1/4"</t>
  </si>
  <si>
    <t>TANQUE DE 500 LTS</t>
  </si>
  <si>
    <t>FLOTADOR</t>
  </si>
  <si>
    <t>TUBERIA PVC 1"</t>
  </si>
  <si>
    <t>VALVULA UNIVERSAL 1/2"</t>
  </si>
  <si>
    <t>VALVULA UNIVERSAL 1"</t>
  </si>
  <si>
    <t>Gabinete en lamina cold rolled, tamaño 60x35x23, calibre 20, pintura electroestática roja y texturizada. marco en lámina, con empaque, vidrio , chapa con 2 llaves</t>
  </si>
  <si>
    <t>Extintor ABC 10 lbs</t>
  </si>
  <si>
    <t>TUBERIA PVC 2"</t>
  </si>
  <si>
    <t>CODO DE 2" 90</t>
  </si>
  <si>
    <t>CODO DE 2" 45</t>
  </si>
  <si>
    <t>TAPON DE PRUEBA DE 2"</t>
  </si>
  <si>
    <t>YEE DE 2"</t>
  </si>
  <si>
    <t>TUBERIA PVC 3"</t>
  </si>
  <si>
    <t>CODO DE 3" 90</t>
  </si>
  <si>
    <t>CODO DE 3" 45</t>
  </si>
  <si>
    <t>SIFON DE 3"</t>
  </si>
  <si>
    <t>TAPON DE PRUEBA DE 3"</t>
  </si>
  <si>
    <t>YEE DE 3"</t>
  </si>
  <si>
    <t>REJILLA 3"</t>
  </si>
  <si>
    <t>TAPON DE PRUEBA DE 4"</t>
  </si>
  <si>
    <t>PERFILERIA REDONDA 3/4" CAL 16</t>
  </si>
  <si>
    <t>PERFILERIA RECTANGULAR 2" X 1" CAL 16</t>
  </si>
  <si>
    <t>PERFILERIA RECTANGULAR 3" X 11/2" CAL 16</t>
  </si>
  <si>
    <t>MACILLA - HUESO DURO</t>
  </si>
  <si>
    <t>VISAGRAS</t>
  </si>
  <si>
    <t>CHAPAS CON MANIJA</t>
  </si>
  <si>
    <t>VARILLA LISA 3/8"</t>
  </si>
  <si>
    <t>FORMALETERIA METALICA</t>
  </si>
  <si>
    <t>RETROEXCAVADORA DE ORUGA</t>
  </si>
  <si>
    <t>RETROEXCAVADORA DE LLANTA</t>
  </si>
  <si>
    <t>VIBROCOMPACTADOR CANGURO</t>
  </si>
  <si>
    <t>VIBRO-COMPACTADOR- CANGURO</t>
  </si>
  <si>
    <t>VIBRO DE PUNTA</t>
  </si>
  <si>
    <t>CORDON DE ESPUMA EN POLIURETANO</t>
  </si>
  <si>
    <t>U</t>
  </si>
  <si>
    <t>ESTUCO PLASTICO</t>
  </si>
  <si>
    <t>PEGANTE CERAMICA</t>
  </si>
  <si>
    <t>PIEDRA GRANITO</t>
  </si>
  <si>
    <t>PINTURA TRAFICO</t>
  </si>
  <si>
    <t>PERFILERIA REDONDA 2" X 2 MM</t>
  </si>
  <si>
    <t>GRUA</t>
  </si>
  <si>
    <t>BULTO</t>
  </si>
  <si>
    <t>HELICOPTERO</t>
  </si>
  <si>
    <t>PINTURA EPOXICA</t>
  </si>
  <si>
    <t>LAMINA YESO CARTON</t>
  </si>
  <si>
    <t>ANGULO OMEGAL Y OTROS</t>
  </si>
  <si>
    <t>CODOS 1"</t>
  </si>
  <si>
    <t>TEE 1"</t>
  </si>
  <si>
    <t>REFLECTOR LED 250 VATIOS</t>
  </si>
  <si>
    <t>cubierta metalica autoportante STEEL-ROOF a base de arcos de acero galvanizado, pre pintados por ambas caras</t>
  </si>
  <si>
    <t>SEÑALIZACION Y DELIMITACION</t>
  </si>
  <si>
    <t>Vallas de prevencion</t>
  </si>
  <si>
    <t>Cintas señalizadoras 100 ML</t>
  </si>
  <si>
    <t>Subtotal Item 1</t>
  </si>
  <si>
    <t>MANEJO Y CLASIFICACION DE RESIDUOS</t>
  </si>
  <si>
    <t>Recipientres plasticos para recoleccion de residuos</t>
  </si>
  <si>
    <t>Bolsas plasticas</t>
  </si>
  <si>
    <t>PAQ.</t>
  </si>
  <si>
    <t>Marcacion de los recipientes con pintura para clasificacion de los residuos</t>
  </si>
  <si>
    <t>Subtotal Item 2</t>
  </si>
  <si>
    <t>SERVICIOS PROFESIONALES</t>
  </si>
  <si>
    <t>MES</t>
  </si>
  <si>
    <t>Subtotal Item 3</t>
  </si>
  <si>
    <t>COSTO DIRECTO</t>
  </si>
  <si>
    <t>Plan de Manejo Ambiental</t>
  </si>
  <si>
    <t>PERSONAL TECNICO</t>
  </si>
  <si>
    <t>CANT</t>
  </si>
  <si>
    <t>CONCEPTO</t>
  </si>
  <si>
    <t>E</t>
  </si>
  <si>
    <t>F</t>
  </si>
  <si>
    <t>G</t>
  </si>
  <si>
    <t>SUELDO MES BASICO X PERSONA</t>
  </si>
  <si>
    <t>SUELDO MES BASICO</t>
  </si>
  <si>
    <t>% DEDICACION</t>
  </si>
  <si>
    <t>F.M.</t>
  </si>
  <si>
    <t>VALOR MES (AXBXC)</t>
  </si>
  <si>
    <t>No DE MESES</t>
  </si>
  <si>
    <t>TOTAL (DXE)</t>
  </si>
  <si>
    <t>SUBTOTAL COSTO PERSONAL TECNICO AMBIENTAL</t>
  </si>
  <si>
    <t>Ingeniero Ambiental</t>
  </si>
  <si>
    <t>Analisis Unitario Profesional Plan de Manejo Ambiental</t>
  </si>
  <si>
    <t>PRESUPUESTO PROTOCOLO DE BIOSEGURIDAD</t>
  </si>
  <si>
    <t>1. PERSONAL</t>
  </si>
  <si>
    <t>INSPECTOR SISO (SEGURIDAD INDUSTRIAL Y SALUD OCUPACIONAL)</t>
  </si>
  <si>
    <t>1. SUBTOTAL PERSONAL</t>
  </si>
  <si>
    <t>2. ELEMENTOS PARA LA IMPLEMENTACIÓN DEL PROTOCOLO</t>
  </si>
  <si>
    <t>ELEMENTO</t>
  </si>
  <si>
    <t>VALOR UNITARIO</t>
  </si>
  <si>
    <t xml:space="preserve">VALOR TOTAL </t>
  </si>
  <si>
    <t>OBSERVACIONES</t>
  </si>
  <si>
    <t xml:space="preserve">LAVAMANOS PORTATIL DE PEDAL </t>
  </si>
  <si>
    <t>UN</t>
  </si>
  <si>
    <t>PARA UBICAR EN LA OBRA</t>
  </si>
  <si>
    <t xml:space="preserve">GUANTES DE NITRILO NEGRO TALLA 9 </t>
  </si>
  <si>
    <t>PAR</t>
  </si>
  <si>
    <t>PARA TODO EL PERSONAL</t>
  </si>
  <si>
    <t xml:space="preserve">MONOGAFAS </t>
  </si>
  <si>
    <t>UN.</t>
  </si>
  <si>
    <t>GUANTES DE LATEX POR 100 UNIDADES</t>
  </si>
  <si>
    <t>CAJA</t>
  </si>
  <si>
    <t>MASCARILLA INDUSTRIAL NEGRA</t>
  </si>
  <si>
    <t>DISTRIBUIDOS PARA TODO EL PERSONAL - Cambios 3 veces por semana</t>
  </si>
  <si>
    <t>GUANTES DE VAQUETA</t>
  </si>
  <si>
    <t>BASCULANTE PARA CASCO CON VISOR ACETATO</t>
  </si>
  <si>
    <t>PARA ADAPTAR A LOS CASCOS - TODO EL PERSONAL</t>
  </si>
  <si>
    <t>ALCOHOL ANTISEPTICO AL 70% (PRESENTACIÓN POR 1L), PARA ATOMIZADORES PERSONALES</t>
  </si>
  <si>
    <t>BOTELLA</t>
  </si>
  <si>
    <t>SERÁN DISTRIBUIDOS PARA OFICINA PRINCIPAL, OBRA Y LLENAR EN LOS RECIPIENTES QUE COMPONEN EL KIT PERSONAL DE LIMPIEZA.</t>
  </si>
  <si>
    <t xml:space="preserve">JABÓN LÍQUIDO ANTIBACTERIAL </t>
  </si>
  <si>
    <t>GARRAFA X 20 L</t>
  </si>
  <si>
    <t>SERÁN DISTRIBUIDOS PARA OFICINA PRINCIPAL Y EN LA OBRA</t>
  </si>
  <si>
    <t>GEL ANTIBACTERIAL (PRESENTACIÓN POR 1L)</t>
  </si>
  <si>
    <t>RECIPIENTES CON ATOMIZADOR ( 1L)</t>
  </si>
  <si>
    <t>ENTREGADO A PERSONAL SEGÚN FUNCIÓN Y NECESIDAD</t>
  </si>
  <si>
    <t>TOALLAS DE PAPEL DESECHABLES DOBLE HOJA X 150 UNIDADES</t>
  </si>
  <si>
    <t>PAQUETE</t>
  </si>
  <si>
    <t>PARA EL SECADO DE MANOS</t>
  </si>
  <si>
    <t>TERMÓMETRO INFRARROJO SIN CONTACTO</t>
  </si>
  <si>
    <t xml:space="preserve">BOLSAS GRUESAS DE COLOR NEGRO </t>
  </si>
  <si>
    <t>PAQUETE X10 UNIDADES</t>
  </si>
  <si>
    <t>PARA LA RECOLECCIÓN DE GUANTES, TAPABOCAS, TOALLAS DE PAPEL USADAS. DISTRIBUIDAS EN DIFERENTES ZONAS</t>
  </si>
  <si>
    <t>BOLSAS ZIPLOC (26.8 CM x 27.3 CM)  POR 20 UNIDADES</t>
  </si>
  <si>
    <t>PARA GUARDAR KIT PERSONAL DE LIMPIEZA</t>
  </si>
  <si>
    <t>BOMBA DE ESPALDA 20 LITROS</t>
  </si>
  <si>
    <t>PARA APLICAR DESINFECTANTES</t>
  </si>
  <si>
    <t>AMONIO CUATERNARIO POR 20 LITROS</t>
  </si>
  <si>
    <t>PARA DESINFECCION DE SUPERFICIES, CAMPAMENTO, ZAPATOS, OFICINA, BAÑO, EQUIPOS, HERRAMIENTAS</t>
  </si>
  <si>
    <t>HIPOCLORITO DE SODIO 15% - 20 L</t>
  </si>
  <si>
    <t xml:space="preserve">PARA DESINFECCION DE VEHICULOS, EQUPOS Y MAQUINARIA </t>
  </si>
  <si>
    <t>2. SUBTOTAL ELEMENTOS</t>
  </si>
  <si>
    <t>COSTO TOTAL IMPLEMENTACIÓN PROTOCOLO DE BIOSEGURIDAD (1+2)</t>
  </si>
  <si>
    <t>VIGILAR EL CUMPLIMIENTO DEL PROTOCOLO</t>
  </si>
  <si>
    <t>Profesional SISO</t>
  </si>
  <si>
    <t>,</t>
  </si>
  <si>
    <t>Presupuesto - Interventoria Tecnica</t>
  </si>
  <si>
    <t>SALARIOS PERSONAL DE OBRA, OFICINA Y VIGILANCIA</t>
  </si>
  <si>
    <t>PERSONAL PROFESIONAL</t>
  </si>
  <si>
    <t>Director de Interventoria</t>
  </si>
  <si>
    <t>Residente de Interventoria</t>
  </si>
  <si>
    <t>SUBTOTAL COSTO PERSONAL PROFESIONAL (4)</t>
  </si>
  <si>
    <t>PERSONAL TECNICO Y ADMINISTRATIVO</t>
  </si>
  <si>
    <t>Topografo</t>
  </si>
  <si>
    <t>SUBTOTAL COSTO PERSONAL TECNICO (2)</t>
  </si>
  <si>
    <t>GASTOS OPERACIONALES</t>
  </si>
  <si>
    <t>ENSAYOS DE LABORATORIO (Densidades)</t>
  </si>
  <si>
    <t>ENSAYOS DE LABORATORIO (concreto)</t>
  </si>
  <si>
    <t>TOMADO DEL COSTO DIRECTO OBRA</t>
  </si>
  <si>
    <t>PORCENTAJE VALOR</t>
  </si>
  <si>
    <t>VALOR POLIZA O RETENCION</t>
  </si>
  <si>
    <t xml:space="preserve">GASTOS DE LEGALIZACIÓN </t>
  </si>
  <si>
    <t>Estampillas Pro-desarrollo y Pro-cultura</t>
  </si>
  <si>
    <t>Póliza Anticipo</t>
  </si>
  <si>
    <t>Póliza Cumplimiento</t>
  </si>
  <si>
    <t>Póliza Prestaciones</t>
  </si>
  <si>
    <t>Póliza Responsabilidad Civil</t>
  </si>
  <si>
    <t>Póliza Estabilidad</t>
  </si>
  <si>
    <t>COSTO TOTAL (1+2+3)</t>
  </si>
  <si>
    <t>IVA (19%)</t>
  </si>
  <si>
    <t>TOTAL INTERVENTORIA TECNICA</t>
  </si>
  <si>
    <t xml:space="preserve">FACTOR MULTIPLICADOR </t>
  </si>
  <si>
    <t>FACTOR MULTIPLICADOR ( Suma E )</t>
  </si>
  <si>
    <t>SUBTOTAL C + D</t>
  </si>
  <si>
    <t>E.</t>
  </si>
  <si>
    <t>Subtotal D</t>
  </si>
  <si>
    <t>(%A)</t>
  </si>
  <si>
    <t>HONORARIOS</t>
  </si>
  <si>
    <t>D.</t>
  </si>
  <si>
    <t>SUMA A + B</t>
  </si>
  <si>
    <t>C.</t>
  </si>
  <si>
    <t>Subtotal B</t>
  </si>
  <si>
    <t>Implementos de Seguridad</t>
  </si>
  <si>
    <t>Dotación</t>
  </si>
  <si>
    <t>Otros (Auxilios varios, Incapacidades no cubierta EPS)</t>
  </si>
  <si>
    <t>Subsidio Familiar</t>
  </si>
  <si>
    <t>indemnizacion de ley</t>
  </si>
  <si>
    <t>Fondo de Solidaridad Pensional</t>
  </si>
  <si>
    <t>Caja de Compensación Familiar</t>
  </si>
  <si>
    <t>ICBF</t>
  </si>
  <si>
    <t>SENA</t>
  </si>
  <si>
    <t>ARL</t>
  </si>
  <si>
    <t>Seguridad Social (pensión)</t>
  </si>
  <si>
    <t>Seguridad Social (salud)</t>
  </si>
  <si>
    <t>Vacaciones</t>
  </si>
  <si>
    <t>Prima anual (legal)</t>
  </si>
  <si>
    <t>Intereses sobre las cesantías</t>
  </si>
  <si>
    <t>Cesantías</t>
  </si>
  <si>
    <t>PRESTACIONES SOCIALES</t>
  </si>
  <si>
    <t>SUELDOS O SALARIOS</t>
  </si>
  <si>
    <t>VALOR (%)</t>
  </si>
  <si>
    <t>CALCULO</t>
  </si>
  <si>
    <t>DESCRIPCIÓN</t>
  </si>
  <si>
    <t>COMPONENTE</t>
  </si>
  <si>
    <t>CALCULO DEL FACTOR MULTIPLICADOR</t>
  </si>
  <si>
    <t>U.</t>
  </si>
  <si>
    <t>CANTIDAD EN U</t>
  </si>
  <si>
    <t>Suministro e instalación de cubierta metálica Tipo Auto portante STEEL-ROOF, base de arcos en acero - Pintada Dos caras</t>
  </si>
  <si>
    <t>Suministro e Instalación  de Malla Puesta a Tierra</t>
  </si>
  <si>
    <t>Instalación  de Puntos electricos 220v (incluye acometida)</t>
  </si>
  <si>
    <t>Suministro e Instalación  de lamparas  tipo LED -  tortuga</t>
  </si>
  <si>
    <t>Instalación  de puntos sanitarios de 4" - Aguas Lluvias</t>
  </si>
  <si>
    <t>Suministro e Instalación  de tuberia de pvc 4" - Aguas Lluvias</t>
  </si>
  <si>
    <t xml:space="preserve">Instalación  de Puntos electricos 110v (incluye acometida) </t>
  </si>
  <si>
    <t>Suministro e Instalación  de toma corriente doble</t>
  </si>
  <si>
    <t>Suministro e Instalación  de toma mirada china</t>
  </si>
  <si>
    <t>1.3</t>
  </si>
  <si>
    <t>DESCUENTO M3</t>
  </si>
  <si>
    <t>Relleno con material comun de excavacion (Zapatas)</t>
  </si>
  <si>
    <t>1.4</t>
  </si>
  <si>
    <t>volumen de Expansion %</t>
  </si>
  <si>
    <t>Cargue, transporte y disposición final de material sobrante en sitio autorizado</t>
  </si>
  <si>
    <t>DESC M3 ESTRUCTURAS</t>
  </si>
  <si>
    <t>MATERIAL DE EXCAVACIONES MANUALES</t>
  </si>
  <si>
    <t>MEZCLADOR DE CONCRETO (CARMIX)</t>
  </si>
  <si>
    <t>HERRAMIENTAS MENORES (5%M.O)</t>
  </si>
  <si>
    <t>INSTALACIONES SANITARIAS</t>
  </si>
  <si>
    <t>INSTALACIONES ELECTRICAS</t>
  </si>
  <si>
    <t>UND</t>
  </si>
  <si>
    <t>DISCO DE CORTE  DIAMANTADO 7"</t>
  </si>
  <si>
    <t>ADOQUIN COLORES VARIADOS 10 X 20 CMS</t>
  </si>
  <si>
    <t>PEGANTE TIPO BOXER</t>
  </si>
  <si>
    <t>TORNILLERIA PAQUETE</t>
  </si>
  <si>
    <t xml:space="preserve">PISO DE CAUCHO GRANULADO </t>
  </si>
  <si>
    <t>GRAMA SINTETICA</t>
  </si>
  <si>
    <t>Suministro e Instalación  de Reflectores tipo LED de 250 vatios - Cancha</t>
  </si>
  <si>
    <t>PERNOS DE ANCLAJE 5/8"</t>
  </si>
  <si>
    <t>PERFL REDONDO DE 3" (2MM)</t>
  </si>
  <si>
    <t>PERFL REDONDO DE 8" (8MM)</t>
  </si>
  <si>
    <t>OFICIAL(1)</t>
  </si>
  <si>
    <t>Perfil rectangular estructural PHR negro de 250 x 150 x 5 mm</t>
  </si>
  <si>
    <t>Suministro e Instalación  de Canal recolector de aguas lluvias y anclaje de cubierta en Lamina de 1/4", incluye Perfil rectangular estructural PHR negro de 250 x 150 x 5 mm x 6 ml, pernos de anclaje, soldadura y pintura dos caras</t>
  </si>
  <si>
    <t>PERFL REDONDO DE 4" (4MM)</t>
  </si>
  <si>
    <t>PERFL REDONDO DE 3" (4MM)</t>
  </si>
  <si>
    <t>PERFL REDONDO DE 3" (3MM)</t>
  </si>
  <si>
    <t>ANTICORROSIVO EPOXICO</t>
  </si>
  <si>
    <t xml:space="preserve">U </t>
  </si>
  <si>
    <t>OBREROS (4)</t>
  </si>
  <si>
    <t>DOTACION Y MOBILIARIO</t>
  </si>
  <si>
    <t>Analisis Unitario Profesional SISO</t>
  </si>
  <si>
    <t>2,2 Relleno con material comun de excavacion (Zapatas)</t>
  </si>
  <si>
    <t>ITEM 2,2 Relleno con material comun de excavacion (Zapatas)</t>
  </si>
  <si>
    <t>VALOR TOTAL COSTO INTERVENTORIA TECNICA 7%</t>
  </si>
  <si>
    <t>PROYECTO: CONSTRUCCION DE CANCHA POLIDEPORTIVA EN EL CORREGIMIENTO DE REGENCIA, MUNICIPIO DE MONTECRISTO BOLIVAR</t>
  </si>
  <si>
    <t>ALCALDIA MUNICIPAL DE MONTECRISTO</t>
  </si>
  <si>
    <t>DEPARTAMENTO DE BOLIVAR</t>
  </si>
  <si>
    <t>SECRETARIA DE PLANEACION Y OBRAS PUBLICAS</t>
  </si>
  <si>
    <t>HENRRY EDWIN LAFONT ESCUDERO</t>
  </si>
  <si>
    <t>Secretario de Planeación y Obras Públicas</t>
  </si>
  <si>
    <t xml:space="preserve">PIEDRA 3 PULGADAS </t>
  </si>
  <si>
    <t>PIEDRA SELECCIONADA 3/4"</t>
  </si>
  <si>
    <t>SELLALON PARA JUNTAS</t>
  </si>
  <si>
    <t xml:space="preserve">SACO DE LONA O LONA </t>
  </si>
  <si>
    <t>PRECIO MERCADO 2021</t>
  </si>
  <si>
    <t>VALOR AJUSTADO 2022</t>
  </si>
  <si>
    <t>PERFL REDONDO DE 4" (3MM)</t>
  </si>
  <si>
    <t>VIBRO-COMPACTADOR 3 TON</t>
  </si>
  <si>
    <t>VIBRO-COMPACTADOR 8 TON</t>
  </si>
  <si>
    <t>FORMALETA METALICA (Paneles)</t>
  </si>
  <si>
    <t>$UNIDAD/DIA</t>
  </si>
  <si>
    <t>PULIDORA PROFESIONAL</t>
  </si>
  <si>
    <t>EQUIPO DE SOLDADURA 110/220 V</t>
  </si>
  <si>
    <t>EQUIPO DE PERFORACION ROTACIONAL</t>
  </si>
  <si>
    <t>FORMALETA METALICA (D=50 CMS/LONG. 3ML)</t>
  </si>
  <si>
    <t>EQUIPO TERMOFUSION</t>
  </si>
  <si>
    <t>MOTOBOMBA</t>
  </si>
  <si>
    <t>FORMALETA METALICA (TABLEROS X 6)</t>
  </si>
  <si>
    <t>HERRAMIENTA Y EQUIPOS - AJUSTADOS A 2022</t>
  </si>
  <si>
    <t>AJUSTADO NORMAL</t>
  </si>
  <si>
    <t>AJUSTADO DIFICIL ACCESO</t>
  </si>
  <si>
    <t>TRANSPORTE</t>
  </si>
  <si>
    <t>PIEDRA 3/4" SELECCIONADA</t>
  </si>
  <si>
    <t>ARENA GRUESA</t>
  </si>
  <si>
    <t>CONCRETO  - 3500 P.S.I.</t>
  </si>
  <si>
    <t>ACERO DE REFUERZO DE 420 Mpa (1)</t>
  </si>
  <si>
    <t>ACERO DE REFUERZO DE 420 Mpa (2)</t>
  </si>
  <si>
    <t xml:space="preserve">PERFILACION </t>
  </si>
  <si>
    <t xml:space="preserve">Excavaciones manuales de Estructuras (No Incluye retiro de material sobrante) </t>
  </si>
  <si>
    <t>2,1 Excavaciones manuales (No Incluye retiro de material sobrante)</t>
  </si>
  <si>
    <t>2,5 - Cargue, transporte y disposición final de material sobrante en sitio autorizado</t>
  </si>
  <si>
    <t>2.5</t>
  </si>
  <si>
    <t>CERTIFICACIÓN RETIE Y RETILAP 2,5% (INSTALACIONES ELECTRICAS)</t>
  </si>
  <si>
    <t>PIEDRA SELECCCIONADA 3/4"</t>
  </si>
  <si>
    <t>3,1 Solado en concreto pobre 1500 p.s.i. (Estructura de Zapatas)</t>
  </si>
  <si>
    <t>ITEM 3,1 Solado en concreto pobre 1500 p.s.i. (Estructura de Zapatas)</t>
  </si>
  <si>
    <t>Solado en concreto pobre 1500 p.s.i. (Estructura de Zapatas)</t>
  </si>
  <si>
    <t>Pintura tipo epoxica de alta resistencia para Cancha Polideportiva y Graderias</t>
  </si>
  <si>
    <t xml:space="preserve">Suministro e Instalación  de Porton de ingreso con perfileria PHR NEGRO calibre 18  - Rectangular y redonda - Acceso cancha deportiva </t>
  </si>
  <si>
    <t>Suministro e instalacion de pasamanos para proteccion y apoyo de graderias de Graderias</t>
  </si>
  <si>
    <t xml:space="preserve">Ancho </t>
  </si>
  <si>
    <t>Suministro e Instalación de cerramiento en Malla Eslabonada y perfil redondo de 2"- area de Cerramiento de cancha</t>
  </si>
  <si>
    <t>MALLA CERRAMIENTO ESLABONADA ENCAUCHETADA</t>
  </si>
  <si>
    <t>Ingeniero ambiental (incluye prestaciones sociales)  - dedicacion 25% en obra (ver cuadro  prestaciones sociales de obra - cuadro anexo analisis tecnicos ambiental)  - VISITAS 3 VECES POR SEMANA A OBRA</t>
  </si>
  <si>
    <t>VALOR TOTAL COSTO TOTAL OBRA</t>
  </si>
  <si>
    <t>PAPELERIA</t>
  </si>
  <si>
    <t>Relleno con material granular transportado compactado al 90%, con maquina - (Relleno para Nivelacion de Terreno de Proyecto)</t>
  </si>
  <si>
    <t>Relleno con material granular transportado compactado al 90%, Manual con Canguro - (Relleno para Nivelacion de Estructuras)</t>
  </si>
  <si>
    <t>Construcción  de Columnas en concreto de 3000 p.s.i, modulacion 0,60 mts x 0,60 mts, incluye acero: longitudinal 12 Fe= 5/8" - Estnbos 3/8" cada 0,10 mts</t>
  </si>
  <si>
    <t>BLOQUE No 6  0,40 x 0,20 x 0,15 mts</t>
  </si>
  <si>
    <t>BLOQUES</t>
  </si>
  <si>
    <t>Construcción  de Muro Soporte de Graderias en Bloque No 6 relleno en concreto de 3000 p.s.i, incluye acero de 1/2" de refuerzo.</t>
  </si>
  <si>
    <t>Construcción  de Registro Sanitario de medida interna 0,40 x 0,40 x 0,20 mts, en concreto de 3000 p.s.i. (control y limpieza)</t>
  </si>
  <si>
    <t xml:space="preserve">Construcción de Registro Electrico de medida interna 0,60 x 0,60 x 0,40 mts), en concreto de 3000 p.s.i. </t>
  </si>
  <si>
    <t>Construcción  de Viga de Cimentacion en concreto de 3000 p.s.i, modulacion 0,30 mts x 0,30 mts, incluye acero: longitudinal 6 1/2" - Estnbos 3/8" cada 0,15 mts</t>
  </si>
  <si>
    <t>Suministro e Instalación de Juego de Arcos Para Cancha de Microfutbol, baloncesto y Voleyball; Incluye las mallas deportivas)</t>
  </si>
  <si>
    <t>Construcción de Placa de Piso en concreto 3000 p.s.i.  espesor 10 cms, incluye acero: ambos sentidos de  1/2" cada 0,15 mts. (Estructura de Graderias)</t>
  </si>
  <si>
    <t>Construcción de Columnas en concreto de 3000 p.s.i, modulacion 0,30 mts x 0,30 mts, incluye acero: longitudinal 6 Fe=  5/8" - Estnbos 3/8" cada 0,10 mts</t>
  </si>
  <si>
    <t>TRANSPORTE MATERIALES</t>
  </si>
  <si>
    <t>6.1</t>
  </si>
  <si>
    <t>6.2</t>
  </si>
  <si>
    <t>6.3</t>
  </si>
  <si>
    <t>Subtotal Items 6</t>
  </si>
  <si>
    <t>8.12</t>
  </si>
  <si>
    <t>8.13</t>
  </si>
  <si>
    <t>Suministro e Instalación  de tablero de circuitos General Prefabricado de 50 x 40, incluye totalizador, protecciones tecnomagneticas para luces - tomas y temporizadores de luces</t>
  </si>
  <si>
    <t>REMATE TIPO L  GALVANIZADO PINTADO</t>
  </si>
  <si>
    <t>Construcción de Viga Intermedia en concreto de 3000 p.s.i, modulacion 0,20 mts x 0,10 mts, incluye acero: longitudinal 4 3/8" - Estnbos 3/8" cada 0,15 mts</t>
  </si>
  <si>
    <t>MAT-Km</t>
  </si>
  <si>
    <t>3.6</t>
  </si>
  <si>
    <t>3.13</t>
  </si>
  <si>
    <t>LISTADO DE MATERIALES DE OBRA REFERENTES DE LA REGION - AJUSTADOS A 2023</t>
  </si>
  <si>
    <t>DILUYENTE TIPO TINNER</t>
  </si>
  <si>
    <t xml:space="preserve">PINTURA TIPO ESMALTE </t>
  </si>
  <si>
    <t>LAMINA GALVANIZADA CALIBRE 20 (122 X 244 MM)</t>
  </si>
  <si>
    <t>PERFL REDONDO DE 6" (6MM)</t>
  </si>
  <si>
    <t>LAMINA EN CALIENTE HR 1/4" (6MM)</t>
  </si>
  <si>
    <t>PLATINA HR 60 X 60 12MM</t>
  </si>
  <si>
    <t>PLATINA HR 40 X 40 12MM</t>
  </si>
  <si>
    <t>PLATINA HR 30 X 30 12MM</t>
  </si>
  <si>
    <t>PERFL REDONDO DE 3" (2,5MM)</t>
  </si>
  <si>
    <t>PERFILERIA REDONDA 2" X 2,5 MM</t>
  </si>
  <si>
    <t>PERFILERIA REDONDA GALVANIZADA  2" X 2,5 MM</t>
  </si>
  <si>
    <t xml:space="preserve">UNIDAD  </t>
  </si>
  <si>
    <t>Perfil Tipo C Estructural PHR negro 120 x 60 x 2 mm</t>
  </si>
  <si>
    <t>Perfil Tipo C Estructural PHR negro 220 x 80 x 2 mm</t>
  </si>
  <si>
    <t>Perfil Tipo C Estructural PHR negro 100 x 50 x 2 mm</t>
  </si>
  <si>
    <t>CUBIERTA ARQUITECTONICA ALUZINC</t>
  </si>
  <si>
    <t>REMATE TIPO L ALUZINC</t>
  </si>
  <si>
    <t>MANO DE OBRA - AJUSTADA 2023</t>
  </si>
  <si>
    <t>1.5</t>
  </si>
  <si>
    <t>Tarifa/Hora</t>
  </si>
  <si>
    <t>Area M2</t>
  </si>
  <si>
    <t xml:space="preserve"> </t>
  </si>
  <si>
    <t>Construcción  de Viga de Cimentacion en concreto de 3000 p.s.i, modulacion 0,15 mts x 0,30 mts, incluye acero: longitudinal 4 3/8" - Estnbos 3/8" cada 0,20 mts</t>
  </si>
  <si>
    <t>Construcción  de Zapatas en concreto 3000 p.s.i. modulacion 2,50 mts x 3,50 mts x alto 0,30 mts, incluye acero: en ambos sentidos de:1/2" arriba cada 0,17 mts y 5/8" debajo cada 0,17 mts, (doble parrilla)</t>
  </si>
  <si>
    <t>Construcción  de Zapatas en concreto 3000 p.s.i. modulacion 2,50 mts x 2,50 mts x alto 0,30 mts, incluye acero: en ambos sentidos de:1/2" arriba cada 0,17 mts y 5/8" debajo cada 0,17 mts, (doble parrilla)</t>
  </si>
  <si>
    <t xml:space="preserve">Construcción  de Zapatas en concreto 3000 p.s.i. modulacion 1,00 mts x 1,00 mts x alto 0,30 mts, incluye acero: en ambos sentidos de  1/2" cada 0,18 mts </t>
  </si>
  <si>
    <t>RIELES METALICOS (Unidad) X 6</t>
  </si>
  <si>
    <t>3.14</t>
  </si>
  <si>
    <t>3.15</t>
  </si>
  <si>
    <t>Construcción de Viga Soporte 01 en concreto 3000 p.s.i. 0.30 X 0.30 mts  -  6 Fe= 5/8" - Estribos y ganchos Fe= 3/8 C/. 0,10 mts (Estructura de Graderias y Tarima de eventos)</t>
  </si>
  <si>
    <t xml:space="preserve">Suministro e Instalación  de luminarias tipo LED - circulaciones </t>
  </si>
  <si>
    <t>Suministro e Instalación  de luminarias tipo LED - reflectores fachada</t>
  </si>
  <si>
    <t>PERNOS DE ANCLAJE 1/2"</t>
  </si>
  <si>
    <t>COSTO TOTAL PROYECTO</t>
  </si>
  <si>
    <t>Suministro e Instalación de Estructura Metalica para cerramiento de cancha en perfil redondo de 3" y platinas de 12 mm</t>
  </si>
  <si>
    <t>Suministro e Instalación de Sillas Para Cancha</t>
  </si>
  <si>
    <t>Construcción  de Viga de Cimentacion en concreto de 3000 p.s.i, modulacion 0,15 mts x 0,40 mts, incluye acero: longitudinal 6 3/8" - Estnbos 3/8" cada 0,15 mts</t>
  </si>
  <si>
    <t>FORMALETA METALICA (Paneles) X4</t>
  </si>
  <si>
    <t>Construcción de Columnas en concreto de 3000 p.s.i, modulacion 0,30 mts x 0,30 mts, incluye acero: longitudinal 4 Fe=  1/2" - Estnbos 3/8" cada 0,15 mts</t>
  </si>
  <si>
    <t>10.2</t>
  </si>
  <si>
    <t>ARQ. CHEDID PABA PIÑERES</t>
  </si>
  <si>
    <t>COBERTURA VEGETAL</t>
  </si>
  <si>
    <t>11.1</t>
  </si>
  <si>
    <t>Suministro e Instalación de grama vegetal para jardineras. Incluye relleno en abono orgánico</t>
  </si>
  <si>
    <t>11.2</t>
  </si>
  <si>
    <t xml:space="preserve">Suministro y Siembra de Palmeras </t>
  </si>
  <si>
    <t>11.3</t>
  </si>
  <si>
    <t>Suministro y Siembra de Oiti</t>
  </si>
  <si>
    <t>Subtotal Items 11</t>
  </si>
  <si>
    <t>ARBOL TIPO OITI</t>
  </si>
  <si>
    <t>GRAMA NATURAL</t>
  </si>
  <si>
    <t>ABONO ORGANICO</t>
  </si>
  <si>
    <t>PARQUE 01 - SECTOR CENTRAL</t>
  </si>
  <si>
    <t>CANTIDAD M2</t>
  </si>
  <si>
    <t>Area Irregular m2</t>
  </si>
  <si>
    <t>Espesor</t>
  </si>
  <si>
    <t>PROYECTO: CONSTRUCCION DE DIFERENTES OBRAS DE RECREACION Y DEPORTE EN LA CABECERA URBANA DEL MUNICIPIO DE PINILLOS, DEPARTAMENTO DE BOLIVAR</t>
  </si>
  <si>
    <t>3.16</t>
  </si>
  <si>
    <t>3.17</t>
  </si>
  <si>
    <t>Construccion de Anden  en concreto 3000 psi  (210kg/cm2) ancho 0,85 mts - espesor placa 10 cms, incluye refuerzo de 40000 p.s.i.</t>
  </si>
  <si>
    <t>ACERO 40000 psi</t>
  </si>
  <si>
    <t>OFICIAL (2)</t>
  </si>
  <si>
    <t>CONCRETO 3000 psi</t>
  </si>
  <si>
    <t>ANTISOL ROJO</t>
  </si>
  <si>
    <t>RIELES METALICOS</t>
  </si>
  <si>
    <t>Construcción  de Plantilla para pisos esp. 0,10 mts en concreto 3000 p.s.i. - Fe=1/4" temperatura  Cada 0.20 mts ambos sentidos</t>
  </si>
  <si>
    <t xml:space="preserve">Estampado de concreto de Placas de pisos de Circulacion de parque </t>
  </si>
  <si>
    <t>Pintura tipo Trafico de alta resistencia para delineacion de Cancha y Cicloruta</t>
  </si>
  <si>
    <t>5.5</t>
  </si>
  <si>
    <t>5.6</t>
  </si>
  <si>
    <t xml:space="preserve">Suministro e Instalación de Ceramica de pared para fachada - Area de fuente </t>
  </si>
  <si>
    <t>CONCRETE COLOR (Color endurecedor de cuarzo)</t>
  </si>
  <si>
    <t>DESMOL CONCRETE - (Desmoldante en polvo)</t>
  </si>
  <si>
    <t>SELLA CONCRETE - (SELLADOR ACRILICO TRANSPARENTE BASESOLVENTE) SEMILUSTRE</t>
  </si>
  <si>
    <t>MOLDE EN POLIURETANO PARA ESTAMPAR CONCRETO,MODULACION MINIMA PARA ESTAMPAR 4UND</t>
  </si>
  <si>
    <t xml:space="preserve">
PISON PARA ESTAMPADO
MEDIDAS BASE 28 CM X 28 CM ALTURA 1.14 MTS</t>
  </si>
  <si>
    <t>CUÑETE</t>
  </si>
  <si>
    <t>GARRAFA</t>
  </si>
  <si>
    <t>ELLA CONCRETE - (SELLADOR ACRILICO TRANSPARENTE BASESOLVENTE) SEMILUSTRE</t>
  </si>
  <si>
    <t>PISON PARA ESTAMPADO
MEDIDAS BASE 28 CM X 28 CM ALTURA 1.14 MTS</t>
  </si>
  <si>
    <t>INSTALACIONES HIDRAULICAS</t>
  </si>
  <si>
    <t xml:space="preserve">Afinado de Placa de Cancha Polideportiva y Placa de Graderias </t>
  </si>
  <si>
    <t>PEGANTE DE CERAMICA</t>
  </si>
  <si>
    <t>SELLANTE DE  JUNTAS</t>
  </si>
  <si>
    <t>CEMENTO GRIS</t>
  </si>
  <si>
    <t>CERAMICA PARA FACHADAS</t>
  </si>
  <si>
    <t>Construcción  de tanque de almacenamiento de Agua en concreto 3000 p.s.i. modulacion 2,00 mts x 2,00 mts x alto 3,00 mts, incluye acero: en ambos sentidos de  1/2" cada 0,15 mts (doble parrilla) - Nicho en concreto para ubicación e Instalación  de bomba con sistema hidro-neomatico  (ver detalle constructivo) - tapa metalica</t>
  </si>
  <si>
    <t>Suministro e Instalación  de acometida hidraulica en tuberia de 1" - llegada desde punto de conexión en via principal</t>
  </si>
  <si>
    <t>SUMINISTRO E INSTALACION  RED SECA CONTRA INCENDIOS</t>
  </si>
  <si>
    <t xml:space="preserve">Suministro e Instalación  de extintores </t>
  </si>
  <si>
    <t>6.4</t>
  </si>
  <si>
    <t>Suministro e Instalación  de acometida hidraulica en tuberia de 3/4" (riego y fuente)</t>
  </si>
  <si>
    <t>Instalación  de puntos hidraulicos 1/2" (Puntos de Fuente y riego incluye llave de distribucion)</t>
  </si>
  <si>
    <t>ADAPTADOR</t>
  </si>
  <si>
    <t xml:space="preserve">SOLDADURA PVC </t>
  </si>
  <si>
    <t>8.14</t>
  </si>
  <si>
    <t>8.15</t>
  </si>
  <si>
    <t>Suministro e Instalación  de Transformador de 37,5 KWA, Incluye poste de 12 metros, Cruceta, Cajas Primarias, Puesta a tierra y demas accesorios</t>
  </si>
  <si>
    <t xml:space="preserve">Suministro e Instalación  de Acometida en BT, Subterránea en calibre 3°N°2/0  AWG THHN-THWN 90°C, desde punto de conexion hasta el tablero principal con protección un totalizador de 3 x 250 Amp, Cabe aclarar el cumplimiento retie, NTC 2050 - incluye Instalación </t>
  </si>
  <si>
    <t>Construcción de Nicho Electrico para instalacion de Tablero Electrico</t>
  </si>
  <si>
    <t>Suministro e Instalación  de luminarias tipo LED - reflectores Kiosco</t>
  </si>
  <si>
    <t>Suministro e instalacion de cubierta Arquitectonica en Aluzinc sin traslapos</t>
  </si>
  <si>
    <t>Suministro e instalacion de remate tipo L, para proteccion de  cubierta (ver detalle constructivo)</t>
  </si>
  <si>
    <t>OBRERO (4)</t>
  </si>
  <si>
    <t>9.4</t>
  </si>
  <si>
    <t>9.5</t>
  </si>
  <si>
    <t>9.6</t>
  </si>
  <si>
    <t>9.7</t>
  </si>
  <si>
    <t>9.8</t>
  </si>
  <si>
    <t>9.9</t>
  </si>
  <si>
    <t>9.10</t>
  </si>
  <si>
    <t>9.11</t>
  </si>
  <si>
    <t>9.12</t>
  </si>
  <si>
    <t>9.13</t>
  </si>
  <si>
    <t>Suministro e Instalación de Banca Fabricada en concreto  Referencia MU-29 (Medidas: Largo 1,80 m x 0,45 m  x 0,50 m ) incluye Espadar, colores Gris/Crema Cacao</t>
  </si>
  <si>
    <t xml:space="preserve">Suministro e Instalación de Canecas Fijas </t>
  </si>
  <si>
    <t>10.3</t>
  </si>
  <si>
    <t>10.4</t>
  </si>
  <si>
    <t>11.4</t>
  </si>
  <si>
    <t>12.1</t>
  </si>
  <si>
    <t>12.2</t>
  </si>
  <si>
    <t>12.3</t>
  </si>
  <si>
    <t>Subtotal Items 12</t>
  </si>
  <si>
    <t>10.5</t>
  </si>
  <si>
    <t>Suminstro e Instalación  de Cerramiento con perfileria metalica de 2"  - Porteccion perimetral parques</t>
  </si>
  <si>
    <t>PALMERA TIPO MANILA O KEYLA</t>
  </si>
  <si>
    <t>Suministro e Instalación de Parque playground que incluye: 1 resbaladero en espiral, 1 esbaladero doble, 1 resbaladero sencillo de olas escalera de acceso plataformas techos decorados accesorios. Medidas: 6,10 x 4,20 x 2,70 m Incluye accesorios para su correcta instalación</t>
  </si>
  <si>
    <t>11.5</t>
  </si>
  <si>
    <t>11.6</t>
  </si>
  <si>
    <t>Suministro e Instalación de Maquinas biosaludables kit por 6 unidades, incluye: Tipo Eliptica, Tipo Remo, Tipo Pectoral, Tipo Bicicleta, Tipo Caminadora y Tipo Twister - Incluye base en concreto reforzado o base con anclaje, según condiciones de trabajo, mano de obra y herramientas para su correcta instalación.</t>
  </si>
  <si>
    <t>Relleno con material granular transportado compactado al 90%, con maquina - (Relleno para Nivelacion de Area de Proyecto)</t>
  </si>
  <si>
    <t>Construccion de Bordillos  en concreto 3000 psi  (210kg/cm2) ancho 0,15 mts - Alto 0,20 mts (arriba de pavimentos), incluye refuerzo de 40000 p.s.i.</t>
  </si>
  <si>
    <t>Desmonte y Demolicion de estructuras existentes (cancha Existente, edificaciones y demas encontradas en el area del proyecto)</t>
  </si>
  <si>
    <t xml:space="preserve">Perfilacion y nivelacion del terreno - Area del Proyecto </t>
  </si>
  <si>
    <t>Construccion de Placas en concreto de 3500 p.s.i (246kg/cm2)  espesor placa 20 cm incluye refuerzos en acero de 60000 p.s.i. - junta de dilatación - sello en poliuretano de alto desempeño y cordón de espuma</t>
  </si>
  <si>
    <t>PLAN DE GESTION INTEGRAL DE OBRA (PGIO) 1,5% COSTO DIRECTO DE OBRA</t>
  </si>
  <si>
    <t>Puesto de venta de2.42 mts de largo  x 1.50 mts de ancho x 2.50 mts de altura, con estructura en tubo cuadrado de acero inoxidable de 11/2", con paredes, puerta de acceso de 0.60 mts de ancho x 2,00 mts de altura, ventana levadiza frontal de 1.16 mts de ancho x 1.02 mts de altura, en lámina de acero inoxidable AISI tipo 304 calibre 20,no entamboradas, y mesón de 2.30 mts de largo x 0.56 mts de ancho, en lámina de acero inoxidable AISI tipo 304 calibre20, con una cubeta estándar de 0.55 mts de largo x 0.40 mts de ancho x 0.14 mts de profundidad, con techo plano, en lámina de acero inoxidable AISI tipo 304 calibre 20, no entamborado y refuerzos internos para apoyar techo a estructura. Incluye cerradura llave – llave para la puerta, cerrojos y sistema de soporte para ventana levadiza</t>
  </si>
  <si>
    <t>11.7</t>
  </si>
  <si>
    <t>Cronograma de Actividades</t>
  </si>
  <si>
    <t>ACTIVIDAD</t>
  </si>
  <si>
    <t>MES 01</t>
  </si>
  <si>
    <t>MES 02</t>
  </si>
  <si>
    <t>MES 03</t>
  </si>
  <si>
    <t>MES 04</t>
  </si>
  <si>
    <t>MES 05</t>
  </si>
  <si>
    <t>MES 06</t>
  </si>
  <si>
    <t xml:space="preserve">SEM 1 </t>
  </si>
  <si>
    <t>SEM 2</t>
  </si>
  <si>
    <t>SEM 3</t>
  </si>
  <si>
    <t>SEM 4</t>
  </si>
  <si>
    <t>SEM 1</t>
  </si>
  <si>
    <t>LUN - SAB</t>
  </si>
  <si>
    <t>ADMINISTRACION 23%</t>
  </si>
  <si>
    <t>UTILIDAD 4%</t>
  </si>
  <si>
    <t>Cronograma de Flujos de Inversion</t>
  </si>
  <si>
    <t>ACTIVIDADES - 6 MESES</t>
  </si>
  <si>
    <t>VALOR PRESUPUESTO DE OBRA</t>
  </si>
  <si>
    <t>SUB-TOTAL CAPITILO 01</t>
  </si>
  <si>
    <t>SUB-TOTAL CAPITILO 02</t>
  </si>
  <si>
    <t>SUB-TOTAL CAPITILO 03</t>
  </si>
  <si>
    <t>SUB-TOTAL CAPITILO 04</t>
  </si>
  <si>
    <t>SUB-TOTAL CAPITILO 05</t>
  </si>
  <si>
    <t>INTERVENTORIA TECNICA 7% - 6 MESES</t>
  </si>
  <si>
    <t>TOTAL PROYECTO</t>
  </si>
  <si>
    <t>FLUJO DE INVERSION MENSUAL</t>
  </si>
  <si>
    <t>TOTAL FLUJO DE INVERSIONES AL FINALIZAR EL PROYECTO</t>
  </si>
  <si>
    <t>6.5</t>
  </si>
  <si>
    <t>SUB-TOTAL CAPITILO 06</t>
  </si>
  <si>
    <t>SUB-TOTAL CAPITILO 07</t>
  </si>
  <si>
    <t>SUB-TOTAL CAPITILO 08</t>
  </si>
  <si>
    <r>
      <t xml:space="preserve">Suministro, instalacion y montaje de estructura metalica en Acero Estructural ASTM A-36 ; A46, A50.  incluye soldadura, pernos y anclaje, limpieza en sandblasting, pintura y acabados según planos y especificaciones de diseño - </t>
    </r>
    <r>
      <rPr>
        <b/>
        <sz val="9"/>
        <rFont val="Arial"/>
        <family val="2"/>
      </rPr>
      <t>Columnas en tuberia de 8 pulg de diametro (Porticos Estructura Cancha)</t>
    </r>
  </si>
  <si>
    <r>
      <t xml:space="preserve">Suministro, instalacion y montaje de estructura metalica en Acero Estructural ASTM A-36 ; A46, A50.  incluye soldadura, pernos y anclaje, limpieza en sandblasting, pintura y acabados según planos y especificaciones de diseño - </t>
    </r>
    <r>
      <rPr>
        <b/>
        <sz val="9"/>
        <rFont val="Arial"/>
        <family val="2"/>
      </rPr>
      <t>Cerchas de arriostramiento frontal y posterior de Porticos de de Estructura de Cancha (Longitud 18,50 ml)</t>
    </r>
  </si>
  <si>
    <r>
      <t xml:space="preserve">Suministro, instalacion y montaje de estructura metalica en Acero Estructural ASTM A-36 ; A46, A50.  incluye soldadura, pernos y anclaje, limpieza en sandblasting, pintura y acabados según planos y especificaciones de diseño - </t>
    </r>
    <r>
      <rPr>
        <b/>
        <sz val="9"/>
        <rFont val="Arial"/>
        <family val="2"/>
      </rPr>
      <t>Cerchas de arriostramiento laterales de Porticos de Estructura de Cancha (Longitud 5,20 ml)</t>
    </r>
  </si>
  <si>
    <r>
      <t xml:space="preserve">Suministro, instalacion y montaje de estructura metalica en Acero Estructural ASTM A-36 ; A46, A50.  incluye soldadura, pernos y anclaje, limpieza en sandblasting, pintura y acabados según planos y especificaciones de diseño - </t>
    </r>
    <r>
      <rPr>
        <b/>
        <sz val="9"/>
        <rFont val="Arial"/>
        <family val="2"/>
      </rPr>
      <t>Contrafuertes en tuberia de 6 pulg de diametro (Porticos Estructura Cancha)</t>
    </r>
  </si>
  <si>
    <r>
      <t xml:space="preserve">Suministro, instalacion y montaje de estructura metalica en Acero Estructural ASTM A-36 ; A46, A50.  incluye soldadura, pernos y anclaje, limpieza en sandblasting, pintura y acabados según planos y especificaciones de diseño - </t>
    </r>
    <r>
      <rPr>
        <b/>
        <sz val="9"/>
        <rFont val="Arial"/>
        <family val="2"/>
      </rPr>
      <t>Columnas en tuberia de 4 pulg de diametro (Porticos Kiosco)</t>
    </r>
  </si>
  <si>
    <r>
      <t xml:space="preserve">Suministro, instalacion y montaje de estructura metalica en Acero Estructural ASTM A-36 ; A46, A50.  incluye soldadura, pernos y anclaje, limpieza en sandblasting, pintura y acabados según planos y especificaciones de diseño - </t>
    </r>
    <r>
      <rPr>
        <b/>
        <sz val="9"/>
        <rFont val="Arial"/>
        <family val="2"/>
      </rPr>
      <t>Cerchas de Arriostramiento Kiosco (Longitud 4,50 ml)</t>
    </r>
  </si>
  <si>
    <r>
      <t xml:space="preserve">Suministro, instalacion y montaje de estructura metalica en Acero Estructural ASTM A-36 ; A46, A50.  incluye soldadura, pernos y anclaje, limpieza en sandblasting, pintura y acabados según planos y especificaciones de diseño - </t>
    </r>
    <r>
      <rPr>
        <b/>
        <sz val="9"/>
        <rFont val="Arial"/>
        <family val="2"/>
      </rPr>
      <t>Cerchas de Kiosco (Longitud 5,30 ml)</t>
    </r>
  </si>
  <si>
    <r>
      <t xml:space="preserve">Suministro, instalacion y montaje de estructura metalica en Acero Estructural ASTM A-36 ; A46, A50.  incluye soldadura, pernos y anclaje, limpieza en sandblasting, pintura y acabados según planos y especificaciones de diseño - </t>
    </r>
    <r>
      <rPr>
        <b/>
        <sz val="9"/>
        <rFont val="Arial"/>
        <family val="2"/>
      </rPr>
      <t>Correas de cubierta Kiosco</t>
    </r>
  </si>
  <si>
    <r>
      <t xml:space="preserve">Suministro, instalacion y montaje de estructura metalica en Acero Estructural ASTM A-36 ; A46, A50.  incluye soldadura, pernos y anclaje, limpieza en sandblasting, pintura y acabados según planos y especificaciones de diseño -  </t>
    </r>
    <r>
      <rPr>
        <b/>
        <sz val="9"/>
        <rFont val="Arial"/>
        <family val="2"/>
      </rPr>
      <t>Riostras de correas de cubierta Kiosco</t>
    </r>
  </si>
  <si>
    <t>SUB-TOTAL CAPITILO 09</t>
  </si>
  <si>
    <t>SUB-TOTAL CAPITILO 10</t>
  </si>
  <si>
    <t>SUB-TOTAL CAPITILO 11</t>
  </si>
  <si>
    <t>SUB-TOTAL CAPITILO 12</t>
  </si>
  <si>
    <t>Presupuesto Administracion (A.I.U)</t>
  </si>
  <si>
    <t xml:space="preserve">VALOR TOTAL COSTO DIRECTO OBRA </t>
  </si>
  <si>
    <t>Director de Obra</t>
  </si>
  <si>
    <t>Residente de Obra</t>
  </si>
  <si>
    <t>Ingeniero Hidarulico</t>
  </si>
  <si>
    <t>Ingeniero Estructural</t>
  </si>
  <si>
    <t>Trabajadora Social</t>
  </si>
  <si>
    <t>Contador Publico</t>
  </si>
  <si>
    <t>Secretaria</t>
  </si>
  <si>
    <t>Auxiliar Administrativo</t>
  </si>
  <si>
    <t>Auxiliar Contable</t>
  </si>
  <si>
    <t>Mensajero</t>
  </si>
  <si>
    <t>Conductor</t>
  </si>
  <si>
    <t>Almacenista</t>
  </si>
  <si>
    <t>PERSONAL DE SEGURIDAD Y SERVICIOS</t>
  </si>
  <si>
    <t>Vigilante Diurno y Nocturno</t>
  </si>
  <si>
    <t>SUBTOTAL COSTO PERSONAL DE SEGURIDAD (1)</t>
  </si>
  <si>
    <t>Suministro y consumo de servicios Públicos durante la ejecución del proyecto</t>
  </si>
  <si>
    <t>Ensayos de Control de Calidad</t>
  </si>
  <si>
    <t>Papelería/Empastes</t>
  </si>
  <si>
    <t>Copias/ planos/ Fotocopias</t>
  </si>
  <si>
    <t>Mantenimiento Equipos/Herramientas</t>
  </si>
  <si>
    <t>2.6</t>
  </si>
  <si>
    <t>Registro Fotográfico/Videos/Informes</t>
  </si>
  <si>
    <t>2.7</t>
  </si>
  <si>
    <t>Registro y Elaboración Planos Récord</t>
  </si>
  <si>
    <t>2.8</t>
  </si>
  <si>
    <t>Transportes / almacenamiento</t>
  </si>
  <si>
    <t>2.9</t>
  </si>
  <si>
    <t>Costo Proporcional Oficina Central</t>
  </si>
  <si>
    <t>2.10</t>
  </si>
  <si>
    <t>Valla informativa</t>
  </si>
  <si>
    <t>2.11</t>
  </si>
  <si>
    <t>Campamento Temporal</t>
  </si>
  <si>
    <t>VALOR POLIZA</t>
  </si>
  <si>
    <t>Impuesto de Seguridad</t>
  </si>
  <si>
    <t>ADMINISTRACION</t>
  </si>
  <si>
    <t>UTILIDAD</t>
  </si>
  <si>
    <t>IMPREVISTOS</t>
  </si>
  <si>
    <t>TOTAL A.I.U.</t>
  </si>
  <si>
    <t>Analisis Unitario - Prestaciones Sociales Obra</t>
  </si>
  <si>
    <t>CALCULO DEL FACTOR PRESTACIONAL</t>
  </si>
  <si>
    <t>Seguridad Social (salud )</t>
  </si>
  <si>
    <t xml:space="preserve">Indemnización de ley </t>
  </si>
  <si>
    <t xml:space="preserve">Subsidio familiar </t>
  </si>
  <si>
    <t>Otros (Incapacidad no cubierta EPS , Auxilios varios)</t>
  </si>
  <si>
    <t>DOTACION</t>
  </si>
  <si>
    <t xml:space="preserve">Dotacion </t>
  </si>
  <si>
    <t>FACTOR MULTIPLICADOR (SUMA A + B)</t>
  </si>
  <si>
    <t>PROYECTO: ADECUACIÓN Y MANTENIMIENTO DE LA ESE HOSPITAL SAN NICOLÁS DE TOLENTINO EN LA CABECERA MUNICIPAL DE PINILLOS Y LOS PUESTOS DE SALUD DE LOS CORREGIMIENTOS DE LAS CONCHITAS, PALENQUITO, PUERTO LÓPEZ Y SANTA COA, EN EL MUNICIPIO DE PINILLOS - DEPARTAMENTO DE BOLÍVAR</t>
  </si>
  <si>
    <t>PUESTO DE SALUD DE PALENQUITO</t>
  </si>
  <si>
    <t>1.6</t>
  </si>
  <si>
    <t>1.7</t>
  </si>
  <si>
    <t>1.8</t>
  </si>
  <si>
    <t>1.9</t>
  </si>
  <si>
    <t>1.10</t>
  </si>
  <si>
    <t>Limpieza y raspada de muros  interiores y exteriores a pintar</t>
  </si>
  <si>
    <t>Desmonte de cubierta existente</t>
  </si>
  <si>
    <t>Desmonte de cerchas metalicas</t>
  </si>
  <si>
    <t>Desmonte de cielo raso existente</t>
  </si>
  <si>
    <t>Desmonte del sistema electrico existente</t>
  </si>
  <si>
    <t>Desmonte de lavamanos</t>
  </si>
  <si>
    <t>Desmonte de sanitarios</t>
  </si>
  <si>
    <t>Desmonte de reja existente en la sala de espera</t>
  </si>
  <si>
    <t>Suministro e instalación de cielo raso en PVC</t>
  </si>
  <si>
    <t>Suministro e instalación de enchape ceramico para piso</t>
  </si>
  <si>
    <t>Mantenimiento de reja existente (incluye retiro de oxido y pintura en anticorrosivo y esmalte)</t>
  </si>
  <si>
    <t>Pintura tipo 1 para exteriores e interiores (2 manos)</t>
  </si>
  <si>
    <t>Suministro e instalación de puertas en Aluminio</t>
  </si>
  <si>
    <t xml:space="preserve">Instalacion y Montaje de reja </t>
  </si>
  <si>
    <t>Suministro e instalación de combo sanitario + accesorios sanitarios</t>
  </si>
  <si>
    <t>Suministro e instalación tanque septico 2.000 lt anaerobio (incluye accesorios)</t>
  </si>
  <si>
    <t>Suministro e instalación de tanque plastico de almacenamiento 1.000 lt (incluye flotador, accesorios y tuberias para su instalacion y funcionamiento)</t>
  </si>
  <si>
    <t>Suministro e instalacion de cableado electrico</t>
  </si>
  <si>
    <t>Suministro e instalación de ventiladores de Giro Horizontal</t>
  </si>
  <si>
    <t>Suministro e Instalación de toma corriente doble</t>
  </si>
  <si>
    <t>Suministro e Instalación de interruptor sencillo</t>
  </si>
  <si>
    <t>Suministro e Instalación de Salida para luces (incluye lamparas led redondas 18W)</t>
  </si>
  <si>
    <t>Suministro e instalacion de tablero 8 circuitos</t>
  </si>
  <si>
    <t>Reparacion de Puntos electricos 110v</t>
  </si>
  <si>
    <t>Mantenimiento de cerchas metalicas (incluye retiro de oxido y pintura en anticorrosivo y esmalte)</t>
  </si>
  <si>
    <t xml:space="preserve">Suministro e instalación de cubierta arquitectonica </t>
  </si>
  <si>
    <t>Montaje e instalacion de cerchas metalicas</t>
  </si>
  <si>
    <t>Cenefa en color azul con Pintura tipo 1 para interiores (2 manos)</t>
  </si>
  <si>
    <t>ASEO Y LIMPIEZA</t>
  </si>
  <si>
    <t>Limpieza y desmanche de enchape de baños</t>
  </si>
  <si>
    <t>Limpieza general</t>
  </si>
  <si>
    <t>EMPRESA SOCIAL DEL ESTADO</t>
  </si>
  <si>
    <t>HOSPITAL SAN NICOLAS DE TOLENTINO</t>
  </si>
  <si>
    <t>MUNICIPIO DE PINILLOS BOLIVAR</t>
  </si>
  <si>
    <t>ITEM 1,2 - Desmonte de cubierta existente</t>
  </si>
  <si>
    <t>1.11</t>
  </si>
  <si>
    <t>ITEM 1,3 - Desmonte de cielo raso existente</t>
  </si>
  <si>
    <t>ITEM 1,4 - Desmonte de cerchas metalicas</t>
  </si>
  <si>
    <t>ITEM 1,5 - Desmonte del sistema electrico existente</t>
  </si>
  <si>
    <t>TECNICO ELECTRICISTA (1)</t>
  </si>
  <si>
    <t>ITEM 1,6 - Desmonte de lavamanos</t>
  </si>
  <si>
    <t>ITEM 1,7 - Desmonte de sanitarios</t>
  </si>
  <si>
    <t>ITEM 1,8 - Desmonte de reja existente en la sala de espera</t>
  </si>
  <si>
    <t>Demolición de plantilla existente</t>
  </si>
  <si>
    <t>ITEM 1,9 - Demolición de plantilla existente</t>
  </si>
  <si>
    <t>Perfilacion y nivelacion del terreno - Manual</t>
  </si>
  <si>
    <t>1.12</t>
  </si>
  <si>
    <t xml:space="preserve">Excavaciones manuales  (No Incluye retiro de material sobrante) </t>
  </si>
  <si>
    <t xml:space="preserve">ITEM 2,1  - Excavaciones manuales  (No Incluye retiro de material sobrante) </t>
  </si>
  <si>
    <t>ITEM 2,4 - Cargue, transporte y disposición final de material sobrante en sitio autorizado</t>
  </si>
  <si>
    <t xml:space="preserve">ITEM 3,2 Construcción  de Zapatas en concreto 3000 p.s.i. modulacion 1,00 mts x 1,00 mts x alto 0,30 mts, incluye acero: en ambos sentidos de  1/2" cada 0,18 mts </t>
  </si>
  <si>
    <t>Construcción  de Pedestal en concreto de 3000 p.s.i, modulacion 0,45 mts x 0,45 mts, incluye acero: longitudinal 8 Fe= 5/8" - Estnbos 3/8" cada 0,10 mts</t>
  </si>
  <si>
    <t>Construccion de placa de Anden  en concreto 3000 psi  (210kg/cm2) - espesor placa 10 cms, incluye refuerzo de 40000 p.s.i.</t>
  </si>
  <si>
    <t>ITEM 5,1 Estuco para muros tipo 1 (estructuras y Muros)</t>
  </si>
  <si>
    <t>ITEM 5,2 Pintura tipo 1 para exteriores e interiores (2 manos)</t>
  </si>
  <si>
    <t>5.7</t>
  </si>
  <si>
    <t>ITEM 5,3 Estampado de concreto de Placas de pisos de Anden exterior</t>
  </si>
  <si>
    <t>Estampado de concreto de Placas de pisos de Anden exterior</t>
  </si>
  <si>
    <t>ITEM 5,4 Cenefa en color azul con Pintura tipo 1 para interiores (2 manos)</t>
  </si>
  <si>
    <t>ITEM 5,5 Suministro e instalación de cielo raso en PVC</t>
  </si>
  <si>
    <t>LAMINA PVC 0,25 x 6,00 m</t>
  </si>
  <si>
    <t>PERFIL DE ALUMINIO EN T</t>
  </si>
  <si>
    <t>PERFIL DE ALUMINIO EN L</t>
  </si>
  <si>
    <t>REMACHES</t>
  </si>
  <si>
    <t>PUNTILLAS</t>
  </si>
  <si>
    <t xml:space="preserve"> ZOCALOS MEDIA CAÑA</t>
  </si>
  <si>
    <t>CERAMICA PARA PISOS</t>
  </si>
  <si>
    <t>MORTERO - NIVELACION</t>
  </si>
  <si>
    <t>ITEM 5,6 Suministro e instalación de enchape ceramico para piso</t>
  </si>
  <si>
    <t>ITEM 5,7 Suministro e Instalación  de Zocalo  tipo media caña</t>
  </si>
  <si>
    <t>Suministro e Instalación de Zocalo tipo media caña</t>
  </si>
  <si>
    <t>ZOCALO MEDIA CAÑA</t>
  </si>
  <si>
    <t>Revision y optimizacion de la red hidraulica existente</t>
  </si>
  <si>
    <t>Revision y optimizacion de la red sanitaria existente</t>
  </si>
  <si>
    <t>ITEM 6,1 Revision y optimizacion de la red hidraulica existente</t>
  </si>
  <si>
    <t xml:space="preserve">ADAPTADOR </t>
  </si>
  <si>
    <t>items 6,2 Suministro e instalación de tanque plastico de almacenamiento 1.000 lt (incluye flotador, accesorios y tuberias para su instalacion y funcionamiento)</t>
  </si>
  <si>
    <t>TANQUE DE 1000 LTS</t>
  </si>
  <si>
    <t>Items 7,1 Revision y optimizacion de la red sanitaria existente</t>
  </si>
  <si>
    <t>CODO DE 3 90</t>
  </si>
  <si>
    <t>CODO DE 3 45</t>
  </si>
  <si>
    <t>CODO DE 2 90</t>
  </si>
  <si>
    <t>CODO DE 2 45</t>
  </si>
  <si>
    <t>Items 7,2 Suministro e instalación de combo sanitario + accesorios sanitarios</t>
  </si>
  <si>
    <t>COMBO SANITARIO , (Inc. Lavamanos y Sanitario)</t>
  </si>
  <si>
    <t>TANQUE SEPTICO 2000 LTS</t>
  </si>
  <si>
    <t>TUBERIA 4" PVC</t>
  </si>
  <si>
    <t>TANQUE SEPTICO COMPLETO 2000 LTS</t>
  </si>
  <si>
    <t>ITEM 7,3 Suministro e instalacion de tanque septico de capacidad total 2000 lts incluye acometida de 4" y campo de infiltracion</t>
  </si>
  <si>
    <t>CABLE DE COBRE No 12</t>
  </si>
  <si>
    <t>CURVA PVC CONDUIT 1/2"</t>
  </si>
  <si>
    <t>CINTA AISLANTE X 3 MTS</t>
  </si>
  <si>
    <t>CURVA 1/2"</t>
  </si>
  <si>
    <t>ITEM 8,1 Suministro e instalacion de cableado electrico</t>
  </si>
  <si>
    <t>ITEM 8,2 Suministro e instalacion de tablero 8 circuitos</t>
  </si>
  <si>
    <t>TABLERO MONOFASICO DE 8 CIRCUITOS INCLUYE ACCESORIOS (CAJA,Y BRAKER)</t>
  </si>
  <si>
    <t>ITEM 8,3 Reparacion de Puntos electricos 110v</t>
  </si>
  <si>
    <t>TOMA CORRIENTE DOBLE</t>
  </si>
  <si>
    <t>ITEM 8,4 Suministro e Instalación  de toma corriente doble</t>
  </si>
  <si>
    <t>ITEM 8,5 Suministro e Instalación de interruptor sencillo</t>
  </si>
  <si>
    <t>INTERRUPTOR SENCILLO</t>
  </si>
  <si>
    <t>LAMPARA REDONDA LED DE 18 WT</t>
  </si>
  <si>
    <t>ITEM 8,6 Suministro e Instalación de Salida para luces (incluye lamparas led redondas 18W)</t>
  </si>
  <si>
    <t>ITEM 8,7 Suministro e instalación de ventiladores de Giro Horizontal</t>
  </si>
  <si>
    <t>VENTILADOR DE GIRO HORIZONTAL</t>
  </si>
  <si>
    <t>ITEM 9,1 Mantenimiento de cerchas metalicas (incluye retiro de oxido y pintura en anticorrosivo y esmalte)</t>
  </si>
  <si>
    <t>SOLDADOR(1)</t>
  </si>
  <si>
    <t>ITEM 9,2 Montaje e instalacion de cerchas metalicas</t>
  </si>
  <si>
    <t xml:space="preserve">ITEM 9,3 Suministro e instalación de cubierta arquitectonica </t>
  </si>
  <si>
    <t>CUBIERTA ARQUITECTONICA MASTER 1000</t>
  </si>
  <si>
    <t>SILLA TANDEM 4 PUESTOS</t>
  </si>
  <si>
    <t>ITEM 10,1 Mantenimiento de reja existente (incluye retiro de oxido y pintura en anticorrosivo y esmalte)</t>
  </si>
  <si>
    <t xml:space="preserve">PUERTA EN ALUMINIO </t>
  </si>
  <si>
    <t>TECNICO - INSTALADOR</t>
  </si>
  <si>
    <t>PUERTAS EN ALUMINIO</t>
  </si>
  <si>
    <t>ITEM 11,1 Suministro e instalación silla Tandem 4 puestos</t>
  </si>
  <si>
    <t>Suministro e instalación silla Tandem 4 puestos</t>
  </si>
  <si>
    <t>OBRERO (2)</t>
  </si>
  <si>
    <t>ITEM 12,1 Limpieza y desmanche de enchape de baños</t>
  </si>
  <si>
    <t>DETERGENTE EN POLVO</t>
  </si>
  <si>
    <t>CLORO LIQUIDO</t>
  </si>
  <si>
    <t>ACIDO CLORHIDRICO</t>
  </si>
  <si>
    <t>OBRERO (3)</t>
  </si>
  <si>
    <t>CUADRO DE CANTIDADES DE OBRA</t>
  </si>
  <si>
    <t>AREA CONSTRUCCION NUEVA PATIO</t>
  </si>
  <si>
    <t>ANDEN LADO 01</t>
  </si>
  <si>
    <t>ANDEN LADO 02</t>
  </si>
  <si>
    <t xml:space="preserve">1.2 - Desmonte de cubierta existente </t>
  </si>
  <si>
    <t>1.3 - Desmonte de cielo raso existente</t>
  </si>
  <si>
    <t>AREA IRREGULAR CIELO RASO</t>
  </si>
  <si>
    <t>1.4 - Desmonte de cerchas metalicas</t>
  </si>
  <si>
    <t>CERCHAS CUBIERTA</t>
  </si>
  <si>
    <t>SISTEMA ELECTRICO GENERAL</t>
  </si>
  <si>
    <t>CANTIDAD EN GLB</t>
  </si>
  <si>
    <t>1.5 - Desmonte del sistema electrico existente</t>
  </si>
  <si>
    <t>1.6 - Desmonte de lavamanos</t>
  </si>
  <si>
    <t>1.7 - Desmonte de sanitarios</t>
  </si>
  <si>
    <t>1.8 - Desmonte de reja existente en la sala de espera</t>
  </si>
  <si>
    <t>REJA PROTECCION SALA DE ESPERA</t>
  </si>
  <si>
    <t>1.9 - Demolición de plantilla existente</t>
  </si>
  <si>
    <t>PLANTILLA SALA DE PROCEDIMIENTOS</t>
  </si>
  <si>
    <t>PLANTILLA SALA DE PARTOS</t>
  </si>
  <si>
    <t>PLANTILLA SALA DE PRE Y POST PARTOS</t>
  </si>
  <si>
    <t>Demolición de columnas existentes</t>
  </si>
  <si>
    <t>ITEM 1,10 - Demolición de columnas existentes</t>
  </si>
  <si>
    <t>COLUMNAS</t>
  </si>
  <si>
    <t>1.11 - Perfilacion y nivelacion del terreno - Manual</t>
  </si>
  <si>
    <t>DESMONTES CIELO RASO</t>
  </si>
  <si>
    <t>DESMONTES CUBIERTA</t>
  </si>
  <si>
    <t>DEMOLICIONES PISO</t>
  </si>
  <si>
    <t>DEMOLICIONES COLUMNAS</t>
  </si>
  <si>
    <t>1.13</t>
  </si>
  <si>
    <t>1.12 - Limpieza y raspada de muros  interiores y exteriores a pintar</t>
  </si>
  <si>
    <t>1.10 - Demolición de columnas existentes</t>
  </si>
  <si>
    <t>CIMENTACION 02 - 0,25 X 0,25 MTS (ANDEN LADO 01)</t>
  </si>
  <si>
    <t>ZAPATAS 03 - 1,0 X 1,0 MTS -      (COLUMNA TANQUE)</t>
  </si>
  <si>
    <t>AREA TERRAZA PATIO</t>
  </si>
  <si>
    <t>AREA SALA DE PROCEDIMIENTO</t>
  </si>
  <si>
    <t>AREA SALA DE PARTO</t>
  </si>
  <si>
    <t>AREA SALA DE PRE Y POS PARTO</t>
  </si>
  <si>
    <t>2,3 Relleno con material granular transportado compactado al 90%, Manual- (Relleno para Nivelacion de Terreno de Proyecto)</t>
  </si>
  <si>
    <t>Relleno con material granular transportado compactado al 90%, Manual con Canguro - (Relleno para Nivelacion de Terreno de Proyecto)</t>
  </si>
  <si>
    <t xml:space="preserve">TANQUE SEPTICO - 2,30 X 1,25 X 1,15 MTS </t>
  </si>
  <si>
    <t xml:space="preserve">3,2 Construcción  de Zapatas en concreto 3000 p.s.i. modulacion 1,00 mts x 1,00 mts x alto 0,30 mts, incluye acero: en ambos sentidos de  1/2" cada 0,18 mts </t>
  </si>
  <si>
    <t>CIMENTACION 03 - 0,25 X 0,25 MTS (ANDEN LADO 02)</t>
  </si>
  <si>
    <t>COLUMNAS TERRAZA PATIO</t>
  </si>
  <si>
    <t>MURO TERRAZA PATIO</t>
  </si>
  <si>
    <t>MURO ANDEN 01</t>
  </si>
  <si>
    <t>MURO ANDEN 02</t>
  </si>
  <si>
    <t>PLACA TANQUE ELEVADO</t>
  </si>
  <si>
    <t>PEDESTAL COLUMNA TANQUE</t>
  </si>
  <si>
    <t>COLUMNAS EDIFICIO</t>
  </si>
  <si>
    <t>COLUMNA TANQUE ELEVADO</t>
  </si>
  <si>
    <t>ITEM 1,11 - Perfilacion y nivelacion del terreno - Manual</t>
  </si>
  <si>
    <t>ITEM 1,12 - Limpieza y raspada de muros  interiores y exteriores a pintar</t>
  </si>
  <si>
    <t>TERRAZA PATIO</t>
  </si>
  <si>
    <t>AREA ANDEN 01</t>
  </si>
  <si>
    <t>AREA ANDEN 02</t>
  </si>
  <si>
    <t>3,13 Construccion de placa de Anden en concreto 3000 psi  (210kg/cm2) - espesor placa 10 cms, incluye refuerzo de 40000 p.s.i.</t>
  </si>
  <si>
    <t>MURO AREA SALA DE PRE Y POS PARTO</t>
  </si>
  <si>
    <t>OTRAS AREAS PARA REPARACION</t>
  </si>
  <si>
    <t>5,1 Estuco para muros tipo 1 (estructuras y Muros)</t>
  </si>
  <si>
    <t>Pañete para muros   mortero: 1:4 imp . Esp = 2 cms (Muros)</t>
  </si>
  <si>
    <t>4,2 Pañete para muros   mortero: 1:4 imp . Esp = 2 cms (Muros)</t>
  </si>
  <si>
    <t>ESTRUCTURAS</t>
  </si>
  <si>
    <t>GENERALES PUESTO DE SALUD</t>
  </si>
  <si>
    <t>5,3 Estampado de concreto de Placas de pisos de Anden exterior</t>
  </si>
  <si>
    <t>5,4 Cenefa en color azul con Pintura tipo 1 para interiores (2 manos)</t>
  </si>
  <si>
    <t>5,5 Suministro e instalación de cielo raso en PVC</t>
  </si>
  <si>
    <t>5,2 Pintura tipo 1 para exteriores e interiores (2 manos)</t>
  </si>
  <si>
    <t>5,6 Suministro e instalación de enchape ceramico para piso</t>
  </si>
  <si>
    <t>5,7 Suministro e instalación de enchape ceramico para piso</t>
  </si>
  <si>
    <t>6,1 Revision y optimizacion de la red hidraulica existente</t>
  </si>
  <si>
    <t>6,2 Suministro e instalación de tanque plastico de almacenamiento 1.000 lt (incluye flotador, accesorios y tuberias para su instalacion y funcionamiento)</t>
  </si>
  <si>
    <t>TANQUE ELEVADO 1000 LTS</t>
  </si>
  <si>
    <t>GENERAL</t>
  </si>
  <si>
    <t xml:space="preserve">6,3 Suministro e Instalación  de extintores </t>
  </si>
  <si>
    <t>7,1 Revision y optimizacion de la red sanitaria existente</t>
  </si>
  <si>
    <t>7,2 Suministro e instalación de combo sanitario + accesorios sanitarios</t>
  </si>
  <si>
    <t>COMBO SANITARIO COMPLETO</t>
  </si>
  <si>
    <t>7,3 Suministro e instalación tanque septico 2.000 lt anaerobio (incluye accesorios)</t>
  </si>
  <si>
    <t>TANQUE SEPTICO</t>
  </si>
  <si>
    <t>8,1 Suministro e instalacion de cableado electrico</t>
  </si>
  <si>
    <t>8,2 Suministro e instalacion de tablero 8 circuitos</t>
  </si>
  <si>
    <t>TABLERO 8 CIRCUITOS COMPLETO</t>
  </si>
  <si>
    <t>8,3 Reparacion de Puntos electricos 110v</t>
  </si>
  <si>
    <t>TOMA CORRIENTE</t>
  </si>
  <si>
    <t>INTERRUPTORES</t>
  </si>
  <si>
    <t>SALIDA DE LUCES</t>
  </si>
  <si>
    <t>8,4 Suministro e Instalación de toma corriente doble</t>
  </si>
  <si>
    <t>8,5 Suministro e Instalación de interruptor sencillo</t>
  </si>
  <si>
    <t>8,6 Suministro e Instalación de Salida para luces (incluye lamparas led redondas 18W)</t>
  </si>
  <si>
    <t>8,7 Suministro e instalación de ventiladores de Giro Horizontal</t>
  </si>
  <si>
    <t>9,1 Mantenimiento de cerchas metalicas (incluye retiro de oxido y pintura en anticorrosivo y esmalte)</t>
  </si>
  <si>
    <t>9,2 Montaje e instalacion de cerchas metalicas</t>
  </si>
  <si>
    <t xml:space="preserve">9,3 Suministro e instalación de cubierta arquitectonica </t>
  </si>
  <si>
    <t>AREA CUBIERTA</t>
  </si>
  <si>
    <t>10,1 Mantenimiento de reja existente (incluye retiro de oxido y pintura en anticorrosivo y esmalte)</t>
  </si>
  <si>
    <t xml:space="preserve">10,2 Instalacion y Montaje de reja </t>
  </si>
  <si>
    <t>10,3 Suministro e instalación de puertas en Aluminio</t>
  </si>
  <si>
    <t>11,1 Suministro e instalación silla Tandem 4 puestos</t>
  </si>
  <si>
    <t>SILLA PARA SAL DE ESPERA TIPO TANDEM</t>
  </si>
  <si>
    <t>12,1 Limpieza y desmanche de enchape de baños</t>
  </si>
  <si>
    <t>12,2 Limpieza general</t>
  </si>
  <si>
    <t>Subtotal Capitulo C</t>
  </si>
  <si>
    <t>Desmonte de Protectores de ventana</t>
  </si>
  <si>
    <t>Mantenimiento de Protectores de ventanas (incluye retiro de oxido y pintura en anticorrosivo y esmalte)</t>
  </si>
  <si>
    <t>Instalacion y Montaje de Protectores</t>
  </si>
  <si>
    <t xml:space="preserve">Reparacion de Ventanas en Aluminio </t>
  </si>
  <si>
    <t>Suministro e instalación cortina Enrrollable Tipo Black out</t>
  </si>
  <si>
    <t>Mantenimiento e Instalacion de Aviso Publicitario Puesto de Salud</t>
  </si>
  <si>
    <t>10.6</t>
  </si>
  <si>
    <t>10.7</t>
  </si>
  <si>
    <t>10.8</t>
  </si>
  <si>
    <t>PUESTO DE SALUD LAS CONCHITAS</t>
  </si>
  <si>
    <t>Pañete para muros   mortero: 1:4 imp . Esp = 2 cms (Lineal)</t>
  </si>
  <si>
    <t>Pintura en Cal para exteriores (2 manos) - Muro de Cerramiento</t>
  </si>
  <si>
    <t>Suministro e Instalacion de Vidrio para Ventana</t>
  </si>
  <si>
    <t xml:space="preserve">Reparacion de Puertas internas en Aluminio </t>
  </si>
  <si>
    <t>PUESTO DE SALUD DE LAS CONCHITAS</t>
  </si>
  <si>
    <t>MURO CERRAMIENTO</t>
  </si>
  <si>
    <t>CERCHAS CUBIERTA 1</t>
  </si>
  <si>
    <t>CERCHAS CUBIERTA 2</t>
  </si>
  <si>
    <t>PROTECTORES DE VENTANA</t>
  </si>
  <si>
    <t>1.14</t>
  </si>
  <si>
    <t>ITEM 1,13 - Desmonte de Protectores de ventana</t>
  </si>
  <si>
    <t>AREA PATIO</t>
  </si>
  <si>
    <t xml:space="preserve">3,3 Construcción  de Zapatas en concreto 3000 p.s.i. modulacion 0,60 mts x 0,60 mts x alto 0,30 mts, incluye acero: en ambos sentidos de  1/2" cada 0,18 mts </t>
  </si>
  <si>
    <t>CIMENTACION 01 - 0,25 X 0,25 MTS (CERRAMIENTO)</t>
  </si>
  <si>
    <t>VIGA AEREA</t>
  </si>
  <si>
    <t>Alto/Alto</t>
  </si>
  <si>
    <t>VIGA CIMENTACION</t>
  </si>
  <si>
    <t>4,3 Pañete para muros   mortero: 1:4 imp . Esp = 2 cms (Lineal)</t>
  </si>
  <si>
    <t>CANTIDAD EN ML</t>
  </si>
  <si>
    <t>MURO CERRAMIENTO RECUADRO LINEAL 1</t>
  </si>
  <si>
    <t>MURO CERRAMIENTO RECUADRO LINEAL 2</t>
  </si>
  <si>
    <t>ITEM 4,2 Pañete para muros   mortero: 1:4 imp . Esp = 2 cms (Muros)</t>
  </si>
  <si>
    <t>ITEM 4,3 Pañete para muros   mortero: 1:4 imp . Esp = 2 cms (Lineal)</t>
  </si>
  <si>
    <t>ITEM 5,8 Pintura en Cal para exteriores (2 manos) - Muro de Cerramiento</t>
  </si>
  <si>
    <t>ACRONAL</t>
  </si>
  <si>
    <t>5.8</t>
  </si>
  <si>
    <t>5,8 Pintura en Cal para exteriores (2 manos) - Muro de Cerramiento</t>
  </si>
  <si>
    <t>ALUMOL O MANTO ASFALTICO</t>
  </si>
  <si>
    <t>LAMINA O TELA DE PROTECCION</t>
  </si>
  <si>
    <t>MORTERO DE NIVELACION</t>
  </si>
  <si>
    <t>LAMINA O TELA DE PROTECCION ROLLO POR 10 ML</t>
  </si>
  <si>
    <t>10,4 Mantenimiento de Protectores de ventanas (incluye retiro de oxido y pintura en anticorrosivo y esmalte)</t>
  </si>
  <si>
    <t>10,5 Instalacion y Montaje de Protectores</t>
  </si>
  <si>
    <t>PROTECTOR DE VENTANA</t>
  </si>
  <si>
    <t>10.9</t>
  </si>
  <si>
    <t>10.10</t>
  </si>
  <si>
    <t>10.11</t>
  </si>
  <si>
    <t>10,6 Reparacion de Puertas exteriores en Aluminio - Incluye Vidrio</t>
  </si>
  <si>
    <t>Reparacion de Puertas exteriores en Aluminio - Incluye Vidrio</t>
  </si>
  <si>
    <t>PUERTAS PRINCIPALES</t>
  </si>
  <si>
    <t xml:space="preserve">10,7 Reparacion de Puertas internas en Aluminio </t>
  </si>
  <si>
    <t>PUERTAS INTERIORES</t>
  </si>
  <si>
    <t xml:space="preserve">10,8 Reparacion de Ventanas en Aluminio </t>
  </si>
  <si>
    <t>10,9 Suministro e Instalacion de Vidrio para Ventana</t>
  </si>
  <si>
    <t>VENTANAS</t>
  </si>
  <si>
    <t>VIDRIO DAÑADO</t>
  </si>
  <si>
    <t>10,10 Suministro e Instalacion de Reja de acceso para acceso Principal</t>
  </si>
  <si>
    <t>REJA PRINCIPAL ACCESO</t>
  </si>
  <si>
    <t>10,11 Mantenimiento e Instalacion de Aviso Publicitario Puesto de Salud</t>
  </si>
  <si>
    <t>AVISO PUBLICITARIO ACCESO</t>
  </si>
  <si>
    <t>TECNICO (1)</t>
  </si>
  <si>
    <t>ACCESORIOS ALUMINIO</t>
  </si>
  <si>
    <t>VIDRIO 4MM</t>
  </si>
  <si>
    <t>SELLADOR ANTIHONGOS VENTANERIA</t>
  </si>
  <si>
    <t>TECNICO - SOLDADOR</t>
  </si>
  <si>
    <t>VANNER PUBLICITARIO</t>
  </si>
  <si>
    <t>ITEM 11,2 Suministro e instalación cortina Enrrollable Tipo Black out</t>
  </si>
  <si>
    <t>CORTINA ENRROLLABLE BLACK OUT</t>
  </si>
  <si>
    <t>11,2 Suministro e instalación cortina Enrrollable Tipo Black out</t>
  </si>
  <si>
    <t>Subtotal Capitulo B</t>
  </si>
  <si>
    <t>PUESTO DE SALUD PUERTO LOPEZ</t>
  </si>
  <si>
    <t>Subtotal Capitulo D</t>
  </si>
  <si>
    <t>Suministro e instalación de Lavaplatos</t>
  </si>
  <si>
    <t>7.4</t>
  </si>
  <si>
    <t>1.15</t>
  </si>
  <si>
    <t>Demolición de Muro existente</t>
  </si>
  <si>
    <t>AREA MURO DE PATIO</t>
  </si>
  <si>
    <t>1.14 - Demolición de Muro existente</t>
  </si>
  <si>
    <t>DEMOLICIONES MURO</t>
  </si>
  <si>
    <t>ZAPATAS 01 - 1,0 X 1,0 MTS -      (COLUMNA TANQUE)</t>
  </si>
  <si>
    <t xml:space="preserve">CIMENTACION 02 - 0,25 X 0,25 MTS (CERRAMIENTO) </t>
  </si>
  <si>
    <t>TERRAZA ACCESO 1</t>
  </si>
  <si>
    <t>TERRAZA ACCESO 2</t>
  </si>
  <si>
    <t>5,7 Suministro e Instalación de Zocalo tipo media caña</t>
  </si>
  <si>
    <t xml:space="preserve">TERRAZA ACCESO </t>
  </si>
  <si>
    <t>7,4 Suministro e instalación de Lavaplatos</t>
  </si>
  <si>
    <t>Items 7,4 Suministro e instalación de Lavaplatos</t>
  </si>
  <si>
    <t>LAVAPLATOS EN ACERO INOXIDABLE</t>
  </si>
  <si>
    <t>VIGA CANAL</t>
  </si>
  <si>
    <t>PUESTO DE SALUD SANTA COA</t>
  </si>
  <si>
    <t>Subtotal Capitulo E</t>
  </si>
  <si>
    <t>10.12</t>
  </si>
  <si>
    <t>PORTON SALIDA EMERGENCIA</t>
  </si>
  <si>
    <t>TABLERO EN LAMINA GALVANIZADA CAL. 22</t>
  </si>
  <si>
    <t>Suministro e Instalacion de Porton para acceso Posterior</t>
  </si>
  <si>
    <t>10,12 Suministro e Instalacion de Porton para acceso Posterior</t>
  </si>
  <si>
    <t>AREA ANDEN 03</t>
  </si>
  <si>
    <t>ANDEN PROTECCION</t>
  </si>
  <si>
    <t>ITEM 1,15 - Demolición de Ceramica existente</t>
  </si>
  <si>
    <t>1.15 - Demolición de Ceramica existente</t>
  </si>
  <si>
    <t>Demolición de Ceramica existente</t>
  </si>
  <si>
    <t>1.16</t>
  </si>
  <si>
    <t>Desmonte de Puertas existentes</t>
  </si>
  <si>
    <t>Desmonte de Ventanas existentes</t>
  </si>
  <si>
    <t>1.17</t>
  </si>
  <si>
    <t>Demolición de Viga Dintel existente</t>
  </si>
  <si>
    <t>1.18</t>
  </si>
  <si>
    <t>1.16 - Demolición de Viga Dintel existente</t>
  </si>
  <si>
    <t>DINTELES PUERTAS</t>
  </si>
  <si>
    <t>1.19</t>
  </si>
  <si>
    <t>1.17 - Desmonte de Puertas existentes</t>
  </si>
  <si>
    <t>1.18 - Desmonte de Ventanas existentes</t>
  </si>
  <si>
    <t>PUERTAS 1</t>
  </si>
  <si>
    <t>PUERTAS 2</t>
  </si>
  <si>
    <t>PUERTAS 3</t>
  </si>
  <si>
    <t>VENTANAS 1</t>
  </si>
  <si>
    <t>1.13 - Desmonte de Protectores de ventana</t>
  </si>
  <si>
    <t>DESMONTES CERAMICA</t>
  </si>
  <si>
    <t>DESMONTES VIGA DINTEL</t>
  </si>
  <si>
    <t>INTERIOR</t>
  </si>
  <si>
    <t>EXTERIOR</t>
  </si>
  <si>
    <t>ITEM 1,14 - Demolición de Muro existente</t>
  </si>
  <si>
    <t>ITEM 1,16 - Demolición de Viga Dintel existente</t>
  </si>
  <si>
    <t>ITEM 1,17 - Desmonte de Puertas existentes</t>
  </si>
  <si>
    <t>ITEM 1,18 - Desmonte de Ventanas existentes</t>
  </si>
  <si>
    <t>CIMENTACION 01 - 0,25 X 0,25 MTS (PROTECCION)</t>
  </si>
  <si>
    <t>MURO PROTECCION</t>
  </si>
  <si>
    <t xml:space="preserve">Construcción de Viga Culata en concreto 3000 p.s.i. 0.10 X 0.20 mts  -  2 Fe= 3/8" - Estribos y ganchos Fe= 3/8 C/. 0,15 mts </t>
  </si>
  <si>
    <t>VIGA CULATA - 0,10 X 0,20 MTS (CUBIERTA)</t>
  </si>
  <si>
    <t>PROTECCION VIVIENDA</t>
  </si>
  <si>
    <t>AREA PUESTO DE SALUD</t>
  </si>
  <si>
    <t>FACHADA</t>
  </si>
  <si>
    <t>7,3  Suministro e instalación tanque septico 2.000 lt anaerobio (incluye accesorios)</t>
  </si>
  <si>
    <t xml:space="preserve">ITEM 10,2 Instalacion y Montaje de reja </t>
  </si>
  <si>
    <t xml:space="preserve">Suministro e instalación de puertas en Aluminio </t>
  </si>
  <si>
    <t xml:space="preserve">Suministro e instalación de Ventanas en Aluminio </t>
  </si>
  <si>
    <t>PUERTAS EN ALUMINIO TIPO 762</t>
  </si>
  <si>
    <t>ITEM 10,4 Suministro e instalación de puertas en Aluminio</t>
  </si>
  <si>
    <t xml:space="preserve">ITEM 10,5 Suministro e instalación de Ventanas en Aluminio </t>
  </si>
  <si>
    <t xml:space="preserve">VENTANA EN ALUMINIO </t>
  </si>
  <si>
    <t>VENTANAS EN ALUMINIO</t>
  </si>
  <si>
    <t>ITEM 10,6 Mantenimiento de Protectores de ventanas (incluye retiro de oxido y pintura en anticorrosivo y esmalte)</t>
  </si>
  <si>
    <t>ITEM 10,7 Instalacion y Montaje de Protectores</t>
  </si>
  <si>
    <t>ITEM 10,8 Reparacion de Puertas exteriores en Aluminio - Incluye Vidrio</t>
  </si>
  <si>
    <t xml:space="preserve">ITEM 10,9 Reparacion de Puertas internas en Aluminio </t>
  </si>
  <si>
    <t xml:space="preserve">ITEM 10,10 Reparacion de Ventanas en Aluminio </t>
  </si>
  <si>
    <t>ITEM 10,11 Suministro e Instalacion de Vidrio para Ventana</t>
  </si>
  <si>
    <t>ITEM 10,13 Mantenimiento e Instalacion de Aviso Publicitario Puesto de Salud</t>
  </si>
  <si>
    <t>ITEM 10,14 Suministro e Instalacion de Porton para acceso Posterior</t>
  </si>
  <si>
    <t xml:space="preserve"> Suministro e Instalacion de Porton para acceso Posterior</t>
  </si>
  <si>
    <t>10.14</t>
  </si>
  <si>
    <t xml:space="preserve">10,3 Suministro e instalación de puertas Exteriores en Aluminio </t>
  </si>
  <si>
    <t xml:space="preserve">10,4 Suministro e instalación de puertas en Aluminio </t>
  </si>
  <si>
    <t xml:space="preserve">10,5 Suministro e instalación de Ventanas en Aluminio </t>
  </si>
  <si>
    <t xml:space="preserve">10,14  Suministro e Instalacion de Porton para acceso Posterior </t>
  </si>
  <si>
    <t>VENTANAS 2</t>
  </si>
  <si>
    <t>VENTANAS 3</t>
  </si>
  <si>
    <t>PUERTAS EXTERIOR</t>
  </si>
  <si>
    <t>AREA ADMINISTRATIVA - EDIFICIO NUEVO</t>
  </si>
  <si>
    <t>1.9 - Demolición de Muro existente</t>
  </si>
  <si>
    <t>MURO CERRAMIENTO FRONTAL</t>
  </si>
  <si>
    <t>DEMOLICIONES MUROS</t>
  </si>
  <si>
    <t>CIMENTACION 02 - 0,25 X 0,25 MTS (CERRAMIENTO)</t>
  </si>
  <si>
    <t>3.18</t>
  </si>
  <si>
    <t>Construcción de Sobre-cimentacion con Muro en Bloque No 6 relleno en concreto de 3000 p.s.i.</t>
  </si>
  <si>
    <t>3.19</t>
  </si>
  <si>
    <t xml:space="preserve">Construcción de Viga Canal en concreto 3000 p.s.i. espesor 10 cms, incluye acero: ambos sentidos de  1/2" cada 0,15 mts. </t>
  </si>
  <si>
    <t>SOBRE CIMENTATACION EN BLOQUE No 6 - 01</t>
  </si>
  <si>
    <t>SOBRE CIMENTATACION EN BLOQUE No 6 - 02</t>
  </si>
  <si>
    <t>SOBRE CIMENTATACION EN BLOQUE No 6 - 03</t>
  </si>
  <si>
    <t>SOBRE CIMENTATACION EN BLOQUE No 6 - 04</t>
  </si>
  <si>
    <t>AREA ADMINISTRACION</t>
  </si>
  <si>
    <t>CIRCULACION PEATONAL</t>
  </si>
  <si>
    <t>AREA PARQUEADERO</t>
  </si>
  <si>
    <t xml:space="preserve">3,19 Construcción de Viga Canal en concreto 3000 p.s.i. espesor 10 cms, incluye acero: ambos sentidos de  1/2" cada 0,15 mts. </t>
  </si>
  <si>
    <t>MUROS EDIFICIO ADMINISTRATIVO EXTERIORES</t>
  </si>
  <si>
    <t>DESCUENTO VENTANAS Y PUERTAS M2</t>
  </si>
  <si>
    <t>MUROS EDIFICIO ADMINISTRATIVO INTERIORES</t>
  </si>
  <si>
    <t>MURO EDIFICIO CUBIERTAS</t>
  </si>
  <si>
    <t>EDIFICIO ADMINISTRATIVO EXTERIORES 1</t>
  </si>
  <si>
    <t>EDIFICIO ADMINISTRATIVO EXTERIORES 2</t>
  </si>
  <si>
    <t>EDIFICIO ADMINISTRATIVO EXTERIORES 3</t>
  </si>
  <si>
    <t>EDIFICIO ADMINISTRATIVO EXTERIORES 4</t>
  </si>
  <si>
    <t>VIGA CANAL EDIFICIO 1</t>
  </si>
  <si>
    <t>VIGA CANAL EDIFICIO 2</t>
  </si>
  <si>
    <t>VIGA CANAL ACCESO</t>
  </si>
  <si>
    <t>VOLUMENES ACCESO</t>
  </si>
  <si>
    <t>COLUMNAS CERRAMIENTO</t>
  </si>
  <si>
    <t>VIGA AEREA 1</t>
  </si>
  <si>
    <t>VIGA AEREA 2</t>
  </si>
  <si>
    <t>ACCESO - VOLUMENES 1</t>
  </si>
  <si>
    <t>ACCESO - VOLUMENES 2</t>
  </si>
  <si>
    <t>ACCESO - VOLUMENES 3</t>
  </si>
  <si>
    <t>VIGA DE AMARRE EDIFICIO 1</t>
  </si>
  <si>
    <t>VIGA DE AMARRE EDIFICIO 2</t>
  </si>
  <si>
    <t>GENERALES ADMINISTRACION</t>
  </si>
  <si>
    <t>GENERALES ADMINISTRACION AREA 1</t>
  </si>
  <si>
    <t>GENERALES ADMINISTRACION AREA 2</t>
  </si>
  <si>
    <t>GENERALES ADMINISTRACION AREA 3</t>
  </si>
  <si>
    <t>CERAMICA PARA PISOS BAÑOS</t>
  </si>
  <si>
    <t>CERAMICA PARA PISOS DE BAÑOS</t>
  </si>
  <si>
    <t>CERAMICA PARA MUROS DE BAÑOS</t>
  </si>
  <si>
    <t>BAÑO 01</t>
  </si>
  <si>
    <t>BAÑO 02</t>
  </si>
  <si>
    <t>BAÑO 03</t>
  </si>
  <si>
    <t>BAÑO 04</t>
  </si>
  <si>
    <t>Suministro e instalación de enchape ceramico para Pisos de Baños</t>
  </si>
  <si>
    <t>Suministro e instalación de enchape ceramico para Muros de Baños</t>
  </si>
  <si>
    <t>ITEM 5,9 Suministro e instalación de enchape ceramico para Pisos de Baños</t>
  </si>
  <si>
    <t>5.9</t>
  </si>
  <si>
    <t>5.10</t>
  </si>
  <si>
    <t>5,9 Suministro e instalación de enchape ceramico para Pisos de Baños</t>
  </si>
  <si>
    <t>5,10 Suministro e instalación de enchape ceramico para Muros de Baños</t>
  </si>
  <si>
    <t>ITEM 5,10 Suministro e instalación de enchape ceramico para Muros de Baños</t>
  </si>
  <si>
    <t>CERAMICA PARA MUROS BAÑOS</t>
  </si>
  <si>
    <t xml:space="preserve">PROYECTO: CONSTRUCCION DE UN (1) COMEDOR ESCOLAR EN LA INSTITUCION EDUCATIVA DE MONTECRISTO SEDE PRINCIPAL, EN EL MUNICIPIO DE MONTECRISTO BOLIVAR   </t>
  </si>
  <si>
    <t>ITEM 6,3 Instalación  de puntos hidraulicos 1/2"</t>
  </si>
  <si>
    <t xml:space="preserve">items 6,4 Suministro e Instalación  de acometida hidraulica en tuberia de 1/2" </t>
  </si>
  <si>
    <t xml:space="preserve">items 6,5 Suministro e Instalación  de acometida hidraulica en tuberia de 3/4" </t>
  </si>
  <si>
    <t xml:space="preserve">items 6,6 Suministro e Instalación  de extintores </t>
  </si>
  <si>
    <t>Instalación  de puntos hidraulicos 1/2"</t>
  </si>
  <si>
    <t xml:space="preserve">Suministro e Instalación  de acometida hidraulica en tuberia de 1/2" </t>
  </si>
  <si>
    <t xml:space="preserve">Suministro e Instalación  de acometida hidraulica en tuberia de 3/4" </t>
  </si>
  <si>
    <t>TANQUE A RED DE 1/2"</t>
  </si>
  <si>
    <t>DE RED A TANQUE</t>
  </si>
  <si>
    <t xml:space="preserve">6,3 Instalación  de puntos hidraulicos 1/2" </t>
  </si>
  <si>
    <t xml:space="preserve">6,4 Suministro e Instalación  de acometida hidraulica en tuberia de 1/2" </t>
  </si>
  <si>
    <t>6,5 Suministro e Instalación  de acometida hidraulica en tuberia de 3/4"</t>
  </si>
  <si>
    <t xml:space="preserve">6,6 Suministro e Instalación  de extintores </t>
  </si>
  <si>
    <t>BAÑOS</t>
  </si>
  <si>
    <t xml:space="preserve">PUNTO BAJANTE CUBIERTA </t>
  </si>
  <si>
    <t>4"</t>
  </si>
  <si>
    <t>2"</t>
  </si>
  <si>
    <t>3"</t>
  </si>
  <si>
    <t>TUBERIA SANITARIA - CUBIERTAS</t>
  </si>
  <si>
    <t>PUNTO 2"</t>
  </si>
  <si>
    <t>PUNTO 3"</t>
  </si>
  <si>
    <t>TUBERIA SANITARIA - BAÑOS</t>
  </si>
  <si>
    <t>TUBERIA SANITARIA - REGISTRO AGUAS LLUVIAS</t>
  </si>
  <si>
    <t>TUBERIA SANITARIA - REGISTRO A TANQUE SEPTICO</t>
  </si>
  <si>
    <t>PUNTO BAÑOS</t>
  </si>
  <si>
    <t>7.5</t>
  </si>
  <si>
    <t>7.6</t>
  </si>
  <si>
    <t>7.7</t>
  </si>
  <si>
    <t>7.8</t>
  </si>
  <si>
    <t>7.9</t>
  </si>
  <si>
    <t>7.10</t>
  </si>
  <si>
    <t>7.11</t>
  </si>
  <si>
    <t>Instalación  de puntos sanitarios de 2"</t>
  </si>
  <si>
    <t>Instalación  de puntos sanitarios de 3" (incluye sifon)</t>
  </si>
  <si>
    <t>Instalación  de puntos sanitarios de 4" - Sanitario</t>
  </si>
  <si>
    <t>Suministro e Instalación de tuberia sanitaria de 2"</t>
  </si>
  <si>
    <t>Suministro e Instalación de tuberia sanitaria de 3"</t>
  </si>
  <si>
    <t xml:space="preserve">Suministro e instalación de tubería sanitaria de 2" - Tubería de ventilación húmeda </t>
  </si>
  <si>
    <t>Suministro e Instalación de tuberia de pvc 4" - Generales</t>
  </si>
  <si>
    <t>TAPON DE PRUEBA DE 2</t>
  </si>
  <si>
    <t>YEE DE 2</t>
  </si>
  <si>
    <t>Items 7,5 Instalación  de puntos sanitarios de 2"</t>
  </si>
  <si>
    <t>7.12</t>
  </si>
  <si>
    <t>7,12 Suministro e Instalación de tuberia de pvc 4" - Generales</t>
  </si>
  <si>
    <t xml:space="preserve">7,11 Suministro e instalación de tubería sanitaria de 2" - Tubería de ventilación húmeda </t>
  </si>
  <si>
    <t>7,10 Suministro e Instalación de tuberia sanitaria de 3"</t>
  </si>
  <si>
    <t>7,9 Suministro e Instalación de tuberia sanitaria de 2"</t>
  </si>
  <si>
    <t>7,8 Instalación  de puntos sanitarios de 4" - Aguas Lluvias</t>
  </si>
  <si>
    <t>7,7 Instalación  de puntos sanitarios de 4" - Sanitario</t>
  </si>
  <si>
    <t>7,5 Instalación  de puntos sanitarios de 2"</t>
  </si>
  <si>
    <t>7,6 Instalación  de puntos sanitarios de 3" (incluye sifon)</t>
  </si>
  <si>
    <t>Items 7,6 Instalación  de puntos sanitarios de 3" (incluye sifon)</t>
  </si>
  <si>
    <t>Items 7,7 Instalación  de puntos sanitarios de 4" - Sanitario</t>
  </si>
  <si>
    <t>Items 7,8 Instalación  de puntos sanitarios de 4" - Aguas Lluvias</t>
  </si>
  <si>
    <t>Items 7,9 Suministro e Instalación  de tuberia sanitaria de 2"</t>
  </si>
  <si>
    <t>Items 7,10 Suministro e Instalación de tuberia sanitaria de 3"</t>
  </si>
  <si>
    <t xml:space="preserve">Items 7,11 Suministro e instalación de tubería sanitaria de 2" - Tubería de ventilación húmeda </t>
  </si>
  <si>
    <t>ITEM 7,12 Suministro e Instalación de tuberia de pvc 4" - Generales</t>
  </si>
  <si>
    <t>FORMALETERIA METALICA x 6</t>
  </si>
  <si>
    <t>FORMALETAS</t>
  </si>
  <si>
    <t>ITEM 7,13 Construcción  de Registro Sanitario en concreto de 3000 p.s.i. (control y limpieza)</t>
  </si>
  <si>
    <t>Construcción  de Registro Sanitario en concreto de 3000 p.s.i. (control y limpieza)</t>
  </si>
  <si>
    <t>7,13 Suministro e Instalación de tuberia de pvc 4" - Generales</t>
  </si>
  <si>
    <t>REGISTRO SANITARIO</t>
  </si>
  <si>
    <t>7.13</t>
  </si>
  <si>
    <t>Instalación  de Puntos electricos 110v (incluye acometida)</t>
  </si>
  <si>
    <t>Suministro e Instalación de toma mirada china</t>
  </si>
  <si>
    <t>Suministro e Instalación  de Interruptores dobles</t>
  </si>
  <si>
    <t xml:space="preserve">Suministro e instalacion de aire mini split 2 hp  </t>
  </si>
  <si>
    <t>Registro Electrico en concreto de 3000 p.s.i. - Control electrico</t>
  </si>
  <si>
    <t>LAMPARA TIPO TORTUGA</t>
  </si>
  <si>
    <t>TOMA MIRADA CHINA</t>
  </si>
  <si>
    <t>ALAMBRE No 12</t>
  </si>
  <si>
    <t>AIRE MINI SPLIT 12000 BTU</t>
  </si>
  <si>
    <t>ITEM 8,8 Instalación  de Puntos electricos 110v (incluye acometida)</t>
  </si>
  <si>
    <t>ITEM 8,9 Instalación  de Puntos electricos 220v (incluye acometida)</t>
  </si>
  <si>
    <t>ITEM 8,10 Suministro e Instalación  de toma mirada china</t>
  </si>
  <si>
    <t>ITEM 8,11 Suministro e Instalación  de lamparas  tipo LED -  tortuga</t>
  </si>
  <si>
    <t>ITEM 8,12 Suministro e Instalación  de Interruptores dobles</t>
  </si>
  <si>
    <t xml:space="preserve">ITEM 8,13 Suministro e instalacion de aire mini split 2 hp  </t>
  </si>
  <si>
    <t>INTERRUPTOR DOBLE</t>
  </si>
  <si>
    <t>LUMINARIAS</t>
  </si>
  <si>
    <t>INTERRUPTORES DOBLES</t>
  </si>
  <si>
    <t>INTERRUPTORES SENCILLOS</t>
  </si>
  <si>
    <t xml:space="preserve">8,13 Suministro e instalacion de aire mini split 2 hp  </t>
  </si>
  <si>
    <t>AIRE ACONDICIONADO 2 hp</t>
  </si>
  <si>
    <t>8,14 Registro Electrico en concreto de 3000 p.s.i. - Control electrico</t>
  </si>
  <si>
    <t>REGISTRO ELECTRICO</t>
  </si>
  <si>
    <t>8,8 Instalación  de Puntos electricos 110v (incluye acometida)</t>
  </si>
  <si>
    <t>8,9 Instalación  de Puntos electricos 220v (incluye acometida)</t>
  </si>
  <si>
    <t>8,10 Suministro e Instalación  de toma mirada china</t>
  </si>
  <si>
    <t>8,11 Suministro e Instalación  de lamparas  tipo LED -  tortuga</t>
  </si>
  <si>
    <t>8,12 Suministro e Instalación  de Interruptores dobles</t>
  </si>
  <si>
    <t>ITEM 9,4 Impermeabilizacion de Placa de Viga Canal, Incluye Mortero de Nivelacion</t>
  </si>
  <si>
    <t>Impermeabilizacion de Placa de Viga Canal, Incluye Mortero de Nivelacion</t>
  </si>
  <si>
    <t>Suministro e instalación de Correas de cubierta en Perfil de 3" x 1 1/2" Cal. 16</t>
  </si>
  <si>
    <t>ITEM 9,5 Suministro e instalación de Correas de cubierta en Perfil de 3" x 1 1/2" Cal. 16</t>
  </si>
  <si>
    <t>9,5 Suministro e instalación de Correas de cubierta en Perfil de 3" x 1 1/2" Cal. 16</t>
  </si>
  <si>
    <t>9,4 Impermeabilizacion de Placa de Viga Canal, Incluye Mortero de Nivelacion</t>
  </si>
  <si>
    <t>ITEM 10,15 Suministro e Instalacion de Porton para acceso Administracion</t>
  </si>
  <si>
    <t>10.15</t>
  </si>
  <si>
    <t>Suministro e Instalacion de Porton para acceso Administracion</t>
  </si>
  <si>
    <t>PORTON ACCESO MOTOS</t>
  </si>
  <si>
    <t>PORTON ACCESO PEATONAL</t>
  </si>
  <si>
    <t xml:space="preserve">10,15  Suministro e Instalacion de Porton para acceso Posterior </t>
  </si>
  <si>
    <t>Subtotal Capitulo A</t>
  </si>
  <si>
    <t>TRANSPORTE - AJUSTADO A 2023</t>
  </si>
  <si>
    <t>SUB TOTAL AREA ADMINISTRATIVA - EDIFICIO NUEVO</t>
  </si>
  <si>
    <t>ADECUACIONES  HOSPITAL -  SISTEMA DE INFORMACION Y ATENCION AL USUARIO - SIAU</t>
  </si>
  <si>
    <t>DEMOLICIONES CERAMICA</t>
  </si>
  <si>
    <t>AREA SIAU</t>
  </si>
  <si>
    <t>PLACA MODULO ATENCION</t>
  </si>
  <si>
    <t>3,18 Construcción de Sobre-cimentacion con Muro en Bloque No 6 relleno en concreto de 3000 p.s.i.</t>
  </si>
  <si>
    <t>MUROS SIAU EXTERIORES</t>
  </si>
  <si>
    <t>MUROS SIAU INTERIORES</t>
  </si>
  <si>
    <t>PLACA DEBAJO</t>
  </si>
  <si>
    <t>PLACA ARRIBA</t>
  </si>
  <si>
    <t xml:space="preserve">LINEALES VENTANERIA </t>
  </si>
  <si>
    <t>LINEALES PUERTAS</t>
  </si>
  <si>
    <t>SALA DE ESPERA</t>
  </si>
  <si>
    <t>DESCUENTO  M2</t>
  </si>
  <si>
    <t>MODULO SIAU</t>
  </si>
  <si>
    <t>SUB TOTAL - ADECUACIONES  HOSPITAL -  SISTEMA DE INFORMACION Y ATENCION AL USUARIO - SIAU</t>
  </si>
  <si>
    <t>7,13 Construcción  de Registro Sanitario en concreto de 3000 p.s.i. (control y limpieza)</t>
  </si>
  <si>
    <t>MUROS SIAU CENEFA</t>
  </si>
  <si>
    <t>Suministro, instalacion y montaje de estructura metalica en Acero Estructural ASTM A-36 ; A46, A50.  incluye soldadura, pernos y anclaje, limpieza en sandblasting, pintura y acabados según planos y especificaciones de diseño para Estructura metalica perfileria tipo C phr negro 220 x 80 mm CAJON</t>
  </si>
  <si>
    <t>Suministro, instalacion y montaje de estructura metalica en Acero Estructural ASTM A-36 ; A46, A50.  incluye soldadura, pernos y anclaje, limpieza en sandblasting, pintura y acabados según planos y especificaciones de diseño para Estructura metalica perfileria tipo C  phr negro 220 x 80 mm</t>
  </si>
  <si>
    <t>PERFIL PHR NEGRO 220 x 80  CAL, 16 CAJON</t>
  </si>
  <si>
    <t>PERFIL PHR NEGRO 220 x 20  CAL, 16</t>
  </si>
  <si>
    <t>ITEM 9,6 Suministro, instalacion y montaje de estructura metalica en Acero Estructural ASTM A-36 ; A46, A50.  incluye soldadura, pernos y anclaje, limpieza en sandblasting, pintura y acabados según planos y especificaciones de diseño para Estructura metalica perfileria tipo C phr negro 220 x 80 mm CAJON</t>
  </si>
  <si>
    <t>ITEM 9,7 Suministro, instalacion y montaje de estructura metalica en Acero Estructural ASTM A-36 ; A46, A50.  incluye soldadura, pernos y anclaje, limpieza en sandblasting, pintura y acabados según planos y especificaciones de diseño para Estructura metalica perfileria tipo C  phr negro 220 x 80 mm</t>
  </si>
  <si>
    <t>PERFIL PHR NEGRO 120 x 60  CAL, 16</t>
  </si>
  <si>
    <t>ITEM 9,8 Suministro, instalacion y montaje de estructura metalica en Acero Estructural ASTM A-36 ; A46, A50.  incluye soldadura, pernos y anclaje, limpieza en sandblasting, pintura y acabados según planos y especificaciones de diseño para Estructura metalica perfileria tipo C  phr negro 120 x 60 mm</t>
  </si>
  <si>
    <t>Suministro, instalacion y montaje de estructura metalica en Acero Estructural ASTM A-36 ; A46, A50.  incluye soldadura, pernos y anclaje, limpieza en sandblasting, pintura y acabados según planos y especificaciones de diseño para Estructura metalica perfileria tipo C  phr negro 120 x 60 mm</t>
  </si>
  <si>
    <t>VIGA CANAL SIAU</t>
  </si>
  <si>
    <t>9,6 Suministro, instalacion y montaje de estructura metalica en Acero Estructural ASTM A-36 ; A46, A50.  incluye soldadura, pernos y anclaje, limpieza en sandblasting, pintura y acabados según planos y especificaciones de diseño para Estructura metalica perfileria tipo C phr negro 220 x 80 mm CAJON</t>
  </si>
  <si>
    <t>CABALLETE</t>
  </si>
  <si>
    <t>9,7 Suministro, instalacion y montaje de estructura metalica en Acero Estructural ASTM A-36 ; A46, A50.  incluye soldadura, pernos y anclaje, limpieza en sandblasting, pintura y acabados según planos y especificaciones de diseño para Estructura metalica perfileria tipo C  phr negro 220 x 80 mm</t>
  </si>
  <si>
    <t>9,8 Suministro, instalacion y montaje de estructura metalica en Acero Estructural ASTM A-36 ; A46, A50.  incluye soldadura, pernos y anclaje, limpieza en sandblasting, pintura y acabados según planos y especificaciones de diseño para Estructura metalica perfileria tipo C  phr negro 120 x 60 mm</t>
  </si>
  <si>
    <t>CORREAS</t>
  </si>
  <si>
    <t>RIOSTRAS</t>
  </si>
  <si>
    <t>10.16</t>
  </si>
  <si>
    <t>VENTANAS EN VIDRIO DE SEGURIDAD 12 MM</t>
  </si>
  <si>
    <t>Suministro e instalación de Ventanas en Vidrio de seguridad 12mm</t>
  </si>
  <si>
    <t>ITEM 10,16 Suministro e instalación de Ventanas en Vidrio de seguridad 12mm</t>
  </si>
  <si>
    <t xml:space="preserve">10,16 Suministro e instalación de Ventanas en Aluminio </t>
  </si>
  <si>
    <t>ADECUACIONES  HOSPITAL -  GENERALES</t>
  </si>
  <si>
    <t>Suministro e instalación de Canal Recolectora de Aguas Lluvias</t>
  </si>
  <si>
    <t>9,9 Suministro e instalación de Canal Recolectora de Aguas Lluvias</t>
  </si>
  <si>
    <t>LAMINA EN CALIENTE HR (3MM)</t>
  </si>
  <si>
    <t>ITEM 9,9 Suministro e instalación de Canal Recolectora de Aguas Lluvias</t>
  </si>
  <si>
    <t>Demolición de Meson Existente</t>
  </si>
  <si>
    <t>1.20</t>
  </si>
  <si>
    <t>GENERALES</t>
  </si>
  <si>
    <t>AREA IRREGULAR MUROS</t>
  </si>
  <si>
    <t>AREA ESTAR MEDICO</t>
  </si>
  <si>
    <t xml:space="preserve">C </t>
  </si>
  <si>
    <t>AREA IRREGULAR CERAMICA</t>
  </si>
  <si>
    <t>HOSPITALIZACION</t>
  </si>
  <si>
    <t>ESTAR EMFERMERIA</t>
  </si>
  <si>
    <t>SALA DE PROCEDIMIENTO</t>
  </si>
  <si>
    <t>SALA DE ESPERA URGENCIA</t>
  </si>
  <si>
    <t xml:space="preserve">ALMACEN </t>
  </si>
  <si>
    <t>CUARTO HOSPITALIZACION</t>
  </si>
  <si>
    <t>PUERTAS</t>
  </si>
  <si>
    <t>1.19 - Demolición de Meson Existente</t>
  </si>
  <si>
    <t>MESON EXISTENTE</t>
  </si>
  <si>
    <t>CIELO RASO</t>
  </si>
  <si>
    <t>AREA NUEVA HOSPÌTALIZACION</t>
  </si>
  <si>
    <t>ITEM 1,19 - Demolición de Meson Existente</t>
  </si>
  <si>
    <t>ITEM 1,20 - Cargue, transporte y disposición final de material sobrante en sitio autorizado</t>
  </si>
  <si>
    <t>DEMOLICIONES MESON</t>
  </si>
  <si>
    <t>MUROS CERRAMIENTO</t>
  </si>
  <si>
    <t>ZAPATAS 01 - 0,60 X 0,60 MTS -      (CERRAMIENTO)</t>
  </si>
  <si>
    <t>MUROS GENERAL</t>
  </si>
  <si>
    <t>CUARTO ELECTRICO</t>
  </si>
  <si>
    <t xml:space="preserve">LINEALES PUERTAS </t>
  </si>
  <si>
    <t>ESTAR ENFERMERIA</t>
  </si>
  <si>
    <t>SALA ESTAR URGENCIAS</t>
  </si>
  <si>
    <t>FARMACIA</t>
  </si>
  <si>
    <t>SALA OBSERVACION</t>
  </si>
  <si>
    <t>ALAMACEN</t>
  </si>
  <si>
    <t>ESTERILIZACION</t>
  </si>
  <si>
    <t>HALL SALA DE PARTO</t>
  </si>
  <si>
    <t>BODEGA</t>
  </si>
  <si>
    <t>CIRCULACION AREA DE PARTO</t>
  </si>
  <si>
    <t>COORDINACION ASHC</t>
  </si>
  <si>
    <t>VACUNAS</t>
  </si>
  <si>
    <t>LABORES</t>
  </si>
  <si>
    <t>ODONTOLOGIA</t>
  </si>
  <si>
    <t>CONSULTA P Y P</t>
  </si>
  <si>
    <t>BAÑOS CONSULTA P Y P</t>
  </si>
  <si>
    <t>CONSULTA 2 URGENCIA</t>
  </si>
  <si>
    <t xml:space="preserve">GENERALES </t>
  </si>
  <si>
    <t>PEDIATRIA</t>
  </si>
  <si>
    <t>HOSPITALIZACION 2</t>
  </si>
  <si>
    <t>SALA DE OBSEVACION</t>
  </si>
  <si>
    <t>HALL ALMACEN</t>
  </si>
  <si>
    <t>HALL PARTO</t>
  </si>
  <si>
    <t>PUERPERIO</t>
  </si>
  <si>
    <t>TOMA DE MUESTRAS</t>
  </si>
  <si>
    <t>PUMA</t>
  </si>
  <si>
    <t>ZOCALO</t>
  </si>
  <si>
    <t>BAÑOS PISOS</t>
  </si>
  <si>
    <t>BAÑOS MUROS</t>
  </si>
  <si>
    <t>HOSPITALIZACION 1</t>
  </si>
  <si>
    <t>Items 7,14 Suministro e instalación de Poceta o Lavadero</t>
  </si>
  <si>
    <t>Suministro e instalación de Poceta o Lavadero</t>
  </si>
  <si>
    <t>7.14</t>
  </si>
  <si>
    <t>7,14 Suministro e instalación de Poceta o Lavadero</t>
  </si>
  <si>
    <t>POCETA O LAVADERO</t>
  </si>
  <si>
    <t>LAVADERO EN GRANITO 80X60X20</t>
  </si>
  <si>
    <t>BAÑOS CONSULTORIOS</t>
  </si>
  <si>
    <t>CONSULTORIOS</t>
  </si>
  <si>
    <t>PUERTA ACCESO HABITACION</t>
  </si>
  <si>
    <t>PUERTA BAÑOS</t>
  </si>
  <si>
    <t>SUB TOTAL - ADECUACIONES  HOSPITAL -  GENERALES</t>
  </si>
  <si>
    <t xml:space="preserve">LAMPARA TIPO TORTUGA </t>
  </si>
  <si>
    <t>CORREAS CUBIERTA</t>
  </si>
  <si>
    <t>AREA TERRAZA INTERNA</t>
  </si>
  <si>
    <t>COLUMNAS - 0,25 X 0,25 MTS (OBRA SIAU)</t>
  </si>
  <si>
    <t>VIGA AMARRE 01 - 0,25 X 0,25 MTS ((OBRA SIAU)</t>
  </si>
  <si>
    <t>CANALES AGUAS LLUVIAS</t>
  </si>
  <si>
    <t>VENTANAS DE SEGURIDAD</t>
  </si>
  <si>
    <t>1/2"</t>
  </si>
  <si>
    <t>CIMENTACION 02 - 0,25 X 0,25 MTS (ANDEN LADO 02)</t>
  </si>
  <si>
    <t>CIMENTACION 01 - 0,25 X 0,25 MTS (OBRA)</t>
  </si>
  <si>
    <t>CIMENTACION 03 - 0,15 X 0,25 MTS (ANDENES)</t>
  </si>
  <si>
    <t>VIGA AMARRE 02 - 0,10 X 0,25 MTS MTS (CERRAMIENTO)</t>
  </si>
  <si>
    <t xml:space="preserve">3,10 Construcción de Viga Amarre en concreto 3000 p.s.i. 0.10 X 0.25 mts  -  3 Fe= 3/8" - Estribos y ganchos Fe= 3/8 C/. 0,20 mts </t>
  </si>
  <si>
    <t>3,8 Construcción de Columnas en concreto de 3000 p.s.i, modulacion 0,20 mts x 0,25 mts, incluye acero: longitudinal 4 Fe=  3/8" - Estnbos 3/8" cada 0,15 mts</t>
  </si>
  <si>
    <t xml:space="preserve">COLUMNAS - 0,20 X 0,25 MTS (OBRA) </t>
  </si>
  <si>
    <t>COLUMNAS - 0,20 X 0,25 MTS (CERRAMIENTO)</t>
  </si>
  <si>
    <t>3,13 Construcción de Plantilla para pisos esp. 0,10 mts en concreto 3000 p.s.i. - Fe=1/4" temperatura  Cada 0.40 mts ambos sentidos</t>
  </si>
  <si>
    <t>3,5 Construcción de Viga de Cimentacion en concreto de 3000 p.s.i, modulacion 0,25 mts x 0,25 mts, incluye acero: longitudinal 4 3/8" - Estnbos 3/8" cada 0,15 mts</t>
  </si>
  <si>
    <t>Construcción de Viga de Cimentacion en concreto de 3000 p.s.i, modulacion 0,25 mts x 0,25 mts, incluye acero: longitudinal 4 3/8" - Estnbos 3/8" cada 0,15 mts</t>
  </si>
  <si>
    <t>Construcción de Columnas en concreto de 3000 p.s.i, modulacion 0,20 mts x 0,25 mts, incluye acero: longitudinal 4 Fe=  3/8" - Estnbos 3/8" cada 0,15 mts</t>
  </si>
  <si>
    <t xml:space="preserve">Construcción de Viga Amarre en concreto 3000 p.s.i. 0.10 X 0.25 mts  -  3 Fe= 3/8" - Estribos y ganchos Fe= 3/8 C/. 0,20 mts </t>
  </si>
  <si>
    <t xml:space="preserve">Construcción de Placa de Tanque elevado en concreto 3000 p.s.i.  espesor 10 cms, incluye acero: ambos sentidos de  1/2" cada 0,15 mts. </t>
  </si>
  <si>
    <t>Construcción de Plantilla para pisos esp. 0,10 mts en concreto 3000 p.s.i. - Fe=1/4" temperatura  Cada 0.40 mts ambos sentidos</t>
  </si>
  <si>
    <t>Construcción de Viga de Cimentacion en concreto de 3000 p.s.i, modulacion 0,15 mts x 0,25 mts, incluye acero: longitudinal 4 3/8" - Estnbos 3/8" cada 0,25 mts</t>
  </si>
  <si>
    <t>Construcción de Viga Dintel en concreto de 3000 p.s.i, modulacion 0,10 mts x 0,15 mts, incluye acero: longitudinal 2 3/8" - Estnbos 3/8" cada 0,20 mts</t>
  </si>
  <si>
    <t xml:space="preserve">Construcción  de Zapatas en concreto 3000 p.s.i. modulacion 0,40 mts x 0,40 mts x alto 0,25 mts, incluye acero: en ambos sentidos de  1/2" cada 0,18 mts   </t>
  </si>
  <si>
    <t>CIMENTACION 01 - 0,25 X 0,25 MTS (OBRA SIAU)</t>
  </si>
  <si>
    <t>3,3 Construcción  de Zapatas en concreto 3000 p.s.i. modulacion 0,40 mts x 0,40 mts x alto 0,25 mts, incluye acero: en ambos sentidos de  1/2" cada 0,18 mts</t>
  </si>
  <si>
    <t>ZAPATAS 01 - 0,4 X 0,4 MTS -      (OBRA SIAU)</t>
  </si>
  <si>
    <t>CIMENTACION 01 - 0,25 X 0,25 MTS  (OBRA SIAU)</t>
  </si>
  <si>
    <t>Construcción  de Plantilla para pisos esp. 0,10 mts en concreto 3000 p.s.i. - Fe=1/4" temperatura  Cada 0.40 mts ambos sentidos</t>
  </si>
  <si>
    <t>1.20 - Cargue, transporte y disposición final de material sobrante en sitio autorizado</t>
  </si>
  <si>
    <t>ZAPATAS 01 - 0,40 X 0,40 MTS -      (CERRAMIENTO)</t>
  </si>
  <si>
    <t xml:space="preserve">Construcción  de Zapatas en concreto 3000 p.s.i. modulacion 0,40 mts x 0,40 mts x alto 0,25 mts, incluye acero: en ambos sentidos de  1/2" cada 0,18 mts </t>
  </si>
  <si>
    <t xml:space="preserve">3,3 Construcción  de Zapatas en concreto 3000 p.s.i. modulacion 0,40 mts x 0,40 mts x alto 0,25 mts, incluye acero: en ambos sentidos de  1/2" cada 0,18 mts  </t>
  </si>
  <si>
    <t>VIGA AMARRE - 0,10 X 0,25 MTS MTS (CERRAMIENTO)</t>
  </si>
  <si>
    <t xml:space="preserve">VIGA AMARRE - 0,10 X 0,25 MTS (OBRA) </t>
  </si>
  <si>
    <t>ZAPATAS 02 - 0,60 X 0,60 MTS -      (TERRAZA PATIO)</t>
  </si>
  <si>
    <t>ZAPATAS 03 - 0,60 X 0,60 MTS -      (REEMPLAZO DE COLUMNAS)</t>
  </si>
  <si>
    <t>CIMENTACION 01 - 0,25 X 0,25 MTS (TERRAZA PATIO)</t>
  </si>
  <si>
    <t>CIMENTACION 02 - 0,25 X 0,25 MTS (COLUMNAS)</t>
  </si>
  <si>
    <t>ALQUILER RIELES METALICOS(6)</t>
  </si>
  <si>
    <t>ITEM 2,3 - Relleno con material granular transportado compactado al 90%, Manual con Canguro - (Relleno para Nivelacion de Terreno de Proyecto)</t>
  </si>
  <si>
    <t xml:space="preserve">3,4 Construcción  de Zapatas en concreto 3000 p.s.i. modulacion 0,60 mts x 0,60 mts x alto 0,30 mts, incluye acero: en ambos sentidos de  1/2" cada 0,18 mts </t>
  </si>
  <si>
    <t xml:space="preserve">ITEM 3,3 Construcción  de Zapatas en concreto 3000 p.s.i. modulacion 0,60 mts x 0,60 mts x alto 0,25 mts, incluye acero: en ambos sentidos de  1/2" cada 0,18 mts </t>
  </si>
  <si>
    <t xml:space="preserve">Construcción  de Zapatas en concreto 3000 p.s.i. modulacion 0,60 mts x 0,60 mts x alto 0,25 mts, incluye acero: en ambos sentidos de  1/2" cada 0,18 mts </t>
  </si>
  <si>
    <t>CIMENTACION 01 - 0,25 X 0,25  MTS (TERRAZA PATIO)</t>
  </si>
  <si>
    <t>CIMENTACION 02 - 0,25 X 0,25  MTS (COLUMNAS)</t>
  </si>
  <si>
    <t>Construcción de Columnas en concreto de 3000 p.s.i, modulacion 0,30 mts x 0,30 mts, incluye acero: longitudinal 6 Fe=  1/2" - Estnbos 3/8" cada 0,10 mts</t>
  </si>
  <si>
    <t xml:space="preserve">Construcción de Viga Amarre en concreto 3000 p.s.i. 0.25 X 0.25 mts  -  4 Fe= 3/8" - Estribos y ganchos Fe= 3/8 C/. 0,20 mts  </t>
  </si>
  <si>
    <t>3,12 Construcción de Plantilla para pisos esp. 0,10 mts en concreto 3000 p.s.i. - Fe=1/4" temperatura  Cada 0.40 mts ambos sentidos</t>
  </si>
  <si>
    <t>LIMPIEZA Y RASPE DE MUROS</t>
  </si>
  <si>
    <t>Construcción  de Zapatas en concreto 3000 p.s.i. modulacion 0,40 mts x 0,40 mts x alto 0,25 mts, incluye acero: en ambos sentidos de  1/2" cada 0,18 mts</t>
  </si>
  <si>
    <t>3,6 Construcción de Viga de Cimentacion en concreto de 3000 p.s.i, modulacion 0,25 mts x 0,25 mts, incluye acero: longitudinal 4 3/8" - Estnbos 3/8" cada 0,15 mts</t>
  </si>
  <si>
    <t xml:space="preserve">ITEM 3,4 Construcción  de Zapatas en concreto 3000 p.s.i. modulacion 0,40 mts x 0,40 mts x alto 0,25 mts, incluye acero: en ambos sentidos de  1/2" cada 0,18 mts  </t>
  </si>
  <si>
    <t>ITEM 3,6 Construcción de Viga de Cimentacion en concreto de 3000 p.s.i, modulacion 0,25 mts x 0,25 mts, incluye acero: longitudinal 4 3/8" - Estnbos 3/8" cada 0,15 mts</t>
  </si>
  <si>
    <t>ITEM 3,8 Construcción de Columnas en concreto de 3000 p.s.i, modulacion 0,30 mts x 0,30 mts, incluye acero: longitudinal 6 Fe=  1/2" - Estnbos 3/8" cada 0,10 mts</t>
  </si>
  <si>
    <t>RASPADA Y LIMPIEZA DE MUROS</t>
  </si>
  <si>
    <t>DEMOLICION MUROS</t>
  </si>
  <si>
    <t>ZAPATAS 02 - 0,40 X 0,40 MTS -      (CERRAMIENTO)</t>
  </si>
  <si>
    <t>3,7 Construcción  de Pedestal en concreto de 3000 p.s.i, modulacion 0,45 mts x 0,45 mts, incluye acero: longitudinal 8 Fe= 5/8" - Estnbos 3/8" cada 0,10 mts</t>
  </si>
  <si>
    <t>3,8 Construcción de Columnas en concreto de 3000 p.s.i, modulacion 0,30 mts x 0,30 mts, incluye acero: longitudinal 6 Fe=  1/2" - Estnbos 3/8" cada 0,10 mts</t>
  </si>
  <si>
    <t>3,9 Construcción de Columnas en concreto de 3000 p.s.i, modulacion 0,20 mts x 0,25 mts, incluye acero: longitudinal 4 Fe=  3/8" - Estnbos 3/8" cada 0,15 mts</t>
  </si>
  <si>
    <t>AREA DE MURO EXISTENTE</t>
  </si>
  <si>
    <t>3,4 Construcción  de Zapatas en concreto 3000 p.s.i. modulacion 0,40 mts x 0,40 mts x alto 0,25 mts, incluye acero: en ambos sentidos de  1/2" cada 0,18 mts</t>
  </si>
  <si>
    <t>VIGA AMARRE SUPERIOR - 0,10 X 0,25 MTS (CERRAMIENTO)</t>
  </si>
  <si>
    <t xml:space="preserve">3,11 Construcción de Viga Amarre en concreto 3000 p.s.i. 0.10 X 0.25 mts  -  3 Fe= 3/8" - Estribos y ganchos Fe= 3/8 C/. 0,20 mts </t>
  </si>
  <si>
    <t>3,19 Construcción de Sobre-cimentacion con Muro en Bloque No 6 relleno en concreto de 3000 p.s.i.</t>
  </si>
  <si>
    <t xml:space="preserve">3,13 Construcción de Placa de Tanque elevado en concreto 3000 p.s.i.  espesor 10 cms, incluye acero: ambos sentidos de  1/2" cada 0,15 mts. </t>
  </si>
  <si>
    <t>3,14 Construcción de Plantilla para pisos esp. 0,10 mts en concreto 3000 p.s.i. - Fe=1/4" temperatura  Cada 0.40 mts ambos sentidos</t>
  </si>
  <si>
    <t>3,15 Construccion de placa de Anden en concreto 3000 psi  (210kg/cm2) - espesor placa 10 cms, incluye refuerzo de 40000 p.s.i.</t>
  </si>
  <si>
    <t xml:space="preserve">3,16 Construcción de Viga Culata en concreto 3000 p.s.i. 0.10 X 0.20 mts  -  2 Fe= 3/8" - Estribos y ganchos Fe= 3/8 C/. 0,15 mts </t>
  </si>
  <si>
    <t>ITEM 3,7 Construcción  de Pedestal en concreto de 3000 p.s.i, modulacion 0,45 mts x 0,45 mts, incluye acero: longitudinal 8 Fe= 1/2" - Estnbos 3/8" cada 0,10 mts</t>
  </si>
  <si>
    <t>3,7 Construcción  de Pedestal en concreto de 3000 p.s.i, modulacion 0,45 mts x 0,45 mts, incluye acero: longitudinal 8 Fe= 1/2" - Estnbos 3/8" cada 0,10 mts</t>
  </si>
  <si>
    <t xml:space="preserve">3,10 Construcción de Viga Amarre en concreto 3000 p.s.i. 0.25 X 0.25 mts  -  4 Fe= 3/8" - Estribos y ganchos Fe= 3/8 C/. 0,20 mts  </t>
  </si>
  <si>
    <t>VIGA AMARRE INTERMEDIA - 0,25 X 0,25 MTS (TERRAZA PATIO)</t>
  </si>
  <si>
    <t>VIGA AMARRE INTERMEDIA - 0,25 X 0,25 MTS (COLUMNAS)</t>
  </si>
  <si>
    <t>VIGA AMARRE SUPERIOR - 0,10 X 0,25 MTS (TERRAZA PATIO)</t>
  </si>
  <si>
    <t>VIGA AMARRE SUPERIOR - 0,10 X 0,25 MTS MTS (COLUMNAS)</t>
  </si>
  <si>
    <t>3,12 Construcción de Muro Estructural en Bloque No 6 relleno en concreto de 3000 p.s.i, incluye acero de 3/8" de refuerzo.</t>
  </si>
  <si>
    <t>Construcción de Muro Estructural en Bloque No 6 relleno en concreto de 3000 p.s.i, incluye acero de 3/8" de refuerzo.</t>
  </si>
  <si>
    <t>COLUMNA TANQUE</t>
  </si>
  <si>
    <t>3.20</t>
  </si>
  <si>
    <t xml:space="preserve">Construcción de Viga Amarre en concreto 3000 p.s.i. 0.25 X 0.25 mts  -  4 Fe= 3/8" - Estribos y ganchos Fe= 3/8 C/. 0,15 mts </t>
  </si>
  <si>
    <t>Construcción  de Pedestal en concreto de 3000 p.s.i, modulacion 0,45 mts x 0,45 mts, incluye acero: longitudinal 8 Fe= 1/2" - Estnbos 3/8" cada 0,10 mts</t>
  </si>
  <si>
    <t>SALA ESPERA URGENCIA</t>
  </si>
  <si>
    <t>ALMACEN</t>
  </si>
  <si>
    <t>BLOQUE No 4 - 40 X 20 X 9 cms</t>
  </si>
  <si>
    <t>COMBO SANITARIO , (Inc. Lavamanos, Sanitario y accesorios)</t>
  </si>
  <si>
    <t>Suministro e instalación de puertas Exteriores en Aluminio TIPO 762</t>
  </si>
  <si>
    <t>AREA ACCESO EXTERIOR</t>
  </si>
  <si>
    <t>LUMINARIAS SALA DE ESPERA</t>
  </si>
  <si>
    <t>ITEM 8,15 Registro Electrico en concreto de 3000 p.s.i. - Control electrico</t>
  </si>
  <si>
    <t>ITEM 8,14 Suministro e Instalación  de luminarias tipo LED - reflectores Sala de Espera</t>
  </si>
  <si>
    <t>REFLECTORES 70 VATIOS</t>
  </si>
  <si>
    <t>Suministro e Instalación  de luminarias tipo LED - reflectores Sala de Espera</t>
  </si>
  <si>
    <t>REFLECTORES</t>
  </si>
  <si>
    <t>8,14 Suministro e Instalación  de luminarias tipo LED - reflectores Sala de Espera</t>
  </si>
  <si>
    <t>ITEM 3,9 Construcción de Columnas en concreto de 3000 p.s.i, modulacion 0,25 mts x 0,25 mts, incluye acero: longitudinal 4 Fe=  1/2" - Estnbos 3/8" cada 0,15 mts</t>
  </si>
  <si>
    <t>Construcción de Columnas en concreto de 3000 p.s.i, modulacion 0,25 mts x 0,25 mts, incluye acero: longitudinal 4 Fe=  1/2" - Estnbos 3/8" cada 0,15 mts</t>
  </si>
  <si>
    <t>ITEM 3,10 Construcción de Columnas en concreto de 3000 p.s.i, modulacion 0,20 mts x 0,25 mts, incluye acero: longitudinal 4 Fe=  3/8" - Estnbos 3/8" cada 0,15 mts</t>
  </si>
  <si>
    <t xml:space="preserve">ITEM 3,11 Construcción de Viga Amarre en concreto 3000 p.s.i. 0.25 X 0.25 mts  -  4 Fe= 3/8" - Estribos y ganchos Fe= 3/8 C/. 0,20 mts  </t>
  </si>
  <si>
    <t xml:space="preserve">ITEM 3,12 Construcción de Viga Amarre en concreto 3000 p.s.i. 0.10 X 0.25 mts  -  3 Fe= 3/8" - Estribos y ganchos Fe= 3/8 C/. 0,20 mts </t>
  </si>
  <si>
    <t>ITEM 3,13 Construcción  de Muro Estructural en Bloque No 6 relleno en concreto de 3000 p.s.i, incluye acero de 3/8" de refuerzo.</t>
  </si>
  <si>
    <t xml:space="preserve">ITEM 3,14 Construcción de Placa de Tanque elevado en concreto 3000 p.s.i.  espesor 10 cms, incluye acero: ambos sentidos de  1/2" cada 0,15 mts. </t>
  </si>
  <si>
    <t>ITEM 3,15 Construcción  de Plantilla para pisos esp. 0,10 mts en concreto 3000 p.s.i. - Fe=1/4" temperatura  Cada 0.40 mts ambos sentidos</t>
  </si>
  <si>
    <t>ITEM 3,16 - Construccion de placa de Anden  en concreto 3000 psi  (210kg/cm2) - espesor placa 10 cms, incluye refuerzo de 40000 p.s.i.</t>
  </si>
  <si>
    <t xml:space="preserve">ITEM 3,17 Construcción de Viga Culata en concreto 3000 p.s.i. 0.10 X 0.20 mts  -  2 Fe= 3/8" - Estribos y ganchos Fe= 3/8 C/. 0,15 mts </t>
  </si>
  <si>
    <t>ITEM 3,18 Construcción de Viga de Cimentacion en concreto de 3000 p.s.i, modulacion 0,15 mts x 0,25 mts, incluye acero: longitudinal 4 3/8" - Estnbos 3/8" cada 0,25 mts</t>
  </si>
  <si>
    <t>ITEM 3,19 Construcción de Viga Dintel en concreto de 3000 p.s.i, modulacion 0,10 mts x 0,15 mts, incluye acero: longitudinal 2 3/8" - Estnbos 3/8" cada 0,20 mts</t>
  </si>
  <si>
    <t>ITEM 3,20 Construcción de Sobre-cimentacion con Muro en Bloque No 6 relleno en concreto de 3000 p.s.i.</t>
  </si>
  <si>
    <t xml:space="preserve">ITEM 3,21 Construcción de Viga Canal en concreto 3000 p.s.i. espesor 10 cms, incluye acero: ambos sentidos de  1/2" cada 0,15 mts. </t>
  </si>
  <si>
    <t xml:space="preserve">3,4 Construcción  de Zapatas en concreto 3000 p.s.i. modulacion 0,60 mts x 0,60 mts x alto 0,25 mts, incluye acero: en ambos sentidos de  1/2" cada 0,18 mts </t>
  </si>
  <si>
    <t>ZAPATAS 02 - 0,6 X 0,6 MTS -      (OBRA)</t>
  </si>
  <si>
    <t xml:space="preserve">3,11 Construcción de Viga Amarre en concreto 3000 p.s.i. 0.25 X 0.25 mts  -  4 Fe= 3/8" - Estribos y ganchos Fe= 3/8 C/. 0,20 mts  </t>
  </si>
  <si>
    <t xml:space="preserve">VIGA AMARRE 01 - 0,25 X 0,25 MTS (OBRA) </t>
  </si>
  <si>
    <t>3.21</t>
  </si>
  <si>
    <t xml:space="preserve">3,14 Construcción de Placa de Tanque elevado en concreto 3000 p.s.i.  espesor 10 cms, incluye acero: ambos sentidos de  1/2" cada 0,15 mts. </t>
  </si>
  <si>
    <t>3,15 Construcción de Plantilla para pisos esp. 0,10 mts en concreto 3000 p.s.i. - Fe=1/4" temperatura  Cada 0.40 mts ambos sentidos</t>
  </si>
  <si>
    <t xml:space="preserve">3,17 Construcción de Viga Culata en concreto 3000 p.s.i. 0.10 X 0.20 mts  -  2 Fe= 3/8" - Estribos y ganchos Fe= 3/8 C/. 0,15 mts </t>
  </si>
  <si>
    <t>3,18 Construcción de Viga de Cimentacion en concreto de 3000 p.s.i, modulacion 0,15 mts x 0,25 mts, incluye acero: longitudinal 4 3/8" - Estnbos 3/8" cada 0,25 mts</t>
  </si>
  <si>
    <t>3,19 Construcción de Viga Dintel en concreto de 3000 p.s.i, modulacion 0,10 mts x 0,15 mts, incluye acero: longitudinal 2 3/8" - Estnbos 3/8" cada 0,20 mts</t>
  </si>
  <si>
    <t>3,20 Construcción de Sobre-cimentacion con Muro en Bloque No 6 relleno en concreto de 3000 p.s.i.</t>
  </si>
  <si>
    <t xml:space="preserve">3,21 Construcción de Viga Canal en concreto 3000 p.s.i. espesor 10 cms, incluye acero: ambos sentidos de  1/2" cada 0,15 mts. </t>
  </si>
  <si>
    <t>ITEM 3,5 Construcción  de Viga de Cimentacion en concreto de 3000 p.s.i, modulacion 0,30 mts x 0,30 mts, incluye acero: longitudinal 6 1/2" - Estnbos 3/8" cada 0,20 mts</t>
  </si>
  <si>
    <t>Construcción  de Viga de Cimentacion en concreto de 3000 p.s.i, modulacion 0,30 mts x 0,30 mts, incluye acero: longitudinal 6 1/2" - Estnbos 3/8" cada 0,20 mts</t>
  </si>
  <si>
    <t>CIMENTACION 01 - 0,30 X 0,30 MTS (OBRA)</t>
  </si>
  <si>
    <t>3,5 Construcción  de Viga de Cimentacion en concreto de 3000 p.s.i, modulacion 0,30 mts x 0,30 mts, incluye acero: longitudinal 6 1/2" - Estnbos 3/8" cada 0,20 mts</t>
  </si>
  <si>
    <t>ITEM 10,3 Suministro e instalación de puertas Exteriores en Aluminio TIPO 762</t>
  </si>
  <si>
    <t>10.13</t>
  </si>
  <si>
    <t>ITEM 10,12 Suministro e Instalacion de Reja de acceso Principal</t>
  </si>
  <si>
    <t>Suministro e Instalacion de Reja de acceso Principal</t>
  </si>
  <si>
    <t>AREA VIVENDA</t>
  </si>
  <si>
    <t xml:space="preserve">Presupuesto de Obra </t>
  </si>
  <si>
    <t xml:space="preserve">ADMINISTRACION </t>
  </si>
  <si>
    <t xml:space="preserve">IMPREVISTOS </t>
  </si>
  <si>
    <t xml:space="preserve">COSTO A.U.I.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</si>
</sst>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42" formatCode="_-&quot;$&quot;* #,##0_-;\-&quot;$&quot;* #,##0_-;_-&quot;$&quot;* &quot;-&quot;_-;_-@_-"/>
    <numFmt numFmtId="41" formatCode="_-* #,##0_-;\-* #,##0_-;_-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#,##0\ &quot;€&quot;;\-#,##0\ &quot;€&quot;"/>
    <numFmt numFmtId="167" formatCode="#,##0.00\ &quot;€&quot;;\-#,##0.00\ &quot;€&quot;"/>
    <numFmt numFmtId="168" formatCode="_ * #,##0.00_ ;_ * \-#,##0.00_ ;_ * &quot;-&quot;??_ ;_ @_ "/>
    <numFmt numFmtId="169" formatCode="_ &quot;$&quot;\ * #,##0.00_ ;_ &quot;$&quot;\ * \-#,##0.00_ ;_ &quot;$&quot;\ * &quot;-&quot;??_ ;_ @_ "/>
    <numFmt numFmtId="170" formatCode="#,##0.000"/>
    <numFmt numFmtId="171" formatCode="#,##0.0"/>
    <numFmt numFmtId="172" formatCode="&quot;$&quot;\ #,##0.00"/>
    <numFmt numFmtId="173" formatCode="_-* #,##0.00\ [$€]_-;\-* #,##0.00\ [$€]_-;_-* &quot;-&quot;??\ [$€]_-;_-@_-"/>
    <numFmt numFmtId="174" formatCode="_-[$$-240A]\ * #,##0.00_ ;_-[$$-240A]\ * \-#,##0.00\ ;_-[$$-240A]\ * &quot;-&quot;??_ ;_-@_ "/>
    <numFmt numFmtId="175" formatCode="_(&quot;$&quot;\ * #,##0.000000000000_);_(&quot;$&quot;\ * \(#,##0.000000000000\);_(&quot;$&quot;\ * &quot;-&quot;??_);_(@_)"/>
    <numFmt numFmtId="176" formatCode="_ * #,##0.00000000000000000_ ;_ * \-#,##0.00000000000000000_ ;_ * &quot;-&quot;??_ ;_ @_ "/>
    <numFmt numFmtId="177" formatCode="_([$$-240A]\ * #,##0.00_);_([$$-240A]\ * \(#,##0.00\);_([$$-240A]\ * &quot;-&quot;??_);_(@_)"/>
    <numFmt numFmtId="178" formatCode="_(&quot;$&quot;\ * #,##0.0_);_(&quot;$&quot;\ * \(#,##0.0\);_(&quot;$&quot;\ * &quot;-&quot;????????????_);_(@_)"/>
    <numFmt numFmtId="179" formatCode="_-[$$-240A]\ * #,##0.0000_ ;_-[$$-240A]\ * \-#,##0.0000\ ;_-[$$-240A]\ * &quot;-&quot;??_ ;_-@_ "/>
    <numFmt numFmtId="180" formatCode="_(* #,##0.000_);_(* \(#,##0.000\);_(* &quot;-&quot;??_);_(@_)"/>
    <numFmt numFmtId="181" formatCode="_ * #,##0.00000000000_ ;_ * \-#,##0.00000000000_ ;_ * &quot;-&quot;??_ ;_ @_ "/>
    <numFmt numFmtId="182" formatCode="&quot;$&quot;\ #,##0"/>
    <numFmt numFmtId="183" formatCode="_ * #,##0_ ;_ * \-#,##0_ ;_ * &quot;-&quot;??_ ;_ @_ "/>
    <numFmt numFmtId="184" formatCode="_-* #,##0_-;\-* #,##0_-;_-* &quot;-&quot;??_-;_-@_-"/>
    <numFmt numFmtId="185" formatCode="_-* #,##0.0_-;\-* #,##0.0_-;_-* &quot;-&quot;??_-;_-@_-"/>
    <numFmt numFmtId="186" formatCode="0.0"/>
    <numFmt numFmtId="187" formatCode="#,##0.0000"/>
    <numFmt numFmtId="188" formatCode="_ * #,##0.00000_ ;_ * \-#,##0.00000_ ;_ * &quot;-&quot;??_ ;_ @_ "/>
    <numFmt numFmtId="189" formatCode="_(* #,##0.00000_);_(* \(#,##0.00000\);_(* &quot;-&quot;?????_);_(@_)"/>
    <numFmt numFmtId="190" formatCode="_(&quot;$&quot;* #.##0.00_);_(&quot;$&quot;* \(#.##0.00\);_(&quot;$&quot;* &quot;-&quot;??_);_(@_)"/>
    <numFmt numFmtId="191" formatCode="_-&quot;$&quot;\ * #,##0_-;\-&quot;$&quot;\ * #,##0_-;_-&quot;$&quot;\ * &quot;-&quot;_-;_-@_-"/>
    <numFmt numFmtId="192" formatCode="_-&quot;$&quot;\ * #,##0.00_-;\-&quot;$&quot;\ * #,##0.00_-;_-&quot;$&quot;\ * &quot;-&quot;??_-;_-@_-"/>
    <numFmt numFmtId="193" formatCode="_(&quot;$&quot;* #,##0.00_);_(&quot;$&quot;* \(#,##0.00\);_(&quot;$&quot;* &quot;-&quot;??_);_(@_)"/>
    <numFmt numFmtId="194" formatCode="_-* #,##0.00\ &quot;€&quot;_-;\-* #,##0.00\ &quot;€&quot;_-;_-* &quot;-&quot;??\ &quot;€&quot;_-;_-@_-"/>
  </numFmts>
  <fonts count="8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name val="Arial Narrow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12"/>
      <color indexed="8"/>
      <name val="Arial Narrow"/>
      <family val="2"/>
    </font>
    <font>
      <b/>
      <sz val="14"/>
      <name val="Arial"/>
      <family val="2"/>
    </font>
    <font>
      <b/>
      <sz val="11"/>
      <name val="Arial"/>
      <family val="2"/>
    </font>
    <font>
      <sz val="12"/>
      <name val="Times New Roman"/>
      <family val="1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8"/>
      <name val="Candara"/>
      <family val="2"/>
    </font>
    <font>
      <b/>
      <sz val="12"/>
      <name val="Candara"/>
      <family val="2"/>
    </font>
    <font>
      <sz val="11"/>
      <color theme="1"/>
      <name val="Candara"/>
      <family val="2"/>
    </font>
    <font>
      <b/>
      <sz val="10"/>
      <name val="Candara"/>
      <family val="2"/>
    </font>
    <font>
      <sz val="8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b/>
      <sz val="9"/>
      <name val="Arial Narrow"/>
      <family val="2"/>
    </font>
    <font>
      <sz val="12"/>
      <name val="Arial Narrow"/>
      <family val="2"/>
    </font>
    <font>
      <b/>
      <sz val="10"/>
      <color theme="1"/>
      <name val="Arial Narrow"/>
      <family val="2"/>
    </font>
    <font>
      <sz val="11"/>
      <name val="Arial Narrow"/>
      <family val="2"/>
    </font>
    <font>
      <sz val="8"/>
      <color theme="1"/>
      <name val="Arial Narrow"/>
      <family val="2"/>
    </font>
    <font>
      <b/>
      <u/>
      <sz val="10"/>
      <color theme="1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sz val="11"/>
      <name val="Arial"/>
      <family val="2"/>
    </font>
    <font>
      <b/>
      <sz val="9"/>
      <color theme="1"/>
      <name val="Arial Narrow"/>
      <family val="2"/>
    </font>
    <font>
      <sz val="11"/>
      <name val="Candara"/>
      <family val="2"/>
    </font>
    <font>
      <b/>
      <u/>
      <sz val="9"/>
      <name val="Arial"/>
      <family val="2"/>
    </font>
    <font>
      <b/>
      <sz val="11"/>
      <name val="Candara"/>
      <family val="2"/>
    </font>
    <font>
      <b/>
      <sz val="8"/>
      <color theme="1"/>
      <name val="Arial Narrow"/>
      <family val="2"/>
    </font>
    <font>
      <b/>
      <sz val="11"/>
      <name val="Calibri"/>
      <family val="2"/>
    </font>
    <font>
      <b/>
      <sz val="9"/>
      <color rgb="FFC0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indexed="10"/>
      <name val="Arial Narrow"/>
      <family val="2"/>
    </font>
    <font>
      <b/>
      <sz val="14"/>
      <name val="Arial Narrow"/>
      <family val="2"/>
    </font>
    <font>
      <sz val="9"/>
      <color theme="1"/>
      <name val="Tahoma"/>
      <family val="2"/>
    </font>
    <font>
      <b/>
      <sz val="9"/>
      <color theme="1"/>
      <name val="Tahoma"/>
      <family val="2"/>
    </font>
    <font>
      <b/>
      <sz val="12"/>
      <color theme="1"/>
      <name val="Arial Narrow"/>
      <family val="2"/>
    </font>
    <font>
      <b/>
      <sz val="8"/>
      <color theme="1"/>
      <name val="Tahoma"/>
      <family val="2"/>
    </font>
    <font>
      <sz val="8"/>
      <color theme="1"/>
      <name val="Tahoma"/>
      <family val="2"/>
    </font>
    <font>
      <sz val="11"/>
      <color theme="1"/>
      <name val="Arial"/>
      <family val="2"/>
    </font>
    <font>
      <sz val="12"/>
      <name val="Arial"/>
      <family val="2"/>
    </font>
    <font>
      <sz val="48"/>
      <color theme="1"/>
      <name val="Arial"/>
      <family val="2"/>
    </font>
    <font>
      <sz val="11"/>
      <name val="Calibri"/>
      <family val="2"/>
    </font>
    <font>
      <sz val="9"/>
      <color theme="1"/>
      <name val="Arial Narrow"/>
      <family val="2"/>
    </font>
    <font>
      <b/>
      <sz val="11"/>
      <color indexed="8"/>
      <name val="Arial Narrow"/>
      <family val="2"/>
    </font>
    <font>
      <b/>
      <sz val="11"/>
      <color rgb="FFC00000"/>
      <name val="Arial"/>
      <family val="2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sz val="10"/>
      <color rgb="FF000000"/>
      <name val="Tahoma"/>
      <family val="2"/>
    </font>
    <font>
      <sz val="10"/>
      <color theme="1"/>
      <name val="Tahoma"/>
      <family val="2"/>
    </font>
    <font>
      <b/>
      <sz val="12"/>
      <name val="Arial"/>
      <family val="2"/>
    </font>
    <font>
      <b/>
      <sz val="8"/>
      <name val="Arial Narrow"/>
      <family val="2"/>
    </font>
    <font>
      <sz val="10"/>
      <color rgb="FFC00000"/>
      <name val="Arial"/>
      <family val="2"/>
    </font>
    <font>
      <b/>
      <sz val="16"/>
      <name val="Arial"/>
      <family val="2"/>
    </font>
    <font>
      <b/>
      <sz val="8"/>
      <color theme="1"/>
      <name val="Arial"/>
      <family val="2"/>
    </font>
    <font>
      <b/>
      <sz val="8"/>
      <color indexed="8"/>
      <name val="Arial Narrow"/>
      <family val="2"/>
    </font>
    <font>
      <b/>
      <sz val="10.5"/>
      <color theme="1"/>
      <name val="Arial Narrow"/>
      <family val="2"/>
    </font>
    <font>
      <b/>
      <sz val="9"/>
      <color theme="1"/>
      <name val="Arial"/>
      <family val="2"/>
    </font>
    <font>
      <b/>
      <sz val="10"/>
      <color rgb="FFC0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0E46E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168" fontId="5" fillId="0" borderId="0" applyFont="0" applyFill="0" applyBorder="0" applyAlignment="0" applyProtection="0"/>
    <xf numFmtId="0" fontId="9" fillId="0" borderId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70" fontId="5" fillId="0" borderId="0" applyFont="0" applyFill="0" applyBorder="0" applyAlignment="0" applyProtection="0"/>
    <xf numFmtId="168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0" fontId="5" fillId="0" borderId="0"/>
    <xf numFmtId="0" fontId="5" fillId="0" borderId="0"/>
    <xf numFmtId="0" fontId="2" fillId="0" borderId="0"/>
    <xf numFmtId="165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5" fillId="0" borderId="0">
      <alignment wrapText="1"/>
    </xf>
    <xf numFmtId="0" fontId="5" fillId="0" borderId="0"/>
    <xf numFmtId="0" fontId="1" fillId="0" borderId="0"/>
    <xf numFmtId="9" fontId="1" fillId="0" borderId="0" applyFont="0" applyFill="0" applyBorder="0" applyAlignment="0" applyProtection="0"/>
    <xf numFmtId="193" fontId="5" fillId="0" borderId="0">
      <alignment wrapText="1"/>
    </xf>
    <xf numFmtId="0" fontId="5" fillId="0" borderId="0">
      <alignment wrapText="1"/>
    </xf>
    <xf numFmtId="0" fontId="1" fillId="0" borderId="0"/>
    <xf numFmtId="0" fontId="1" fillId="0" borderId="0"/>
    <xf numFmtId="0" fontId="5" fillId="0" borderId="0"/>
    <xf numFmtId="19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1218">
    <xf numFmtId="0" fontId="0" fillId="0" borderId="0" xfId="0"/>
    <xf numFmtId="0" fontId="13" fillId="0" borderId="0" xfId="0" applyFont="1"/>
    <xf numFmtId="171" fontId="13" fillId="0" borderId="4" xfId="0" applyNumberFormat="1" applyFont="1" applyBorder="1" applyAlignment="1">
      <alignment horizontal="center"/>
    </xf>
    <xf numFmtId="3" fontId="13" fillId="0" borderId="4" xfId="0" applyNumberFormat="1" applyFont="1" applyBorder="1" applyAlignment="1">
      <alignment horizontal="center"/>
    </xf>
    <xf numFmtId="0" fontId="13" fillId="0" borderId="6" xfId="0" applyFont="1" applyBorder="1"/>
    <xf numFmtId="3" fontId="13" fillId="0" borderId="16" xfId="0" applyNumberFormat="1" applyFont="1" applyBorder="1" applyAlignment="1">
      <alignment horizontal="center"/>
    </xf>
    <xf numFmtId="0" fontId="13" fillId="0" borderId="15" xfId="0" applyFont="1" applyBorder="1"/>
    <xf numFmtId="0" fontId="10" fillId="0" borderId="0" xfId="0" applyFont="1"/>
    <xf numFmtId="168" fontId="10" fillId="0" borderId="4" xfId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4" xfId="0" applyFont="1" applyBorder="1" applyAlignment="1">
      <alignment horizontal="center" vertical="center" wrapText="1"/>
    </xf>
    <xf numFmtId="0" fontId="5" fillId="0" borderId="0" xfId="0" applyFont="1"/>
    <xf numFmtId="0" fontId="8" fillId="0" borderId="0" xfId="0" applyFont="1"/>
    <xf numFmtId="168" fontId="0" fillId="0" borderId="0" xfId="1" applyFont="1" applyFill="1"/>
    <xf numFmtId="168" fontId="0" fillId="0" borderId="0" xfId="1" applyFont="1"/>
    <xf numFmtId="0" fontId="14" fillId="0" borderId="0" xfId="0" applyFont="1" applyAlignment="1">
      <alignment horizontal="centerContinuous"/>
    </xf>
    <xf numFmtId="0" fontId="13" fillId="0" borderId="0" xfId="0" applyFont="1" applyAlignment="1">
      <alignment horizontal="centerContinuous"/>
    </xf>
    <xf numFmtId="0" fontId="8" fillId="0" borderId="13" xfId="0" applyFont="1" applyBorder="1" applyAlignment="1">
      <alignment horizontal="center" vertical="center"/>
    </xf>
    <xf numFmtId="0" fontId="14" fillId="0" borderId="0" xfId="0" applyFont="1"/>
    <xf numFmtId="0" fontId="13" fillId="0" borderId="33" xfId="0" quotePrefix="1" applyFont="1" applyBorder="1" applyAlignment="1">
      <alignment horizontal="center"/>
    </xf>
    <xf numFmtId="4" fontId="13" fillId="0" borderId="4" xfId="0" applyNumberFormat="1" applyFont="1" applyBorder="1"/>
    <xf numFmtId="3" fontId="13" fillId="0" borderId="12" xfId="0" applyNumberFormat="1" applyFont="1" applyBorder="1" applyAlignment="1">
      <alignment horizontal="center"/>
    </xf>
    <xf numFmtId="3" fontId="13" fillId="0" borderId="12" xfId="0" applyNumberFormat="1" applyFont="1" applyBorder="1"/>
    <xf numFmtId="4" fontId="13" fillId="0" borderId="12" xfId="0" applyNumberFormat="1" applyFont="1" applyBorder="1"/>
    <xf numFmtId="0" fontId="13" fillId="0" borderId="7" xfId="0" applyFont="1" applyBorder="1"/>
    <xf numFmtId="0" fontId="13" fillId="0" borderId="17" xfId="0" applyFont="1" applyBorder="1"/>
    <xf numFmtId="0" fontId="13" fillId="0" borderId="20" xfId="0" applyFont="1" applyBorder="1"/>
    <xf numFmtId="0" fontId="13" fillId="0" borderId="43" xfId="0" applyFont="1" applyBorder="1"/>
    <xf numFmtId="0" fontId="8" fillId="0" borderId="20" xfId="0" applyFont="1" applyBorder="1"/>
    <xf numFmtId="0" fontId="13" fillId="0" borderId="34" xfId="0" applyFont="1" applyBorder="1"/>
    <xf numFmtId="0" fontId="13" fillId="0" borderId="29" xfId="0" applyFont="1" applyBorder="1"/>
    <xf numFmtId="0" fontId="13" fillId="0" borderId="2" xfId="0" applyFont="1" applyBorder="1" applyAlignment="1">
      <alignment horizontal="center"/>
    </xf>
    <xf numFmtId="172" fontId="13" fillId="0" borderId="4" xfId="4" applyNumberFormat="1" applyFont="1" applyFill="1" applyBorder="1"/>
    <xf numFmtId="0" fontId="13" fillId="0" borderId="36" xfId="0" applyFont="1" applyBorder="1"/>
    <xf numFmtId="0" fontId="13" fillId="0" borderId="37" xfId="0" applyFont="1" applyBorder="1"/>
    <xf numFmtId="0" fontId="8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168" fontId="14" fillId="0" borderId="0" xfId="0" applyNumberFormat="1" applyFont="1"/>
    <xf numFmtId="0" fontId="8" fillId="0" borderId="0" xfId="0" applyFont="1" applyAlignment="1">
      <alignment horizontal="left"/>
    </xf>
    <xf numFmtId="168" fontId="8" fillId="0" borderId="0" xfId="0" applyNumberFormat="1" applyFont="1"/>
    <xf numFmtId="168" fontId="0" fillId="0" borderId="0" xfId="0" applyNumberFormat="1"/>
    <xf numFmtId="0" fontId="13" fillId="0" borderId="41" xfId="0" applyFont="1" applyBorder="1"/>
    <xf numFmtId="0" fontId="13" fillId="0" borderId="42" xfId="0" applyFont="1" applyBorder="1"/>
    <xf numFmtId="3" fontId="13" fillId="0" borderId="4" xfId="0" applyNumberFormat="1" applyFont="1" applyBorder="1"/>
    <xf numFmtId="3" fontId="13" fillId="0" borderId="16" xfId="0" applyNumberFormat="1" applyFont="1" applyBorder="1"/>
    <xf numFmtId="4" fontId="13" fillId="0" borderId="40" xfId="0" applyNumberFormat="1" applyFont="1" applyBorder="1"/>
    <xf numFmtId="0" fontId="13" fillId="0" borderId="18" xfId="0" applyFont="1" applyBorder="1"/>
    <xf numFmtId="4" fontId="13" fillId="0" borderId="19" xfId="0" applyNumberFormat="1" applyFont="1" applyBorder="1"/>
    <xf numFmtId="170" fontId="13" fillId="0" borderId="4" xfId="0" applyNumberFormat="1" applyFont="1" applyBorder="1"/>
    <xf numFmtId="0" fontId="13" fillId="0" borderId="31" xfId="0" applyFont="1" applyBorder="1"/>
    <xf numFmtId="0" fontId="13" fillId="0" borderId="33" xfId="0" applyFont="1" applyBorder="1"/>
    <xf numFmtId="0" fontId="13" fillId="0" borderId="4" xfId="0" applyFont="1" applyBorder="1" applyAlignment="1">
      <alignment horizontal="center"/>
    </xf>
    <xf numFmtId="0" fontId="13" fillId="0" borderId="38" xfId="0" applyFont="1" applyBorder="1"/>
    <xf numFmtId="4" fontId="13" fillId="0" borderId="10" xfId="0" applyNumberFormat="1" applyFont="1" applyBorder="1"/>
    <xf numFmtId="4" fontId="13" fillId="0" borderId="14" xfId="0" applyNumberFormat="1" applyFont="1" applyBorder="1"/>
    <xf numFmtId="4" fontId="8" fillId="0" borderId="0" xfId="0" applyNumberFormat="1" applyFont="1"/>
    <xf numFmtId="4" fontId="13" fillId="0" borderId="4" xfId="0" applyNumberFormat="1" applyFont="1" applyBorder="1" applyAlignment="1">
      <alignment horizontal="right"/>
    </xf>
    <xf numFmtId="0" fontId="13" fillId="0" borderId="44" xfId="0" applyFont="1" applyBorder="1" applyAlignment="1">
      <alignment horizontal="center"/>
    </xf>
    <xf numFmtId="4" fontId="13" fillId="0" borderId="4" xfId="0" applyNumberFormat="1" applyFont="1" applyBorder="1" applyAlignment="1">
      <alignment horizontal="center"/>
    </xf>
    <xf numFmtId="0" fontId="13" fillId="0" borderId="0" xfId="0" applyFont="1" applyAlignment="1">
      <alignment horizontal="center"/>
    </xf>
    <xf numFmtId="169" fontId="8" fillId="0" borderId="0" xfId="5" applyNumberFormat="1" applyFont="1" applyFill="1" applyBorder="1"/>
    <xf numFmtId="0" fontId="8" fillId="0" borderId="0" xfId="0" applyFont="1" applyAlignment="1">
      <alignment wrapText="1"/>
    </xf>
    <xf numFmtId="0" fontId="8" fillId="0" borderId="11" xfId="0" applyFont="1" applyBorder="1" applyAlignment="1">
      <alignment horizontal="center" vertical="center"/>
    </xf>
    <xf numFmtId="4" fontId="13" fillId="0" borderId="16" xfId="0" applyNumberFormat="1" applyFont="1" applyBorder="1"/>
    <xf numFmtId="0" fontId="13" fillId="0" borderId="35" xfId="0" applyFont="1" applyBorder="1"/>
    <xf numFmtId="0" fontId="13" fillId="0" borderId="16" xfId="0" applyFont="1" applyBorder="1" applyAlignment="1">
      <alignment horizontal="center"/>
    </xf>
    <xf numFmtId="171" fontId="13" fillId="0" borderId="16" xfId="0" applyNumberFormat="1" applyFont="1" applyBorder="1" applyAlignment="1">
      <alignment horizontal="center"/>
    </xf>
    <xf numFmtId="4" fontId="13" fillId="0" borderId="39" xfId="0" applyNumberFormat="1" applyFont="1" applyBorder="1" applyAlignment="1">
      <alignment horizontal="center"/>
    </xf>
    <xf numFmtId="168" fontId="10" fillId="0" borderId="4" xfId="1" applyFont="1" applyFill="1" applyBorder="1" applyAlignment="1">
      <alignment horizontal="center"/>
    </xf>
    <xf numFmtId="168" fontId="0" fillId="0" borderId="0" xfId="1" applyFont="1" applyBorder="1"/>
    <xf numFmtId="4" fontId="13" fillId="2" borderId="12" xfId="0" applyNumberFormat="1" applyFont="1" applyFill="1" applyBorder="1"/>
    <xf numFmtId="4" fontId="13" fillId="2" borderId="16" xfId="0" applyNumberFormat="1" applyFont="1" applyFill="1" applyBorder="1"/>
    <xf numFmtId="3" fontId="13" fillId="2" borderId="4" xfId="0" applyNumberFormat="1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4" fontId="13" fillId="2" borderId="4" xfId="0" applyNumberFormat="1" applyFont="1" applyFill="1" applyBorder="1"/>
    <xf numFmtId="0" fontId="13" fillId="2" borderId="6" xfId="0" applyFont="1" applyFill="1" applyBorder="1"/>
    <xf numFmtId="0" fontId="13" fillId="2" borderId="7" xfId="0" applyFont="1" applyFill="1" applyBorder="1"/>
    <xf numFmtId="0" fontId="21" fillId="0" borderId="0" xfId="0" applyFont="1" applyAlignment="1">
      <alignment horizontal="center" vertical="center"/>
    </xf>
    <xf numFmtId="0" fontId="23" fillId="0" borderId="0" xfId="0" applyFont="1"/>
    <xf numFmtId="0" fontId="23" fillId="0" borderId="0" xfId="0" applyFont="1" applyAlignment="1">
      <alignment horizontal="center"/>
    </xf>
    <xf numFmtId="175" fontId="0" fillId="0" borderId="0" xfId="0" applyNumberFormat="1"/>
    <xf numFmtId="0" fontId="13" fillId="0" borderId="32" xfId="0" applyFont="1" applyBorder="1"/>
    <xf numFmtId="4" fontId="13" fillId="0" borderId="13" xfId="0" applyNumberFormat="1" applyFont="1" applyBorder="1"/>
    <xf numFmtId="9" fontId="13" fillId="0" borderId="4" xfId="9" applyFont="1" applyFill="1" applyBorder="1" applyAlignment="1">
      <alignment horizontal="center"/>
    </xf>
    <xf numFmtId="0" fontId="24" fillId="0" borderId="0" xfId="0" applyFont="1"/>
    <xf numFmtId="0" fontId="26" fillId="0" borderId="0" xfId="0" applyFont="1"/>
    <xf numFmtId="0" fontId="27" fillId="0" borderId="0" xfId="0" applyFont="1" applyAlignment="1">
      <alignment wrapText="1"/>
    </xf>
    <xf numFmtId="0" fontId="8" fillId="0" borderId="0" xfId="0" applyFont="1" applyAlignment="1">
      <alignment horizontal="center" vertical="center"/>
    </xf>
    <xf numFmtId="168" fontId="13" fillId="0" borderId="4" xfId="6" applyNumberFormat="1" applyFont="1" applyBorder="1"/>
    <xf numFmtId="0" fontId="28" fillId="0" borderId="42" xfId="0" applyFont="1" applyBorder="1"/>
    <xf numFmtId="176" fontId="0" fillId="0" borderId="0" xfId="0" applyNumberFormat="1"/>
    <xf numFmtId="0" fontId="11" fillId="0" borderId="4" xfId="0" applyFont="1" applyBorder="1" applyAlignment="1">
      <alignment vertical="center" wrapText="1"/>
    </xf>
    <xf numFmtId="0" fontId="13" fillId="0" borderId="2" xfId="0" applyFont="1" applyBorder="1"/>
    <xf numFmtId="0" fontId="13" fillId="0" borderId="12" xfId="0" applyFont="1" applyBorder="1"/>
    <xf numFmtId="171" fontId="13" fillId="0" borderId="12" xfId="0" applyNumberFormat="1" applyFont="1" applyBorder="1"/>
    <xf numFmtId="170" fontId="13" fillId="2" borderId="16" xfId="0" applyNumberFormat="1" applyFont="1" applyFill="1" applyBorder="1"/>
    <xf numFmtId="177" fontId="0" fillId="0" borderId="0" xfId="0" applyNumberFormat="1"/>
    <xf numFmtId="0" fontId="22" fillId="0" borderId="0" xfId="0" applyFont="1"/>
    <xf numFmtId="178" fontId="23" fillId="0" borderId="0" xfId="0" applyNumberFormat="1" applyFont="1"/>
    <xf numFmtId="179" fontId="22" fillId="0" borderId="0" xfId="0" applyNumberFormat="1" applyFont="1" applyAlignment="1">
      <alignment vertical="center"/>
    </xf>
    <xf numFmtId="3" fontId="13" fillId="2" borderId="12" xfId="0" applyNumberFormat="1" applyFont="1" applyFill="1" applyBorder="1"/>
    <xf numFmtId="164" fontId="0" fillId="0" borderId="0" xfId="0" applyNumberFormat="1"/>
    <xf numFmtId="0" fontId="13" fillId="0" borderId="26" xfId="0" applyFont="1" applyBorder="1"/>
    <xf numFmtId="0" fontId="13" fillId="0" borderId="12" xfId="0" applyFont="1" applyBorder="1" applyAlignment="1">
      <alignment horizontal="center"/>
    </xf>
    <xf numFmtId="171" fontId="13" fillId="0" borderId="12" xfId="0" applyNumberFormat="1" applyFont="1" applyBorder="1" applyAlignment="1">
      <alignment horizontal="center"/>
    </xf>
    <xf numFmtId="4" fontId="13" fillId="0" borderId="18" xfId="0" applyNumberFormat="1" applyFont="1" applyBorder="1"/>
    <xf numFmtId="172" fontId="13" fillId="0" borderId="12" xfId="4" applyNumberFormat="1" applyFont="1" applyFill="1" applyBorder="1"/>
    <xf numFmtId="0" fontId="13" fillId="0" borderId="22" xfId="0" applyFont="1" applyBorder="1"/>
    <xf numFmtId="0" fontId="13" fillId="0" borderId="21" xfId="0" applyFont="1" applyBorder="1"/>
    <xf numFmtId="9" fontId="13" fillId="0" borderId="12" xfId="9" applyFont="1" applyFill="1" applyBorder="1" applyAlignment="1">
      <alignment horizontal="center"/>
    </xf>
    <xf numFmtId="0" fontId="10" fillId="0" borderId="4" xfId="0" applyFont="1" applyBorder="1" applyAlignment="1">
      <alignment vertical="center"/>
    </xf>
    <xf numFmtId="0" fontId="0" fillId="0" borderId="0" xfId="0" applyAlignment="1">
      <alignment vertical="center"/>
    </xf>
    <xf numFmtId="174" fontId="22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21" fillId="0" borderId="0" xfId="0" applyFont="1"/>
    <xf numFmtId="0" fontId="21" fillId="0" borderId="0" xfId="12" applyFont="1"/>
    <xf numFmtId="0" fontId="38" fillId="0" borderId="0" xfId="12" applyFont="1"/>
    <xf numFmtId="0" fontId="21" fillId="0" borderId="45" xfId="12" applyFont="1" applyBorder="1"/>
    <xf numFmtId="0" fontId="36" fillId="3" borderId="39" xfId="12" applyFont="1" applyFill="1" applyBorder="1" applyAlignment="1">
      <alignment vertical="center" wrapText="1"/>
    </xf>
    <xf numFmtId="0" fontId="36" fillId="3" borderId="27" xfId="12" applyFont="1" applyFill="1" applyBorder="1" applyAlignment="1">
      <alignment vertical="center" wrapText="1"/>
    </xf>
    <xf numFmtId="0" fontId="36" fillId="3" borderId="35" xfId="12" applyFont="1" applyFill="1" applyBorder="1" applyAlignment="1">
      <alignment vertical="center" wrapText="1"/>
    </xf>
    <xf numFmtId="0" fontId="21" fillId="0" borderId="0" xfId="12" applyFont="1" applyAlignment="1">
      <alignment vertical="center"/>
    </xf>
    <xf numFmtId="0" fontId="36" fillId="3" borderId="46" xfId="12" applyFont="1" applyFill="1" applyBorder="1" applyAlignment="1">
      <alignment vertical="center" wrapText="1"/>
    </xf>
    <xf numFmtId="0" fontId="36" fillId="3" borderId="0" xfId="12" applyFont="1" applyFill="1" applyAlignment="1">
      <alignment vertical="center" wrapText="1"/>
    </xf>
    <xf numFmtId="0" fontId="36" fillId="3" borderId="45" xfId="12" applyFont="1" applyFill="1" applyBorder="1" applyAlignment="1">
      <alignment vertical="center" wrapText="1"/>
    </xf>
    <xf numFmtId="0" fontId="21" fillId="0" borderId="0" xfId="12" applyFont="1" applyAlignment="1">
      <alignment horizontal="center" vertical="center"/>
    </xf>
    <xf numFmtId="14" fontId="23" fillId="0" borderId="4" xfId="12" applyNumberFormat="1" applyFont="1" applyBorder="1" applyAlignment="1">
      <alignment horizontal="center" vertical="center"/>
    </xf>
    <xf numFmtId="165" fontId="22" fillId="0" borderId="4" xfId="1" applyNumberFormat="1" applyFont="1" applyBorder="1" applyAlignment="1">
      <alignment horizontal="center" vertical="center"/>
    </xf>
    <xf numFmtId="0" fontId="22" fillId="0" borderId="4" xfId="12" applyFont="1" applyBorder="1" applyAlignment="1">
      <alignment horizontal="center" vertical="center"/>
    </xf>
    <xf numFmtId="0" fontId="36" fillId="3" borderId="47" xfId="12" applyFont="1" applyFill="1" applyBorder="1" applyAlignment="1">
      <alignment vertical="center" wrapText="1"/>
    </xf>
    <xf numFmtId="0" fontId="36" fillId="3" borderId="29" xfId="12" applyFont="1" applyFill="1" applyBorder="1" applyAlignment="1">
      <alignment vertical="center" wrapText="1"/>
    </xf>
    <xf numFmtId="0" fontId="36" fillId="3" borderId="48" xfId="12" applyFont="1" applyFill="1" applyBorder="1" applyAlignment="1">
      <alignment vertical="center" wrapText="1"/>
    </xf>
    <xf numFmtId="0" fontId="36" fillId="0" borderId="0" xfId="13" applyFont="1"/>
    <xf numFmtId="0" fontId="21" fillId="0" borderId="0" xfId="13" applyFont="1"/>
    <xf numFmtId="168" fontId="31" fillId="0" borderId="0" xfId="7" applyFont="1" applyFill="1" applyBorder="1"/>
    <xf numFmtId="0" fontId="31" fillId="0" borderId="0" xfId="14" applyFont="1"/>
    <xf numFmtId="0" fontId="39" fillId="0" borderId="0" xfId="13" applyFont="1" applyAlignment="1">
      <alignment horizontal="left" vertical="center"/>
    </xf>
    <xf numFmtId="0" fontId="36" fillId="0" borderId="0" xfId="13" applyFont="1" applyAlignment="1">
      <alignment wrapText="1"/>
    </xf>
    <xf numFmtId="165" fontId="22" fillId="0" borderId="4" xfId="1" applyNumberFormat="1" applyFont="1" applyFill="1" applyBorder="1" applyAlignment="1">
      <alignment horizontal="center" vertical="center"/>
    </xf>
    <xf numFmtId="180" fontId="22" fillId="0" borderId="4" xfId="1" applyNumberFormat="1" applyFont="1" applyBorder="1" applyAlignment="1">
      <alignment horizontal="center" vertical="center"/>
    </xf>
    <xf numFmtId="0" fontId="21" fillId="4" borderId="0" xfId="12" applyFont="1" applyFill="1"/>
    <xf numFmtId="0" fontId="8" fillId="0" borderId="51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14" fontId="21" fillId="0" borderId="4" xfId="12" applyNumberFormat="1" applyFont="1" applyBorder="1" applyAlignment="1">
      <alignment horizontal="center" vertical="center"/>
    </xf>
    <xf numFmtId="0" fontId="21" fillId="0" borderId="15" xfId="12" applyFont="1" applyBorder="1" applyAlignment="1">
      <alignment horizontal="center" vertical="center" wrapText="1"/>
    </xf>
    <xf numFmtId="0" fontId="40" fillId="0" borderId="0" xfId="0" applyFont="1"/>
    <xf numFmtId="0" fontId="40" fillId="0" borderId="0" xfId="0" applyFont="1" applyAlignment="1">
      <alignment horizontal="center"/>
    </xf>
    <xf numFmtId="0" fontId="41" fillId="0" borderId="0" xfId="0" applyFont="1"/>
    <xf numFmtId="0" fontId="41" fillId="0" borderId="0" xfId="0" applyFont="1" applyAlignment="1">
      <alignment horizontal="center"/>
    </xf>
    <xf numFmtId="0" fontId="41" fillId="0" borderId="0" xfId="12" applyFont="1"/>
    <xf numFmtId="0" fontId="8" fillId="0" borderId="0" xfId="0" applyFont="1" applyAlignment="1">
      <alignment horizontal="center"/>
    </xf>
    <xf numFmtId="0" fontId="37" fillId="0" borderId="0" xfId="0" applyFont="1"/>
    <xf numFmtId="168" fontId="42" fillId="0" borderId="0" xfId="15" applyFont="1"/>
    <xf numFmtId="0" fontId="42" fillId="0" borderId="0" xfId="0" applyFont="1" applyAlignment="1">
      <alignment horizontal="right" vertical="center"/>
    </xf>
    <xf numFmtId="0" fontId="42" fillId="0" borderId="0" xfId="0" applyFont="1"/>
    <xf numFmtId="0" fontId="33" fillId="0" borderId="0" xfId="0" applyFont="1"/>
    <xf numFmtId="9" fontId="13" fillId="0" borderId="0" xfId="0" applyNumberFormat="1" applyFont="1"/>
    <xf numFmtId="169" fontId="13" fillId="0" borderId="16" xfId="16" applyNumberFormat="1" applyFont="1" applyFill="1" applyBorder="1"/>
    <xf numFmtId="169" fontId="13" fillId="0" borderId="19" xfId="16" applyNumberFormat="1" applyFont="1" applyFill="1" applyBorder="1"/>
    <xf numFmtId="169" fontId="13" fillId="0" borderId="4" xfId="16" applyNumberFormat="1" applyFont="1" applyFill="1" applyBorder="1"/>
    <xf numFmtId="169" fontId="13" fillId="0" borderId="14" xfId="16" applyNumberFormat="1" applyFont="1" applyFill="1" applyBorder="1"/>
    <xf numFmtId="169" fontId="13" fillId="2" borderId="4" xfId="16" applyNumberFormat="1" applyFont="1" applyFill="1" applyBorder="1"/>
    <xf numFmtId="169" fontId="13" fillId="0" borderId="12" xfId="16" applyNumberFormat="1" applyFont="1" applyFill="1" applyBorder="1"/>
    <xf numFmtId="9" fontId="13" fillId="0" borderId="4" xfId="17" applyFont="1" applyFill="1" applyBorder="1" applyAlignment="1">
      <alignment horizontal="center"/>
    </xf>
    <xf numFmtId="169" fontId="13" fillId="0" borderId="10" xfId="16" applyNumberFormat="1" applyFont="1" applyFill="1" applyBorder="1"/>
    <xf numFmtId="169" fontId="19" fillId="10" borderId="19" xfId="16" applyNumberFormat="1" applyFont="1" applyFill="1" applyBorder="1"/>
    <xf numFmtId="169" fontId="8" fillId="0" borderId="0" xfId="16" applyNumberFormat="1" applyFont="1" applyFill="1" applyBorder="1"/>
    <xf numFmtId="169" fontId="13" fillId="0" borderId="0" xfId="16" applyNumberFormat="1" applyFont="1" applyFill="1" applyBorder="1"/>
    <xf numFmtId="169" fontId="13" fillId="0" borderId="0" xfId="16" applyNumberFormat="1" applyFont="1" applyFill="1" applyBorder="1" applyAlignment="1">
      <alignment horizontal="center"/>
    </xf>
    <xf numFmtId="169" fontId="0" fillId="0" borderId="0" xfId="0" applyNumberFormat="1"/>
    <xf numFmtId="168" fontId="0" fillId="0" borderId="0" xfId="1" applyFont="1" applyFill="1" applyBorder="1"/>
    <xf numFmtId="0" fontId="10" fillId="0" borderId="5" xfId="0" applyFont="1" applyBorder="1" applyAlignment="1">
      <alignment horizontal="center"/>
    </xf>
    <xf numFmtId="169" fontId="13" fillId="0" borderId="18" xfId="16" applyNumberFormat="1" applyFont="1" applyFill="1" applyBorder="1"/>
    <xf numFmtId="0" fontId="39" fillId="0" borderId="0" xfId="13" applyFont="1" applyAlignment="1">
      <alignment horizontal="left"/>
    </xf>
    <xf numFmtId="165" fontId="0" fillId="0" borderId="0" xfId="0" applyNumberFormat="1"/>
    <xf numFmtId="169" fontId="13" fillId="0" borderId="4" xfId="16" applyNumberFormat="1" applyFont="1" applyBorder="1"/>
    <xf numFmtId="169" fontId="13" fillId="0" borderId="14" xfId="16" applyNumberFormat="1" applyFont="1" applyBorder="1"/>
    <xf numFmtId="170" fontId="13" fillId="0" borderId="16" xfId="0" applyNumberFormat="1" applyFont="1" applyBorder="1"/>
    <xf numFmtId="169" fontId="13" fillId="0" borderId="39" xfId="16" applyNumberFormat="1" applyFont="1" applyBorder="1"/>
    <xf numFmtId="169" fontId="13" fillId="0" borderId="12" xfId="16" applyNumberFormat="1" applyFont="1" applyBorder="1"/>
    <xf numFmtId="169" fontId="13" fillId="0" borderId="40" xfId="16" applyNumberFormat="1" applyFont="1" applyBorder="1"/>
    <xf numFmtId="169" fontId="13" fillId="0" borderId="39" xfId="16" applyNumberFormat="1" applyFont="1" applyFill="1" applyBorder="1"/>
    <xf numFmtId="169" fontId="5" fillId="0" borderId="0" xfId="16" applyNumberFormat="1" applyFont="1" applyFill="1" applyAlignment="1">
      <alignment horizontal="centerContinuous"/>
    </xf>
    <xf numFmtId="164" fontId="13" fillId="0" borderId="4" xfId="16" applyFont="1" applyBorder="1"/>
    <xf numFmtId="0" fontId="8" fillId="0" borderId="11" xfId="0" applyFont="1" applyBorder="1"/>
    <xf numFmtId="4" fontId="13" fillId="0" borderId="39" xfId="0" applyNumberFormat="1" applyFont="1" applyBorder="1"/>
    <xf numFmtId="169" fontId="13" fillId="0" borderId="42" xfId="16" applyNumberFormat="1" applyFont="1" applyFill="1" applyBorder="1"/>
    <xf numFmtId="169" fontId="19" fillId="0" borderId="0" xfId="16" applyNumberFormat="1" applyFont="1" applyFill="1" applyBorder="1" applyAlignment="1">
      <alignment horizontal="center" vertical="center"/>
    </xf>
    <xf numFmtId="169" fontId="14" fillId="0" borderId="0" xfId="16" applyNumberFormat="1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6" fillId="0" borderId="0" xfId="0" applyFont="1" applyAlignment="1" applyProtection="1">
      <alignment horizontal="left" vertical="center" wrapText="1"/>
      <protection locked="0"/>
    </xf>
    <xf numFmtId="0" fontId="15" fillId="0" borderId="0" xfId="0" applyFont="1" applyAlignment="1">
      <alignment horizontal="left" wrapText="1"/>
    </xf>
    <xf numFmtId="168" fontId="10" fillId="0" borderId="0" xfId="1" applyFont="1" applyFill="1" applyBorder="1"/>
    <xf numFmtId="168" fontId="15" fillId="0" borderId="0" xfId="1" applyFont="1" applyFill="1" applyBorder="1"/>
    <xf numFmtId="0" fontId="45" fillId="0" borderId="0" xfId="0" applyFont="1" applyAlignment="1">
      <alignment horizontal="left" wrapText="1"/>
    </xf>
    <xf numFmtId="0" fontId="15" fillId="0" borderId="0" xfId="0" applyFont="1" applyAlignment="1">
      <alignment horizontal="center"/>
    </xf>
    <xf numFmtId="0" fontId="35" fillId="0" borderId="0" xfId="0" applyFont="1" applyAlignment="1">
      <alignment vertical="center"/>
    </xf>
    <xf numFmtId="174" fontId="21" fillId="0" borderId="0" xfId="0" applyNumberFormat="1" applyFont="1" applyAlignment="1">
      <alignment vertical="center"/>
    </xf>
    <xf numFmtId="0" fontId="13" fillId="0" borderId="32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9" fontId="13" fillId="0" borderId="12" xfId="17" applyFont="1" applyFill="1" applyBorder="1" applyAlignment="1">
      <alignment horizontal="center"/>
    </xf>
    <xf numFmtId="169" fontId="13" fillId="0" borderId="13" xfId="16" applyNumberFormat="1" applyFont="1" applyFill="1" applyBorder="1"/>
    <xf numFmtId="4" fontId="13" fillId="0" borderId="12" xfId="0" applyNumberFormat="1" applyFont="1" applyBorder="1" applyAlignment="1">
      <alignment horizontal="center"/>
    </xf>
    <xf numFmtId="164" fontId="13" fillId="0" borderId="4" xfId="16" applyFont="1" applyBorder="1" applyAlignment="1">
      <alignment horizontal="center" vertical="center"/>
    </xf>
    <xf numFmtId="168" fontId="13" fillId="0" borderId="4" xfId="1" applyFont="1" applyBorder="1" applyAlignment="1">
      <alignment horizontal="center" vertical="center"/>
    </xf>
    <xf numFmtId="0" fontId="36" fillId="0" borderId="0" xfId="0" applyFont="1"/>
    <xf numFmtId="0" fontId="36" fillId="3" borderId="4" xfId="12" applyFont="1" applyFill="1" applyBorder="1" applyAlignment="1">
      <alignment horizontal="center" vertical="center"/>
    </xf>
    <xf numFmtId="0" fontId="36" fillId="3" borderId="16" xfId="12" applyFont="1" applyFill="1" applyBorder="1" applyAlignment="1">
      <alignment horizontal="center" vertical="center"/>
    </xf>
    <xf numFmtId="0" fontId="36" fillId="3" borderId="14" xfId="12" applyFont="1" applyFill="1" applyBorder="1" applyAlignment="1">
      <alignment horizontal="center" vertical="center"/>
    </xf>
    <xf numFmtId="165" fontId="22" fillId="0" borderId="4" xfId="1" applyNumberFormat="1" applyFont="1" applyBorder="1" applyAlignment="1">
      <alignment vertical="center"/>
    </xf>
    <xf numFmtId="0" fontId="36" fillId="3" borderId="16" xfId="12" applyFont="1" applyFill="1" applyBorder="1" applyAlignment="1">
      <alignment horizontal="center" vertical="center" wrapText="1"/>
    </xf>
    <xf numFmtId="165" fontId="21" fillId="0" borderId="0" xfId="12" applyNumberFormat="1" applyFont="1"/>
    <xf numFmtId="169" fontId="13" fillId="0" borderId="41" xfId="16" applyNumberFormat="1" applyFont="1" applyFill="1" applyBorder="1"/>
    <xf numFmtId="169" fontId="13" fillId="0" borderId="40" xfId="16" applyNumberFormat="1" applyFont="1" applyFill="1" applyBorder="1"/>
    <xf numFmtId="169" fontId="14" fillId="0" borderId="0" xfId="16" applyNumberFormat="1" applyFont="1" applyFill="1" applyAlignment="1">
      <alignment horizontal="center"/>
    </xf>
    <xf numFmtId="169" fontId="13" fillId="0" borderId="0" xfId="16" applyNumberFormat="1" applyFont="1" applyFill="1"/>
    <xf numFmtId="169" fontId="13" fillId="0" borderId="32" xfId="16" applyNumberFormat="1" applyFont="1" applyFill="1" applyBorder="1" applyAlignment="1">
      <alignment horizontal="center"/>
    </xf>
    <xf numFmtId="169" fontId="13" fillId="0" borderId="44" xfId="16" applyNumberFormat="1" applyFont="1" applyFill="1" applyBorder="1" applyAlignment="1">
      <alignment horizontal="center"/>
    </xf>
    <xf numFmtId="169" fontId="13" fillId="0" borderId="20" xfId="16" applyNumberFormat="1" applyFont="1" applyFill="1" applyBorder="1"/>
    <xf numFmtId="169" fontId="13" fillId="0" borderId="0" xfId="16" applyNumberFormat="1" applyFont="1" applyFill="1" applyAlignment="1">
      <alignment horizontal="center"/>
    </xf>
    <xf numFmtId="169" fontId="13" fillId="2" borderId="14" xfId="16" applyNumberFormat="1" applyFont="1" applyFill="1" applyBorder="1"/>
    <xf numFmtId="0" fontId="29" fillId="0" borderId="0" xfId="0" applyFont="1" applyAlignment="1">
      <alignment horizontal="center" vertical="center"/>
    </xf>
    <xf numFmtId="169" fontId="19" fillId="13" borderId="19" xfId="16" applyNumberFormat="1" applyFont="1" applyFill="1" applyBorder="1"/>
    <xf numFmtId="4" fontId="0" fillId="0" borderId="0" xfId="0" applyNumberFormat="1"/>
    <xf numFmtId="164" fontId="49" fillId="0" borderId="10" xfId="5" applyFont="1" applyFill="1" applyBorder="1" applyAlignment="1"/>
    <xf numFmtId="0" fontId="0" fillId="0" borderId="0" xfId="0" applyAlignment="1">
      <alignment horizontal="right"/>
    </xf>
    <xf numFmtId="174" fontId="22" fillId="0" borderId="3" xfId="0" applyNumberFormat="1" applyFont="1" applyBorder="1"/>
    <xf numFmtId="174" fontId="22" fillId="0" borderId="10" xfId="0" applyNumberFormat="1" applyFont="1" applyBorder="1"/>
    <xf numFmtId="174" fontId="21" fillId="0" borderId="10" xfId="0" applyNumberFormat="1" applyFont="1" applyBorder="1"/>
    <xf numFmtId="174" fontId="22" fillId="14" borderId="10" xfId="0" applyNumberFormat="1" applyFont="1" applyFill="1" applyBorder="1"/>
    <xf numFmtId="165" fontId="0" fillId="0" borderId="0" xfId="0" applyNumberFormat="1" applyAlignment="1">
      <alignment horizontal="right"/>
    </xf>
    <xf numFmtId="168" fontId="0" fillId="0" borderId="0" xfId="1" applyFont="1" applyAlignment="1"/>
    <xf numFmtId="168" fontId="0" fillId="0" borderId="0" xfId="1" applyFont="1" applyBorder="1" applyAlignment="1"/>
    <xf numFmtId="176" fontId="0" fillId="0" borderId="0" xfId="1" applyNumberFormat="1" applyFont="1" applyFill="1"/>
    <xf numFmtId="181" fontId="0" fillId="0" borderId="0" xfId="1" applyNumberFormat="1" applyFont="1" applyFill="1"/>
    <xf numFmtId="0" fontId="30" fillId="11" borderId="5" xfId="0" applyFont="1" applyFill="1" applyBorder="1" applyAlignment="1">
      <alignment horizontal="center" vertical="center"/>
    </xf>
    <xf numFmtId="0" fontId="30" fillId="11" borderId="4" xfId="0" applyFont="1" applyFill="1" applyBorder="1" applyAlignment="1">
      <alignment horizontal="center" vertical="center" wrapText="1"/>
    </xf>
    <xf numFmtId="0" fontId="30" fillId="11" borderId="4" xfId="0" applyFont="1" applyFill="1" applyBorder="1" applyAlignment="1">
      <alignment horizontal="center" vertical="center"/>
    </xf>
    <xf numFmtId="0" fontId="30" fillId="11" borderId="4" xfId="0" applyFont="1" applyFill="1" applyBorder="1" applyAlignment="1">
      <alignment horizontal="center"/>
    </xf>
    <xf numFmtId="0" fontId="30" fillId="11" borderId="4" xfId="0" applyFont="1" applyFill="1" applyBorder="1" applyAlignment="1" applyProtection="1">
      <alignment horizontal="center"/>
      <protection locked="0"/>
    </xf>
    <xf numFmtId="0" fontId="30" fillId="11" borderId="10" xfId="0" applyFont="1" applyFill="1" applyBorder="1" applyAlignment="1">
      <alignment horizontal="center"/>
    </xf>
    <xf numFmtId="0" fontId="21" fillId="0" borderId="5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/>
    </xf>
    <xf numFmtId="2" fontId="51" fillId="0" borderId="4" xfId="10" applyNumberFormat="1" applyFont="1" applyBorder="1" applyAlignment="1">
      <alignment horizontal="center"/>
    </xf>
    <xf numFmtId="164" fontId="51" fillId="0" borderId="4" xfId="10" applyNumberFormat="1" applyFont="1" applyBorder="1"/>
    <xf numFmtId="164" fontId="51" fillId="0" borderId="10" xfId="10" applyNumberFormat="1" applyFont="1" applyBorder="1"/>
    <xf numFmtId="0" fontId="29" fillId="0" borderId="4" xfId="0" applyFont="1" applyBorder="1" applyAlignment="1">
      <alignment vertical="center" wrapText="1"/>
    </xf>
    <xf numFmtId="0" fontId="23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/>
    </xf>
    <xf numFmtId="168" fontId="31" fillId="0" borderId="4" xfId="6" applyNumberFormat="1" applyFont="1" applyFill="1" applyBorder="1" applyAlignment="1"/>
    <xf numFmtId="168" fontId="32" fillId="0" borderId="10" xfId="6" applyNumberFormat="1" applyFont="1" applyFill="1" applyBorder="1"/>
    <xf numFmtId="0" fontId="31" fillId="0" borderId="5" xfId="0" applyFont="1" applyBorder="1" applyAlignment="1">
      <alignment horizontal="center" vertical="center"/>
    </xf>
    <xf numFmtId="168" fontId="52" fillId="0" borderId="4" xfId="6" applyNumberFormat="1" applyFont="1" applyFill="1" applyBorder="1" applyAlignment="1"/>
    <xf numFmtId="168" fontId="23" fillId="0" borderId="4" xfId="6" applyNumberFormat="1" applyFont="1" applyFill="1" applyBorder="1" applyAlignment="1"/>
    <xf numFmtId="0" fontId="29" fillId="0" borderId="0" xfId="0" applyFont="1" applyAlignment="1">
      <alignment vertical="center" wrapText="1"/>
    </xf>
    <xf numFmtId="168" fontId="32" fillId="11" borderId="56" xfId="6" applyNumberFormat="1" applyFont="1" applyFill="1" applyBorder="1"/>
    <xf numFmtId="0" fontId="23" fillId="0" borderId="0" xfId="0" applyFont="1" applyAlignment="1">
      <alignment vertical="center"/>
    </xf>
    <xf numFmtId="168" fontId="23" fillId="0" borderId="0" xfId="1" applyFont="1" applyBorder="1"/>
    <xf numFmtId="177" fontId="23" fillId="0" borderId="0" xfId="0" applyNumberFormat="1" applyFont="1"/>
    <xf numFmtId="0" fontId="54" fillId="0" borderId="0" xfId="0" applyFont="1" applyAlignment="1">
      <alignment vertical="center" wrapText="1"/>
    </xf>
    <xf numFmtId="0" fontId="54" fillId="0" borderId="0" xfId="0" applyFont="1"/>
    <xf numFmtId="0" fontId="54" fillId="14" borderId="4" xfId="0" applyFont="1" applyFill="1" applyBorder="1" applyAlignment="1">
      <alignment horizontal="center" vertical="center"/>
    </xf>
    <xf numFmtId="0" fontId="54" fillId="0" borderId="4" xfId="0" applyFont="1" applyBorder="1" applyAlignment="1">
      <alignment horizontal="center" vertical="center"/>
    </xf>
    <xf numFmtId="0" fontId="54" fillId="0" borderId="4" xfId="0" applyFont="1" applyBorder="1" applyAlignment="1">
      <alignment horizontal="justify" vertical="center" wrapText="1"/>
    </xf>
    <xf numFmtId="164" fontId="54" fillId="0" borderId="4" xfId="16" applyFont="1" applyBorder="1" applyAlignment="1">
      <alignment horizontal="center" vertical="center"/>
    </xf>
    <xf numFmtId="168" fontId="55" fillId="0" borderId="4" xfId="1" applyFont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4" fillId="0" borderId="0" xfId="0" applyFont="1" applyAlignment="1">
      <alignment vertical="center"/>
    </xf>
    <xf numFmtId="164" fontId="54" fillId="0" borderId="0" xfId="0" applyNumberFormat="1" applyFont="1" applyAlignment="1">
      <alignment vertical="center"/>
    </xf>
    <xf numFmtId="168" fontId="54" fillId="0" borderId="0" xfId="1" applyFont="1" applyAlignment="1">
      <alignment vertical="center"/>
    </xf>
    <xf numFmtId="165" fontId="54" fillId="0" borderId="0" xfId="0" applyNumberFormat="1" applyFont="1" applyAlignment="1">
      <alignment vertical="center"/>
    </xf>
    <xf numFmtId="165" fontId="54" fillId="0" borderId="0" xfId="1" applyNumberFormat="1" applyFont="1" applyAlignment="1">
      <alignment vertical="center"/>
    </xf>
    <xf numFmtId="2" fontId="54" fillId="0" borderId="0" xfId="0" applyNumberFormat="1" applyFont="1" applyAlignment="1">
      <alignment vertical="center"/>
    </xf>
    <xf numFmtId="0" fontId="56" fillId="0" borderId="0" xfId="0" applyFont="1"/>
    <xf numFmtId="165" fontId="23" fillId="0" borderId="0" xfId="0" applyNumberFormat="1" applyFont="1"/>
    <xf numFmtId="0" fontId="55" fillId="0" borderId="0" xfId="0" applyFont="1" applyAlignment="1">
      <alignment vertical="center"/>
    </xf>
    <xf numFmtId="0" fontId="57" fillId="0" borderId="4" xfId="0" applyFont="1" applyBorder="1" applyAlignment="1">
      <alignment horizontal="center" vertical="center"/>
    </xf>
    <xf numFmtId="0" fontId="5" fillId="0" borderId="0" xfId="11" applyAlignment="1">
      <alignment vertical="center"/>
    </xf>
    <xf numFmtId="0" fontId="5" fillId="2" borderId="0" xfId="11" applyFill="1" applyAlignment="1">
      <alignment horizontal="center" vertical="center"/>
    </xf>
    <xf numFmtId="0" fontId="60" fillId="0" borderId="0" xfId="11" applyFont="1" applyAlignment="1">
      <alignment vertical="center"/>
    </xf>
    <xf numFmtId="0" fontId="5" fillId="0" borderId="0" xfId="11" applyAlignment="1">
      <alignment horizontal="center" vertical="center"/>
    </xf>
    <xf numFmtId="0" fontId="51" fillId="2" borderId="0" xfId="11" applyFont="1" applyFill="1" applyAlignment="1">
      <alignment vertical="center"/>
    </xf>
    <xf numFmtId="0" fontId="51" fillId="2" borderId="0" xfId="11" applyFont="1" applyFill="1" applyAlignment="1">
      <alignment horizontal="center" vertical="center"/>
    </xf>
    <xf numFmtId="185" fontId="5" fillId="2" borderId="0" xfId="21" applyNumberFormat="1" applyFont="1" applyFill="1" applyAlignment="1">
      <alignment horizontal="center" vertical="center"/>
    </xf>
    <xf numFmtId="184" fontId="5" fillId="2" borderId="0" xfId="21" applyNumberFormat="1" applyFont="1" applyFill="1" applyAlignment="1">
      <alignment horizontal="center" vertical="center"/>
    </xf>
    <xf numFmtId="0" fontId="3" fillId="0" borderId="0" xfId="19"/>
    <xf numFmtId="0" fontId="48" fillId="0" borderId="0" xfId="19" applyFont="1" applyAlignment="1">
      <alignment vertical="center"/>
    </xf>
    <xf numFmtId="0" fontId="62" fillId="0" borderId="0" xfId="19" applyFont="1" applyAlignment="1">
      <alignment vertical="center"/>
    </xf>
    <xf numFmtId="0" fontId="59" fillId="0" borderId="0" xfId="19" applyFont="1" applyAlignment="1">
      <alignment vertical="center"/>
    </xf>
    <xf numFmtId="0" fontId="3" fillId="0" borderId="0" xfId="19" applyAlignment="1">
      <alignment horizontal="center" vertical="center"/>
    </xf>
    <xf numFmtId="0" fontId="23" fillId="2" borderId="4" xfId="19" applyFont="1" applyFill="1" applyBorder="1" applyAlignment="1">
      <alignment horizontal="center" vertical="center"/>
    </xf>
    <xf numFmtId="0" fontId="63" fillId="2" borderId="4" xfId="19" applyFont="1" applyFill="1" applyBorder="1" applyAlignment="1">
      <alignment horizontal="left" vertical="center" wrapText="1"/>
    </xf>
    <xf numFmtId="164" fontId="23" fillId="2" borderId="4" xfId="5" applyFont="1" applyFill="1" applyBorder="1" applyAlignment="1">
      <alignment horizontal="right" vertical="center"/>
    </xf>
    <xf numFmtId="0" fontId="23" fillId="2" borderId="4" xfId="19" applyFont="1" applyFill="1" applyBorder="1" applyAlignment="1">
      <alignment horizontal="left" vertical="center" wrapText="1"/>
    </xf>
    <xf numFmtId="168" fontId="23" fillId="2" borderId="4" xfId="1" applyFont="1" applyFill="1" applyBorder="1" applyAlignment="1">
      <alignment horizontal="center" vertical="center"/>
    </xf>
    <xf numFmtId="0" fontId="23" fillId="2" borderId="4" xfId="19" applyFont="1" applyFill="1" applyBorder="1" applyAlignment="1">
      <alignment vertical="center" wrapText="1"/>
    </xf>
    <xf numFmtId="0" fontId="23" fillId="2" borderId="4" xfId="19" applyFont="1" applyFill="1" applyBorder="1" applyAlignment="1">
      <alignment vertical="center"/>
    </xf>
    <xf numFmtId="0" fontId="23" fillId="2" borderId="4" xfId="19" applyFont="1" applyFill="1" applyBorder="1" applyAlignment="1">
      <alignment horizontal="center" vertical="center" wrapText="1"/>
    </xf>
    <xf numFmtId="164" fontId="22" fillId="2" borderId="4" xfId="5" applyFont="1" applyFill="1" applyBorder="1" applyAlignment="1">
      <alignment horizontal="center" vertical="center"/>
    </xf>
    <xf numFmtId="0" fontId="23" fillId="2" borderId="5" xfId="19" applyFont="1" applyFill="1" applyBorder="1" applyAlignment="1">
      <alignment horizontal="center" vertical="center"/>
    </xf>
    <xf numFmtId="172" fontId="23" fillId="2" borderId="10" xfId="19" applyNumberFormat="1" applyFont="1" applyFill="1" applyBorder="1" applyAlignment="1">
      <alignment horizontal="center" vertical="center" wrapText="1"/>
    </xf>
    <xf numFmtId="183" fontId="21" fillId="2" borderId="10" xfId="6" applyNumberFormat="1" applyFont="1" applyFill="1" applyBorder="1" applyAlignment="1">
      <alignment horizontal="center" vertical="center" wrapText="1"/>
    </xf>
    <xf numFmtId="184" fontId="21" fillId="2" borderId="10" xfId="21" applyNumberFormat="1" applyFont="1" applyFill="1" applyBorder="1" applyAlignment="1">
      <alignment horizontal="center" vertical="center" wrapText="1"/>
    </xf>
    <xf numFmtId="183" fontId="31" fillId="2" borderId="10" xfId="6" applyNumberFormat="1" applyFont="1" applyFill="1" applyBorder="1" applyAlignment="1">
      <alignment horizontal="center" vertical="center" wrapText="1"/>
    </xf>
    <xf numFmtId="172" fontId="40" fillId="2" borderId="10" xfId="19" applyNumberFormat="1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 wrapText="1"/>
    </xf>
    <xf numFmtId="168" fontId="13" fillId="0" borderId="10" xfId="1" applyFont="1" applyBorder="1" applyAlignment="1">
      <alignment horizontal="center" vertical="center"/>
    </xf>
    <xf numFmtId="164" fontId="8" fillId="0" borderId="4" xfId="5" applyFont="1" applyFill="1" applyBorder="1" applyAlignment="1">
      <alignment vertical="center" wrapText="1"/>
    </xf>
    <xf numFmtId="164" fontId="8" fillId="10" borderId="4" xfId="5" applyFont="1" applyFill="1" applyBorder="1" applyAlignment="1">
      <alignment vertical="center" wrapText="1"/>
    </xf>
    <xf numFmtId="0" fontId="10" fillId="0" borderId="4" xfId="0" applyFont="1" applyBorder="1" applyAlignment="1">
      <alignment horizontal="center" vertical="center"/>
    </xf>
    <xf numFmtId="164" fontId="15" fillId="0" borderId="4" xfId="5" applyFont="1" applyFill="1" applyBorder="1" applyAlignment="1">
      <alignment wrapText="1"/>
    </xf>
    <xf numFmtId="0" fontId="63" fillId="14" borderId="4" xfId="0" applyFont="1" applyFill="1" applyBorder="1" applyAlignment="1">
      <alignment horizontal="center" vertical="center"/>
    </xf>
    <xf numFmtId="0" fontId="55" fillId="0" borderId="4" xfId="0" applyFont="1" applyBorder="1" applyAlignment="1">
      <alignment horizontal="center" vertical="center" wrapText="1"/>
    </xf>
    <xf numFmtId="0" fontId="54" fillId="0" borderId="4" xfId="0" applyFont="1" applyBorder="1"/>
    <xf numFmtId="0" fontId="43" fillId="0" borderId="4" xfId="0" applyFont="1" applyBorder="1" applyAlignment="1">
      <alignment horizontal="center" vertical="center"/>
    </xf>
    <xf numFmtId="0" fontId="63" fillId="0" borderId="4" xfId="0" applyFont="1" applyBorder="1" applyAlignment="1">
      <alignment horizontal="center" vertical="center"/>
    </xf>
    <xf numFmtId="0" fontId="63" fillId="0" borderId="4" xfId="0" applyFont="1" applyBorder="1" applyAlignment="1">
      <alignment horizontal="justify" vertical="center" wrapText="1"/>
    </xf>
    <xf numFmtId="164" fontId="63" fillId="0" borderId="4" xfId="5" applyFont="1" applyBorder="1" applyAlignment="1">
      <alignment horizontal="center" vertical="center"/>
    </xf>
    <xf numFmtId="2" fontId="63" fillId="0" borderId="4" xfId="0" applyNumberFormat="1" applyFont="1" applyBorder="1" applyAlignment="1">
      <alignment horizontal="center" vertical="center"/>
    </xf>
    <xf numFmtId="168" fontId="43" fillId="0" borderId="4" xfId="1" applyFont="1" applyBorder="1" applyAlignment="1">
      <alignment horizontal="center" vertical="center"/>
    </xf>
    <xf numFmtId="0" fontId="63" fillId="0" borderId="4" xfId="0" applyFont="1" applyBorder="1" applyAlignment="1">
      <alignment vertical="center"/>
    </xf>
    <xf numFmtId="168" fontId="10" fillId="0" borderId="4" xfId="1" applyFont="1" applyFill="1" applyBorder="1"/>
    <xf numFmtId="186" fontId="10" fillId="0" borderId="4" xfId="0" applyNumberFormat="1" applyFont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9" fontId="16" fillId="0" borderId="4" xfId="18" applyFont="1" applyFill="1" applyBorder="1" applyAlignment="1">
      <alignment horizontal="center" vertical="center"/>
    </xf>
    <xf numFmtId="168" fontId="16" fillId="0" borderId="4" xfId="1" applyFont="1" applyFill="1" applyBorder="1" applyAlignment="1">
      <alignment horizontal="center" vertical="center" wrapText="1"/>
    </xf>
    <xf numFmtId="0" fontId="16" fillId="0" borderId="4" xfId="0" applyFont="1" applyBorder="1" applyAlignment="1" applyProtection="1">
      <alignment horizontal="center" vertical="center" wrapText="1"/>
      <protection locked="0"/>
    </xf>
    <xf numFmtId="0" fontId="1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9" fontId="13" fillId="2" borderId="4" xfId="9" applyFont="1" applyFill="1" applyBorder="1" applyAlignment="1">
      <alignment horizontal="center" vertical="center"/>
    </xf>
    <xf numFmtId="10" fontId="13" fillId="2" borderId="4" xfId="9" applyNumberFormat="1" applyFont="1" applyFill="1" applyBorder="1" applyAlignment="1">
      <alignment horizontal="center" vertical="center"/>
    </xf>
    <xf numFmtId="10" fontId="13" fillId="2" borderId="4" xfId="9" applyNumberFormat="1" applyFont="1" applyFill="1" applyBorder="1" applyAlignment="1" applyProtection="1">
      <alignment horizontal="center" vertical="center"/>
    </xf>
    <xf numFmtId="10" fontId="15" fillId="0" borderId="4" xfId="18" applyNumberFormat="1" applyFont="1" applyFill="1" applyBorder="1" applyAlignment="1">
      <alignment horizontal="center" vertical="center" wrapText="1"/>
    </xf>
    <xf numFmtId="0" fontId="42" fillId="14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164" fontId="10" fillId="0" borderId="0" xfId="0" applyNumberFormat="1" applyFont="1" applyAlignment="1">
      <alignment horizontal="center"/>
    </xf>
    <xf numFmtId="2" fontId="15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2" fontId="15" fillId="0" borderId="0" xfId="0" applyNumberFormat="1" applyFont="1" applyAlignment="1">
      <alignment vertical="center"/>
    </xf>
    <xf numFmtId="168" fontId="13" fillId="0" borderId="0" xfId="1" applyFont="1" applyBorder="1" applyAlignment="1">
      <alignment horizontal="right" vertical="center"/>
    </xf>
    <xf numFmtId="168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horizontal="right" vertical="center"/>
    </xf>
    <xf numFmtId="164" fontId="65" fillId="14" borderId="4" xfId="5" applyFont="1" applyFill="1" applyBorder="1" applyAlignment="1">
      <alignment vertical="center" wrapText="1"/>
    </xf>
    <xf numFmtId="9" fontId="66" fillId="0" borderId="4" xfId="18" applyFont="1" applyBorder="1" applyAlignment="1">
      <alignment horizontal="center" vertical="center"/>
    </xf>
    <xf numFmtId="10" fontId="66" fillId="0" borderId="4" xfId="0" applyNumberFormat="1" applyFont="1" applyBorder="1" applyAlignment="1">
      <alignment horizontal="center" vertical="center"/>
    </xf>
    <xf numFmtId="10" fontId="68" fillId="0" borderId="4" xfId="0" applyNumberFormat="1" applyFont="1" applyBorder="1" applyAlignment="1">
      <alignment horizontal="center" vertical="center"/>
    </xf>
    <xf numFmtId="0" fontId="68" fillId="0" borderId="4" xfId="0" applyFont="1" applyBorder="1" applyAlignment="1">
      <alignment horizontal="center" vertical="center"/>
    </xf>
    <xf numFmtId="0" fontId="68" fillId="0" borderId="4" xfId="0" applyFont="1" applyBorder="1" applyAlignment="1">
      <alignment vertical="center" wrapText="1"/>
    </xf>
    <xf numFmtId="0" fontId="68" fillId="0" borderId="4" xfId="0" applyFont="1" applyBorder="1" applyAlignment="1">
      <alignment vertical="center"/>
    </xf>
    <xf numFmtId="0" fontId="58" fillId="0" borderId="4" xfId="0" applyFont="1" applyBorder="1" applyAlignment="1">
      <alignment horizontal="center" vertical="center"/>
    </xf>
    <xf numFmtId="0" fontId="69" fillId="0" borderId="4" xfId="0" applyFont="1" applyBorder="1" applyAlignment="1">
      <alignment horizontal="center" vertical="center"/>
    </xf>
    <xf numFmtId="0" fontId="69" fillId="0" borderId="4" xfId="0" applyFont="1" applyBorder="1" applyAlignment="1">
      <alignment vertical="center"/>
    </xf>
    <xf numFmtId="9" fontId="66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 applyProtection="1">
      <alignment horizontal="center" vertical="center"/>
      <protection locked="0"/>
    </xf>
    <xf numFmtId="0" fontId="16" fillId="0" borderId="5" xfId="0" applyFont="1" applyBorder="1" applyAlignment="1">
      <alignment horizontal="center" vertical="center"/>
    </xf>
    <xf numFmtId="168" fontId="7" fillId="0" borderId="4" xfId="1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68" fontId="21" fillId="0" borderId="0" xfId="12" applyNumberFormat="1" applyFont="1"/>
    <xf numFmtId="0" fontId="11" fillId="0" borderId="5" xfId="0" applyFont="1" applyBorder="1" applyAlignment="1">
      <alignment horizontal="center"/>
    </xf>
    <xf numFmtId="164" fontId="0" fillId="0" borderId="0" xfId="0" applyNumberFormat="1" applyAlignment="1">
      <alignment horizontal="right"/>
    </xf>
    <xf numFmtId="164" fontId="13" fillId="0" borderId="0" xfId="5" applyFont="1" applyAlignment="1">
      <alignment horizontal="right"/>
    </xf>
    <xf numFmtId="164" fontId="13" fillId="0" borderId="0" xfId="0" applyNumberFormat="1" applyFont="1" applyAlignment="1">
      <alignment horizontal="right"/>
    </xf>
    <xf numFmtId="168" fontId="13" fillId="0" borderId="0" xfId="1" applyFont="1" applyAlignment="1">
      <alignment horizontal="right"/>
    </xf>
    <xf numFmtId="164" fontId="0" fillId="0" borderId="0" xfId="5" applyFont="1" applyAlignment="1"/>
    <xf numFmtId="172" fontId="13" fillId="0" borderId="4" xfId="4" applyNumberFormat="1" applyFont="1" applyBorder="1"/>
    <xf numFmtId="9" fontId="13" fillId="0" borderId="4" xfId="17" applyFont="1" applyBorder="1" applyAlignment="1">
      <alignment horizontal="center"/>
    </xf>
    <xf numFmtId="0" fontId="13" fillId="0" borderId="25" xfId="0" applyFont="1" applyBorder="1"/>
    <xf numFmtId="0" fontId="34" fillId="0" borderId="0" xfId="0" applyFont="1" applyAlignment="1">
      <alignment vertical="center" wrapText="1"/>
    </xf>
    <xf numFmtId="174" fontId="22" fillId="0" borderId="0" xfId="0" applyNumberFormat="1" applyFont="1"/>
    <xf numFmtId="174" fontId="21" fillId="0" borderId="0" xfId="0" applyNumberFormat="1" applyFont="1"/>
    <xf numFmtId="3" fontId="10" fillId="0" borderId="4" xfId="0" applyNumberFormat="1" applyFont="1" applyBorder="1" applyAlignment="1">
      <alignment horizontal="center" vertical="center"/>
    </xf>
    <xf numFmtId="169" fontId="10" fillId="0" borderId="4" xfId="16" applyNumberFormat="1" applyFont="1" applyFill="1" applyBorder="1" applyAlignment="1">
      <alignment vertical="center"/>
    </xf>
    <xf numFmtId="169" fontId="10" fillId="0" borderId="4" xfId="5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 wrapText="1"/>
    </xf>
    <xf numFmtId="0" fontId="13" fillId="0" borderId="4" xfId="0" applyFont="1" applyBorder="1" applyAlignment="1">
      <alignment horizontal="center" vertical="center" wrapText="1"/>
    </xf>
    <xf numFmtId="164" fontId="13" fillId="0" borderId="10" xfId="16" applyFont="1" applyBorder="1"/>
    <xf numFmtId="0" fontId="10" fillId="0" borderId="10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1" fontId="0" fillId="0" borderId="0" xfId="0" applyNumberFormat="1"/>
    <xf numFmtId="168" fontId="10" fillId="0" borderId="4" xfId="7" applyFont="1" applyFill="1" applyBorder="1" applyAlignment="1">
      <alignment horizontal="center" vertical="center"/>
    </xf>
    <xf numFmtId="0" fontId="70" fillId="0" borderId="4" xfId="2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64" fontId="0" fillId="0" borderId="4" xfId="16" applyFont="1" applyBorder="1" applyAlignment="1">
      <alignment horizontal="center" vertical="center"/>
    </xf>
    <xf numFmtId="164" fontId="0" fillId="0" borderId="4" xfId="16" applyFont="1" applyBorder="1" applyAlignment="1">
      <alignment vertical="center"/>
    </xf>
    <xf numFmtId="0" fontId="67" fillId="0" borderId="4" xfId="0" applyFont="1" applyBorder="1" applyAlignment="1">
      <alignment horizontal="center" vertical="center"/>
    </xf>
    <xf numFmtId="0" fontId="66" fillId="0" borderId="4" xfId="0" applyFont="1" applyBorder="1" applyAlignment="1">
      <alignment vertical="center"/>
    </xf>
    <xf numFmtId="10" fontId="66" fillId="0" borderId="4" xfId="18" applyNumberFormat="1" applyFont="1" applyBorder="1" applyAlignment="1">
      <alignment horizontal="center" vertical="center"/>
    </xf>
    <xf numFmtId="0" fontId="66" fillId="0" borderId="4" xfId="0" applyFont="1" applyBorder="1" applyAlignment="1">
      <alignment horizontal="center" vertical="center"/>
    </xf>
    <xf numFmtId="0" fontId="18" fillId="0" borderId="0" xfId="2" applyFont="1" applyAlignment="1">
      <alignment vertical="center" wrapText="1"/>
    </xf>
    <xf numFmtId="0" fontId="5" fillId="2" borderId="4" xfId="11" applyFill="1" applyBorder="1" applyAlignment="1">
      <alignment vertical="center"/>
    </xf>
    <xf numFmtId="0" fontId="5" fillId="2" borderId="4" xfId="11" applyFill="1" applyBorder="1" applyAlignment="1">
      <alignment horizontal="center" vertical="center"/>
    </xf>
    <xf numFmtId="0" fontId="31" fillId="2" borderId="4" xfId="11" applyFont="1" applyFill="1" applyBorder="1" applyAlignment="1">
      <alignment horizontal="center" vertical="center"/>
    </xf>
    <xf numFmtId="10" fontId="23" fillId="2" borderId="4" xfId="19" applyNumberFormat="1" applyFont="1" applyFill="1" applyBorder="1" applyAlignment="1">
      <alignment horizontal="center" vertical="center"/>
    </xf>
    <xf numFmtId="182" fontId="23" fillId="2" borderId="4" xfId="19" applyNumberFormat="1" applyFont="1" applyFill="1" applyBorder="1" applyAlignment="1">
      <alignment horizontal="center" vertical="center" wrapText="1"/>
    </xf>
    <xf numFmtId="0" fontId="31" fillId="2" borderId="4" xfId="11" applyFont="1" applyFill="1" applyBorder="1" applyAlignment="1">
      <alignment vertical="center"/>
    </xf>
    <xf numFmtId="0" fontId="5" fillId="2" borderId="5" xfId="11" applyFill="1" applyBorder="1" applyAlignment="1">
      <alignment vertical="center"/>
    </xf>
    <xf numFmtId="0" fontId="5" fillId="2" borderId="10" xfId="11" applyFill="1" applyBorder="1" applyAlignment="1">
      <alignment horizontal="center" vertical="center"/>
    </xf>
    <xf numFmtId="0" fontId="31" fillId="2" borderId="10" xfId="11" applyFont="1" applyFill="1" applyBorder="1" applyAlignment="1">
      <alignment horizontal="center" vertical="center"/>
    </xf>
    <xf numFmtId="172" fontId="23" fillId="2" borderId="10" xfId="19" applyNumberFormat="1" applyFont="1" applyFill="1" applyBorder="1" applyAlignment="1">
      <alignment horizontal="center" vertical="center"/>
    </xf>
    <xf numFmtId="0" fontId="31" fillId="2" borderId="5" xfId="11" applyFont="1" applyFill="1" applyBorder="1" applyAlignment="1">
      <alignment vertical="center"/>
    </xf>
    <xf numFmtId="164" fontId="0" fillId="0" borderId="0" xfId="5" applyFont="1" applyFill="1" applyAlignment="1">
      <alignment vertical="center"/>
    </xf>
    <xf numFmtId="164" fontId="0" fillId="0" borderId="0" xfId="0" applyNumberFormat="1" applyAlignment="1">
      <alignment vertical="center"/>
    </xf>
    <xf numFmtId="0" fontId="13" fillId="0" borderId="27" xfId="0" applyFont="1" applyBorder="1"/>
    <xf numFmtId="165" fontId="22" fillId="13" borderId="4" xfId="1" applyNumberFormat="1" applyFont="1" applyFill="1" applyBorder="1" applyAlignment="1">
      <alignment horizontal="center" vertical="center"/>
    </xf>
    <xf numFmtId="164" fontId="49" fillId="0" borderId="10" xfId="16" applyFont="1" applyFill="1" applyBorder="1" applyAlignment="1"/>
    <xf numFmtId="165" fontId="22" fillId="10" borderId="4" xfId="1" applyNumberFormat="1" applyFont="1" applyFill="1" applyBorder="1" applyAlignment="1">
      <alignment horizontal="center" vertical="center"/>
    </xf>
    <xf numFmtId="169" fontId="13" fillId="0" borderId="4" xfId="22" applyNumberFormat="1" applyFont="1" applyFill="1" applyBorder="1"/>
    <xf numFmtId="169" fontId="13" fillId="0" borderId="10" xfId="22" applyNumberFormat="1" applyFont="1" applyFill="1" applyBorder="1"/>
    <xf numFmtId="169" fontId="13" fillId="0" borderId="4" xfId="22" applyNumberFormat="1" applyFont="1" applyBorder="1"/>
    <xf numFmtId="187" fontId="13" fillId="0" borderId="4" xfId="0" applyNumberFormat="1" applyFont="1" applyBorder="1"/>
    <xf numFmtId="169" fontId="13" fillId="0" borderId="10" xfId="22" applyNumberFormat="1" applyFont="1" applyBorder="1"/>
    <xf numFmtId="169" fontId="13" fillId="0" borderId="18" xfId="22" applyNumberFormat="1" applyFont="1" applyFill="1" applyBorder="1"/>
    <xf numFmtId="169" fontId="13" fillId="0" borderId="12" xfId="22" applyNumberFormat="1" applyFont="1" applyFill="1" applyBorder="1"/>
    <xf numFmtId="169" fontId="13" fillId="0" borderId="14" xfId="22" applyNumberFormat="1" applyFont="1" applyFill="1" applyBorder="1"/>
    <xf numFmtId="169" fontId="13" fillId="0" borderId="40" xfId="22" applyNumberFormat="1" applyFont="1" applyFill="1" applyBorder="1"/>
    <xf numFmtId="169" fontId="13" fillId="0" borderId="0" xfId="22" applyNumberFormat="1" applyFont="1" applyFill="1" applyBorder="1"/>
    <xf numFmtId="0" fontId="28" fillId="0" borderId="0" xfId="0" applyFont="1"/>
    <xf numFmtId="0" fontId="29" fillId="0" borderId="0" xfId="0" applyFont="1" applyAlignment="1">
      <alignment wrapText="1"/>
    </xf>
    <xf numFmtId="0" fontId="28" fillId="0" borderId="0" xfId="0" applyFont="1" applyAlignment="1">
      <alignment horizontal="center"/>
    </xf>
    <xf numFmtId="0" fontId="31" fillId="0" borderId="0" xfId="0" applyFont="1"/>
    <xf numFmtId="0" fontId="29" fillId="0" borderId="11" xfId="0" applyFont="1" applyBorder="1"/>
    <xf numFmtId="0" fontId="29" fillId="0" borderId="13" xfId="0" applyFont="1" applyBorder="1" applyAlignment="1">
      <alignment horizontal="center" vertical="center"/>
    </xf>
    <xf numFmtId="0" fontId="71" fillId="0" borderId="0" xfId="0" applyFont="1"/>
    <xf numFmtId="0" fontId="29" fillId="0" borderId="0" xfId="0" applyFont="1"/>
    <xf numFmtId="169" fontId="28" fillId="0" borderId="0" xfId="22" applyNumberFormat="1" applyFont="1"/>
    <xf numFmtId="0" fontId="28" fillId="0" borderId="33" xfId="0" applyFont="1" applyBorder="1" applyAlignment="1">
      <alignment horizontal="center"/>
    </xf>
    <xf numFmtId="0" fontId="28" fillId="0" borderId="33" xfId="0" quotePrefix="1" applyFont="1" applyBorder="1" applyAlignment="1">
      <alignment horizontal="center"/>
    </xf>
    <xf numFmtId="0" fontId="28" fillId="0" borderId="32" xfId="0" applyFont="1" applyBorder="1" applyAlignment="1">
      <alignment horizontal="center"/>
    </xf>
    <xf numFmtId="0" fontId="28" fillId="0" borderId="41" xfId="0" applyFont="1" applyBorder="1"/>
    <xf numFmtId="3" fontId="28" fillId="0" borderId="12" xfId="0" applyNumberFormat="1" applyFont="1" applyBorder="1" applyAlignment="1">
      <alignment horizontal="center"/>
    </xf>
    <xf numFmtId="3" fontId="28" fillId="0" borderId="12" xfId="0" applyNumberFormat="1" applyFont="1" applyBorder="1"/>
    <xf numFmtId="4" fontId="28" fillId="0" borderId="12" xfId="0" applyNumberFormat="1" applyFont="1" applyBorder="1"/>
    <xf numFmtId="4" fontId="28" fillId="0" borderId="40" xfId="0" applyNumberFormat="1" applyFont="1" applyBorder="1"/>
    <xf numFmtId="0" fontId="28" fillId="0" borderId="18" xfId="0" applyFont="1" applyBorder="1"/>
    <xf numFmtId="0" fontId="71" fillId="0" borderId="0" xfId="0" applyFont="1" applyAlignment="1">
      <alignment horizontal="center"/>
    </xf>
    <xf numFmtId="169" fontId="13" fillId="0" borderId="19" xfId="22" applyNumberFormat="1" applyFont="1" applyFill="1" applyBorder="1"/>
    <xf numFmtId="169" fontId="13" fillId="0" borderId="14" xfId="22" applyNumberFormat="1" applyFont="1" applyBorder="1"/>
    <xf numFmtId="0" fontId="28" fillId="0" borderId="17" xfId="0" applyFont="1" applyBorder="1"/>
    <xf numFmtId="0" fontId="28" fillId="0" borderId="20" xfId="0" applyFont="1" applyBorder="1"/>
    <xf numFmtId="0" fontId="28" fillId="0" borderId="43" xfId="0" applyFont="1" applyBorder="1"/>
    <xf numFmtId="0" fontId="29" fillId="0" borderId="20" xfId="0" applyFont="1" applyBorder="1"/>
    <xf numFmtId="0" fontId="28" fillId="0" borderId="34" xfId="0" applyFont="1" applyBorder="1"/>
    <xf numFmtId="0" fontId="28" fillId="0" borderId="29" xfId="0" applyFont="1" applyBorder="1"/>
    <xf numFmtId="0" fontId="28" fillId="0" borderId="25" xfId="0" applyFont="1" applyBorder="1"/>
    <xf numFmtId="0" fontId="28" fillId="0" borderId="44" xfId="0" applyFont="1" applyBorder="1" applyAlignment="1">
      <alignment horizontal="center"/>
    </xf>
    <xf numFmtId="169" fontId="13" fillId="0" borderId="16" xfId="22" applyNumberFormat="1" applyFont="1" applyFill="1" applyBorder="1"/>
    <xf numFmtId="0" fontId="28" fillId="0" borderId="36" xfId="0" applyFont="1" applyBorder="1"/>
    <xf numFmtId="0" fontId="28" fillId="0" borderId="38" xfId="0" applyFont="1" applyBorder="1"/>
    <xf numFmtId="0" fontId="28" fillId="0" borderId="22" xfId="0" applyFont="1" applyBorder="1"/>
    <xf numFmtId="0" fontId="28" fillId="0" borderId="21" xfId="0" applyFont="1" applyBorder="1"/>
    <xf numFmtId="0" fontId="28" fillId="0" borderId="2" xfId="0" applyFont="1" applyBorder="1" applyAlignment="1">
      <alignment horizontal="center"/>
    </xf>
    <xf numFmtId="172" fontId="13" fillId="0" borderId="15" xfId="4" applyNumberFormat="1" applyFont="1" applyFill="1" applyBorder="1"/>
    <xf numFmtId="0" fontId="28" fillId="0" borderId="37" xfId="0" applyFont="1" applyBorder="1"/>
    <xf numFmtId="0" fontId="28" fillId="0" borderId="12" xfId="0" applyFont="1" applyBorder="1"/>
    <xf numFmtId="0" fontId="28" fillId="0" borderId="40" xfId="0" applyFont="1" applyBorder="1"/>
    <xf numFmtId="0" fontId="28" fillId="0" borderId="0" xfId="0" applyFont="1" applyAlignment="1">
      <alignment horizontal="centerContinuous"/>
    </xf>
    <xf numFmtId="169" fontId="28" fillId="0" borderId="0" xfId="22" applyNumberFormat="1" applyFont="1" applyFill="1" applyBorder="1"/>
    <xf numFmtId="0" fontId="71" fillId="0" borderId="0" xfId="0" applyFont="1" applyAlignment="1">
      <alignment horizontal="centerContinuous"/>
    </xf>
    <xf numFmtId="169" fontId="33" fillId="0" borderId="0" xfId="22" applyNumberFormat="1" applyFont="1" applyFill="1" applyBorder="1" applyAlignment="1">
      <alignment horizontal="center" vertical="center"/>
    </xf>
    <xf numFmtId="0" fontId="71" fillId="0" borderId="0" xfId="0" applyFont="1" applyAlignment="1">
      <alignment horizontal="left"/>
    </xf>
    <xf numFmtId="168" fontId="71" fillId="0" borderId="0" xfId="0" applyNumberFormat="1" applyFont="1"/>
    <xf numFmtId="188" fontId="0" fillId="0" borderId="0" xfId="1" applyNumberFormat="1" applyFont="1"/>
    <xf numFmtId="189" fontId="0" fillId="0" borderId="0" xfId="0" applyNumberFormat="1"/>
    <xf numFmtId="169" fontId="13" fillId="0" borderId="13" xfId="22" applyNumberFormat="1" applyFont="1" applyFill="1" applyBorder="1"/>
    <xf numFmtId="169" fontId="19" fillId="15" borderId="19" xfId="16" applyNumberFormat="1" applyFont="1" applyFill="1" applyBorder="1"/>
    <xf numFmtId="169" fontId="19" fillId="0" borderId="0" xfId="22" applyNumberFormat="1" applyFont="1" applyFill="1" applyBorder="1"/>
    <xf numFmtId="169" fontId="8" fillId="0" borderId="0" xfId="22" applyNumberFormat="1" applyFont="1" applyFill="1" applyBorder="1"/>
    <xf numFmtId="0" fontId="15" fillId="0" borderId="10" xfId="0" applyFont="1" applyBorder="1" applyAlignment="1">
      <alignment wrapText="1"/>
    </xf>
    <xf numFmtId="169" fontId="13" fillId="2" borderId="10" xfId="16" applyNumberFormat="1" applyFont="1" applyFill="1" applyBorder="1"/>
    <xf numFmtId="0" fontId="72" fillId="2" borderId="8" xfId="0" applyFont="1" applyFill="1" applyBorder="1" applyAlignment="1">
      <alignment horizontal="left" wrapText="1"/>
    </xf>
    <xf numFmtId="169" fontId="10" fillId="0" borderId="4" xfId="22" applyNumberFormat="1" applyFont="1" applyFill="1" applyBorder="1" applyAlignment="1">
      <alignment vertical="center"/>
    </xf>
    <xf numFmtId="0" fontId="11" fillId="0" borderId="4" xfId="0" applyFont="1" applyBorder="1" applyAlignment="1">
      <alignment wrapText="1"/>
    </xf>
    <xf numFmtId="168" fontId="10" fillId="0" borderId="4" xfId="1" applyFont="1" applyFill="1" applyBorder="1" applyAlignment="1">
      <alignment horizontal="right"/>
    </xf>
    <xf numFmtId="168" fontId="10" fillId="0" borderId="10" xfId="1" applyFont="1" applyFill="1" applyBorder="1" applyAlignment="1"/>
    <xf numFmtId="0" fontId="11" fillId="0" borderId="4" xfId="0" applyFont="1" applyBorder="1" applyAlignment="1">
      <alignment horizontal="center"/>
    </xf>
    <xf numFmtId="0" fontId="36" fillId="0" borderId="5" xfId="10" applyFont="1" applyBorder="1" applyAlignment="1">
      <alignment horizontal="center" vertical="center"/>
    </xf>
    <xf numFmtId="0" fontId="31" fillId="0" borderId="1" xfId="0" applyFont="1" applyBorder="1" applyAlignment="1">
      <alignment wrapText="1"/>
    </xf>
    <xf numFmtId="0" fontId="31" fillId="0" borderId="2" xfId="0" applyFont="1" applyBorder="1" applyAlignment="1">
      <alignment wrapText="1"/>
    </xf>
    <xf numFmtId="0" fontId="31" fillId="10" borderId="2" xfId="0" applyFont="1" applyFill="1" applyBorder="1" applyAlignment="1">
      <alignment wrapText="1"/>
    </xf>
    <xf numFmtId="0" fontId="31" fillId="10" borderId="3" xfId="0" applyFont="1" applyFill="1" applyBorder="1" applyAlignment="1">
      <alignment wrapText="1"/>
    </xf>
    <xf numFmtId="0" fontId="31" fillId="16" borderId="1" xfId="0" applyFont="1" applyFill="1" applyBorder="1" applyAlignment="1">
      <alignment wrapText="1"/>
    </xf>
    <xf numFmtId="0" fontId="31" fillId="16" borderId="2" xfId="0" applyFont="1" applyFill="1" applyBorder="1" applyAlignment="1">
      <alignment wrapText="1"/>
    </xf>
    <xf numFmtId="0" fontId="31" fillId="16" borderId="3" xfId="0" applyFont="1" applyFill="1" applyBorder="1" applyAlignment="1">
      <alignment wrapText="1"/>
    </xf>
    <xf numFmtId="0" fontId="31" fillId="12" borderId="33" xfId="0" applyFont="1" applyFill="1" applyBorder="1" applyAlignment="1">
      <alignment wrapText="1"/>
    </xf>
    <xf numFmtId="0" fontId="31" fillId="12" borderId="2" xfId="0" applyFont="1" applyFill="1" applyBorder="1" applyAlignment="1">
      <alignment wrapText="1"/>
    </xf>
    <xf numFmtId="0" fontId="31" fillId="12" borderId="56" xfId="0" applyFont="1" applyFill="1" applyBorder="1" applyAlignment="1">
      <alignment wrapText="1"/>
    </xf>
    <xf numFmtId="0" fontId="31" fillId="17" borderId="1" xfId="0" applyFont="1" applyFill="1" applyBorder="1" applyAlignment="1">
      <alignment wrapText="1"/>
    </xf>
    <xf numFmtId="0" fontId="31" fillId="17" borderId="2" xfId="0" applyFont="1" applyFill="1" applyBorder="1" applyAlignment="1">
      <alignment wrapText="1"/>
    </xf>
    <xf numFmtId="0" fontId="31" fillId="17" borderId="3" xfId="0" applyFont="1" applyFill="1" applyBorder="1" applyAlignment="1">
      <alignment wrapText="1"/>
    </xf>
    <xf numFmtId="0" fontId="31" fillId="18" borderId="1" xfId="0" applyFont="1" applyFill="1" applyBorder="1" applyAlignment="1">
      <alignment wrapText="1"/>
    </xf>
    <xf numFmtId="0" fontId="31" fillId="18" borderId="2" xfId="0" applyFont="1" applyFill="1" applyBorder="1" applyAlignment="1">
      <alignment wrapText="1"/>
    </xf>
    <xf numFmtId="0" fontId="31" fillId="18" borderId="3" xfId="0" applyFont="1" applyFill="1" applyBorder="1" applyAlignment="1">
      <alignment wrapText="1"/>
    </xf>
    <xf numFmtId="0" fontId="31" fillId="19" borderId="33" xfId="0" applyFont="1" applyFill="1" applyBorder="1" applyAlignment="1">
      <alignment wrapText="1"/>
    </xf>
    <xf numFmtId="0" fontId="31" fillId="19" borderId="2" xfId="0" applyFont="1" applyFill="1" applyBorder="1" applyAlignment="1">
      <alignment wrapText="1"/>
    </xf>
    <xf numFmtId="0" fontId="31" fillId="0" borderId="56" xfId="0" applyFont="1" applyBorder="1" applyAlignment="1">
      <alignment wrapText="1"/>
    </xf>
    <xf numFmtId="0" fontId="31" fillId="0" borderId="51" xfId="0" applyFont="1" applyBorder="1" applyAlignment="1">
      <alignment wrapText="1"/>
    </xf>
    <xf numFmtId="0" fontId="31" fillId="0" borderId="60" xfId="0" applyFont="1" applyBorder="1" applyAlignment="1">
      <alignment wrapText="1"/>
    </xf>
    <xf numFmtId="0" fontId="31" fillId="10" borderId="60" xfId="0" applyFont="1" applyFill="1" applyBorder="1" applyAlignment="1">
      <alignment wrapText="1"/>
    </xf>
    <xf numFmtId="0" fontId="31" fillId="10" borderId="52" xfId="0" applyFont="1" applyFill="1" applyBorder="1" applyAlignment="1">
      <alignment wrapText="1"/>
    </xf>
    <xf numFmtId="0" fontId="31" fillId="16" borderId="51" xfId="0" applyFont="1" applyFill="1" applyBorder="1" applyAlignment="1">
      <alignment wrapText="1"/>
    </xf>
    <xf numFmtId="0" fontId="31" fillId="16" borderId="60" xfId="0" applyFont="1" applyFill="1" applyBorder="1" applyAlignment="1">
      <alignment wrapText="1"/>
    </xf>
    <xf numFmtId="0" fontId="31" fillId="0" borderId="13" xfId="0" applyFont="1" applyBorder="1" applyAlignment="1">
      <alignment wrapText="1"/>
    </xf>
    <xf numFmtId="0" fontId="31" fillId="0" borderId="52" xfId="0" applyFont="1" applyBorder="1" applyAlignment="1">
      <alignment wrapText="1"/>
    </xf>
    <xf numFmtId="0" fontId="31" fillId="0" borderId="3" xfId="0" applyFont="1" applyBorder="1" applyAlignment="1">
      <alignment wrapText="1"/>
    </xf>
    <xf numFmtId="0" fontId="31" fillId="0" borderId="33" xfId="0" applyFont="1" applyBorder="1" applyAlignment="1">
      <alignment wrapText="1"/>
    </xf>
    <xf numFmtId="0" fontId="31" fillId="20" borderId="2" xfId="0" applyFont="1" applyFill="1" applyBorder="1" applyAlignment="1">
      <alignment wrapText="1"/>
    </xf>
    <xf numFmtId="0" fontId="31" fillId="20" borderId="56" xfId="0" applyFont="1" applyFill="1" applyBorder="1" applyAlignment="1">
      <alignment wrapText="1"/>
    </xf>
    <xf numFmtId="0" fontId="31" fillId="17" borderId="60" xfId="0" applyFont="1" applyFill="1" applyBorder="1" applyAlignment="1">
      <alignment wrapText="1"/>
    </xf>
    <xf numFmtId="0" fontId="31" fillId="17" borderId="52" xfId="0" applyFont="1" applyFill="1" applyBorder="1" applyAlignment="1">
      <alignment wrapText="1"/>
    </xf>
    <xf numFmtId="0" fontId="31" fillId="18" borderId="51" xfId="0" applyFont="1" applyFill="1" applyBorder="1" applyAlignment="1">
      <alignment wrapText="1"/>
    </xf>
    <xf numFmtId="0" fontId="31" fillId="18" borderId="60" xfId="0" applyFont="1" applyFill="1" applyBorder="1" applyAlignment="1">
      <alignment wrapText="1"/>
    </xf>
    <xf numFmtId="0" fontId="31" fillId="18" borderId="52" xfId="0" applyFont="1" applyFill="1" applyBorder="1" applyAlignment="1">
      <alignment wrapText="1"/>
    </xf>
    <xf numFmtId="0" fontId="31" fillId="0" borderId="58" xfId="0" applyFont="1" applyBorder="1" applyAlignment="1">
      <alignment wrapText="1"/>
    </xf>
    <xf numFmtId="0" fontId="31" fillId="0" borderId="25" xfId="0" applyFont="1" applyBorder="1" applyAlignment="1">
      <alignment wrapText="1"/>
    </xf>
    <xf numFmtId="0" fontId="31" fillId="0" borderId="61" xfId="0" applyFont="1" applyBorder="1" applyAlignment="1">
      <alignment wrapText="1"/>
    </xf>
    <xf numFmtId="0" fontId="31" fillId="20" borderId="10" xfId="0" applyFont="1" applyFill="1" applyBorder="1" applyAlignment="1">
      <alignment wrapText="1"/>
    </xf>
    <xf numFmtId="0" fontId="31" fillId="17" borderId="58" xfId="0" applyFont="1" applyFill="1" applyBorder="1" applyAlignment="1">
      <alignment wrapText="1"/>
    </xf>
    <xf numFmtId="0" fontId="31" fillId="17" borderId="25" xfId="0" applyFont="1" applyFill="1" applyBorder="1" applyAlignment="1">
      <alignment wrapText="1"/>
    </xf>
    <xf numFmtId="0" fontId="31" fillId="17" borderId="61" xfId="0" applyFont="1" applyFill="1" applyBorder="1" applyAlignment="1">
      <alignment wrapText="1"/>
    </xf>
    <xf numFmtId="0" fontId="31" fillId="18" borderId="58" xfId="0" applyFont="1" applyFill="1" applyBorder="1" applyAlignment="1">
      <alignment wrapText="1"/>
    </xf>
    <xf numFmtId="0" fontId="31" fillId="18" borderId="25" xfId="0" applyFont="1" applyFill="1" applyBorder="1" applyAlignment="1">
      <alignment wrapText="1"/>
    </xf>
    <xf numFmtId="0" fontId="31" fillId="18" borderId="61" xfId="0" applyFont="1" applyFill="1" applyBorder="1" applyAlignment="1">
      <alignment wrapText="1"/>
    </xf>
    <xf numFmtId="0" fontId="31" fillId="0" borderId="10" xfId="0" applyFont="1" applyBorder="1" applyAlignment="1">
      <alignment wrapText="1"/>
    </xf>
    <xf numFmtId="0" fontId="31" fillId="19" borderId="58" xfId="0" applyFont="1" applyFill="1" applyBorder="1" applyAlignment="1">
      <alignment wrapText="1"/>
    </xf>
    <xf numFmtId="0" fontId="31" fillId="19" borderId="25" xfId="0" applyFont="1" applyFill="1" applyBorder="1" applyAlignment="1">
      <alignment wrapText="1"/>
    </xf>
    <xf numFmtId="0" fontId="31" fillId="19" borderId="60" xfId="0" applyFont="1" applyFill="1" applyBorder="1" applyAlignment="1">
      <alignment wrapText="1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vertical="center"/>
    </xf>
    <xf numFmtId="0" fontId="21" fillId="0" borderId="31" xfId="0" applyFont="1" applyBorder="1" applyAlignment="1">
      <alignment horizontal="center" vertical="center" wrapText="1"/>
    </xf>
    <xf numFmtId="0" fontId="31" fillId="10" borderId="1" xfId="0" applyFont="1" applyFill="1" applyBorder="1" applyAlignment="1">
      <alignment wrapText="1"/>
    </xf>
    <xf numFmtId="0" fontId="31" fillId="10" borderId="57" xfId="0" applyFont="1" applyFill="1" applyBorder="1" applyAlignment="1">
      <alignment wrapText="1"/>
    </xf>
    <xf numFmtId="0" fontId="31" fillId="16" borderId="57" xfId="0" applyFont="1" applyFill="1" applyBorder="1" applyAlignment="1">
      <alignment wrapText="1"/>
    </xf>
    <xf numFmtId="0" fontId="31" fillId="20" borderId="1" xfId="0" applyFont="1" applyFill="1" applyBorder="1" applyAlignment="1">
      <alignment wrapText="1"/>
    </xf>
    <xf numFmtId="0" fontId="31" fillId="20" borderId="3" xfId="0" applyFont="1" applyFill="1" applyBorder="1" applyAlignment="1">
      <alignment wrapText="1"/>
    </xf>
    <xf numFmtId="0" fontId="31" fillId="17" borderId="33" xfId="0" applyFont="1" applyFill="1" applyBorder="1" applyAlignment="1">
      <alignment wrapText="1"/>
    </xf>
    <xf numFmtId="0" fontId="31" fillId="18" borderId="33" xfId="0" applyFont="1" applyFill="1" applyBorder="1" applyAlignment="1">
      <alignment wrapText="1"/>
    </xf>
    <xf numFmtId="0" fontId="31" fillId="19" borderId="3" xfId="0" applyFont="1" applyFill="1" applyBorder="1" applyAlignment="1">
      <alignment wrapText="1"/>
    </xf>
    <xf numFmtId="0" fontId="21" fillId="0" borderId="6" xfId="0" applyFont="1" applyBorder="1" applyAlignment="1">
      <alignment horizontal="center" vertical="center" wrapText="1"/>
    </xf>
    <xf numFmtId="0" fontId="31" fillId="10" borderId="5" xfId="0" applyFont="1" applyFill="1" applyBorder="1" applyAlignment="1">
      <alignment wrapText="1"/>
    </xf>
    <xf numFmtId="0" fontId="31" fillId="10" borderId="4" xfId="0" applyFont="1" applyFill="1" applyBorder="1" applyAlignment="1">
      <alignment wrapText="1"/>
    </xf>
    <xf numFmtId="0" fontId="31" fillId="10" borderId="14" xfId="0" applyFont="1" applyFill="1" applyBorder="1" applyAlignment="1">
      <alignment wrapText="1"/>
    </xf>
    <xf numFmtId="0" fontId="31" fillId="16" borderId="5" xfId="0" applyFont="1" applyFill="1" applyBorder="1" applyAlignment="1">
      <alignment wrapText="1"/>
    </xf>
    <xf numFmtId="0" fontId="31" fillId="16" borderId="4" xfId="0" applyFont="1" applyFill="1" applyBorder="1" applyAlignment="1">
      <alignment wrapText="1"/>
    </xf>
    <xf numFmtId="0" fontId="31" fillId="16" borderId="14" xfId="0" applyFont="1" applyFill="1" applyBorder="1" applyAlignment="1">
      <alignment wrapText="1"/>
    </xf>
    <xf numFmtId="0" fontId="31" fillId="20" borderId="5" xfId="0" applyFont="1" applyFill="1" applyBorder="1" applyAlignment="1">
      <alignment wrapText="1"/>
    </xf>
    <xf numFmtId="0" fontId="31" fillId="20" borderId="4" xfId="0" applyFont="1" applyFill="1" applyBorder="1" applyAlignment="1">
      <alignment wrapText="1"/>
    </xf>
    <xf numFmtId="0" fontId="31" fillId="17" borderId="15" xfId="0" applyFont="1" applyFill="1" applyBorder="1" applyAlignment="1">
      <alignment wrapText="1"/>
    </xf>
    <xf numFmtId="0" fontId="31" fillId="17" borderId="4" xfId="0" applyFont="1" applyFill="1" applyBorder="1" applyAlignment="1">
      <alignment wrapText="1"/>
    </xf>
    <xf numFmtId="0" fontId="31" fillId="17" borderId="10" xfId="0" applyFont="1" applyFill="1" applyBorder="1" applyAlignment="1">
      <alignment wrapText="1"/>
    </xf>
    <xf numFmtId="0" fontId="31" fillId="18" borderId="15" xfId="0" applyFont="1" applyFill="1" applyBorder="1" applyAlignment="1">
      <alignment wrapText="1"/>
    </xf>
    <xf numFmtId="0" fontId="31" fillId="18" borderId="4" xfId="0" applyFont="1" applyFill="1" applyBorder="1" applyAlignment="1">
      <alignment wrapText="1"/>
    </xf>
    <xf numFmtId="0" fontId="31" fillId="18" borderId="10" xfId="0" applyFont="1" applyFill="1" applyBorder="1" applyAlignment="1">
      <alignment wrapText="1"/>
    </xf>
    <xf numFmtId="0" fontId="31" fillId="19" borderId="15" xfId="0" applyFont="1" applyFill="1" applyBorder="1" applyAlignment="1">
      <alignment wrapText="1"/>
    </xf>
    <xf numFmtId="0" fontId="31" fillId="19" borderId="4" xfId="0" applyFont="1" applyFill="1" applyBorder="1" applyAlignment="1">
      <alignment wrapText="1"/>
    </xf>
    <xf numFmtId="0" fontId="31" fillId="19" borderId="10" xfId="0" applyFont="1" applyFill="1" applyBorder="1" applyAlignment="1">
      <alignment wrapText="1"/>
    </xf>
    <xf numFmtId="0" fontId="21" fillId="0" borderId="36" xfId="0" applyFont="1" applyBorder="1" applyAlignment="1">
      <alignment horizontal="center" vertical="center" wrapText="1"/>
    </xf>
    <xf numFmtId="0" fontId="31" fillId="19" borderId="12" xfId="0" applyFont="1" applyFill="1" applyBorder="1" applyAlignment="1">
      <alignment wrapText="1"/>
    </xf>
    <xf numFmtId="0" fontId="31" fillId="19" borderId="13" xfId="0" applyFont="1" applyFill="1" applyBorder="1" applyAlignment="1">
      <alignment wrapText="1"/>
    </xf>
    <xf numFmtId="0" fontId="70" fillId="0" borderId="0" xfId="0" applyFont="1" applyAlignment="1">
      <alignment horizontal="left"/>
    </xf>
    <xf numFmtId="0" fontId="60" fillId="0" borderId="0" xfId="0" applyFont="1"/>
    <xf numFmtId="0" fontId="76" fillId="0" borderId="0" xfId="0" applyFont="1" applyAlignment="1">
      <alignment horizontal="justify" vertical="center"/>
    </xf>
    <xf numFmtId="169" fontId="0" fillId="0" borderId="0" xfId="0" applyNumberFormat="1" applyAlignment="1">
      <alignment vertical="center"/>
    </xf>
    <xf numFmtId="168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164" fontId="5" fillId="0" borderId="4" xfId="16" applyFont="1" applyFill="1" applyBorder="1" applyAlignment="1">
      <alignment horizontal="right" vertical="center"/>
    </xf>
    <xf numFmtId="168" fontId="5" fillId="0" borderId="4" xfId="1" applyFont="1" applyFill="1" applyBorder="1" applyAlignment="1">
      <alignment horizontal="right" vertical="center"/>
    </xf>
    <xf numFmtId="168" fontId="0" fillId="0" borderId="0" xfId="0" applyNumberFormat="1" applyAlignment="1">
      <alignment vertical="center"/>
    </xf>
    <xf numFmtId="164" fontId="78" fillId="0" borderId="4" xfId="16" applyFont="1" applyFill="1" applyBorder="1" applyAlignment="1">
      <alignment horizontal="center" vertical="center" wrapText="1"/>
    </xf>
    <xf numFmtId="168" fontId="78" fillId="0" borderId="4" xfId="1" applyFont="1" applyFill="1" applyBorder="1" applyAlignment="1">
      <alignment horizontal="center" vertical="center" wrapText="1"/>
    </xf>
    <xf numFmtId="168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168" fontId="8" fillId="0" borderId="4" xfId="1" applyFont="1" applyFill="1" applyBorder="1" applyAlignment="1">
      <alignment horizontal="right" vertical="center"/>
    </xf>
    <xf numFmtId="164" fontId="8" fillId="0" borderId="4" xfId="16" applyFont="1" applyFill="1" applyBorder="1" applyAlignment="1">
      <alignment horizontal="right" vertical="center"/>
    </xf>
    <xf numFmtId="168" fontId="78" fillId="0" borderId="4" xfId="1" applyFont="1" applyFill="1" applyBorder="1" applyAlignment="1">
      <alignment horizontal="right" vertical="center"/>
    </xf>
    <xf numFmtId="0" fontId="60" fillId="0" borderId="0" xfId="0" applyFont="1" applyAlignment="1">
      <alignment horizontal="center" vertical="center"/>
    </xf>
    <xf numFmtId="168" fontId="60" fillId="0" borderId="0" xfId="0" applyNumberFormat="1" applyFont="1" applyAlignment="1">
      <alignment vertical="center"/>
    </xf>
    <xf numFmtId="0" fontId="60" fillId="0" borderId="0" xfId="0" applyFont="1" applyAlignment="1">
      <alignment vertical="center"/>
    </xf>
    <xf numFmtId="0" fontId="21" fillId="0" borderId="63" xfId="0" applyFont="1" applyBorder="1" applyAlignment="1">
      <alignment horizontal="center" vertical="center" wrapText="1"/>
    </xf>
    <xf numFmtId="0" fontId="31" fillId="10" borderId="54" xfId="0" applyFont="1" applyFill="1" applyBorder="1" applyAlignment="1">
      <alignment wrapText="1"/>
    </xf>
    <xf numFmtId="0" fontId="31" fillId="10" borderId="55" xfId="0" applyFont="1" applyFill="1" applyBorder="1" applyAlignment="1">
      <alignment wrapText="1"/>
    </xf>
    <xf numFmtId="0" fontId="31" fillId="10" borderId="64" xfId="0" applyFont="1" applyFill="1" applyBorder="1" applyAlignment="1">
      <alignment wrapText="1"/>
    </xf>
    <xf numFmtId="0" fontId="31" fillId="16" borderId="54" xfId="0" applyFont="1" applyFill="1" applyBorder="1" applyAlignment="1">
      <alignment wrapText="1"/>
    </xf>
    <xf numFmtId="0" fontId="31" fillId="16" borderId="55" xfId="0" applyFont="1" applyFill="1" applyBorder="1" applyAlignment="1">
      <alignment wrapText="1"/>
    </xf>
    <xf numFmtId="0" fontId="31" fillId="16" borderId="64" xfId="0" applyFont="1" applyFill="1" applyBorder="1" applyAlignment="1">
      <alignment wrapText="1"/>
    </xf>
    <xf numFmtId="0" fontId="31" fillId="20" borderId="54" xfId="0" applyFont="1" applyFill="1" applyBorder="1" applyAlignment="1">
      <alignment wrapText="1"/>
    </xf>
    <xf numFmtId="0" fontId="31" fillId="20" borderId="55" xfId="0" applyFont="1" applyFill="1" applyBorder="1" applyAlignment="1">
      <alignment wrapText="1"/>
    </xf>
    <xf numFmtId="0" fontId="31" fillId="17" borderId="65" xfId="0" applyFont="1" applyFill="1" applyBorder="1" applyAlignment="1">
      <alignment wrapText="1"/>
    </xf>
    <xf numFmtId="0" fontId="31" fillId="17" borderId="55" xfId="0" applyFont="1" applyFill="1" applyBorder="1" applyAlignment="1">
      <alignment wrapText="1"/>
    </xf>
    <xf numFmtId="0" fontId="31" fillId="17" borderId="56" xfId="0" applyFont="1" applyFill="1" applyBorder="1" applyAlignment="1">
      <alignment wrapText="1"/>
    </xf>
    <xf numFmtId="0" fontId="31" fillId="18" borderId="65" xfId="0" applyFont="1" applyFill="1" applyBorder="1" applyAlignment="1">
      <alignment wrapText="1"/>
    </xf>
    <xf numFmtId="0" fontId="31" fillId="18" borderId="55" xfId="0" applyFont="1" applyFill="1" applyBorder="1" applyAlignment="1">
      <alignment wrapText="1"/>
    </xf>
    <xf numFmtId="0" fontId="31" fillId="18" borderId="56" xfId="0" applyFont="1" applyFill="1" applyBorder="1" applyAlignment="1">
      <alignment wrapText="1"/>
    </xf>
    <xf numFmtId="0" fontId="31" fillId="19" borderId="65" xfId="0" applyFont="1" applyFill="1" applyBorder="1" applyAlignment="1">
      <alignment wrapText="1"/>
    </xf>
    <xf numFmtId="0" fontId="31" fillId="19" borderId="55" xfId="0" applyFont="1" applyFill="1" applyBorder="1" applyAlignment="1">
      <alignment wrapText="1"/>
    </xf>
    <xf numFmtId="0" fontId="31" fillId="19" borderId="56" xfId="0" applyFont="1" applyFill="1" applyBorder="1" applyAlignment="1">
      <alignment wrapText="1"/>
    </xf>
    <xf numFmtId="0" fontId="31" fillId="0" borderId="11" xfId="0" applyFont="1" applyBorder="1" applyAlignment="1">
      <alignment wrapText="1"/>
    </xf>
    <xf numFmtId="0" fontId="31" fillId="0" borderId="12" xfId="0" applyFont="1" applyBorder="1" applyAlignment="1">
      <alignment wrapText="1"/>
    </xf>
    <xf numFmtId="0" fontId="31" fillId="0" borderId="40" xfId="0" applyFont="1" applyBorder="1" applyAlignment="1">
      <alignment wrapText="1"/>
    </xf>
    <xf numFmtId="0" fontId="31" fillId="0" borderId="38" xfId="0" applyFont="1" applyBorder="1" applyAlignment="1">
      <alignment wrapText="1"/>
    </xf>
    <xf numFmtId="0" fontId="31" fillId="10" borderId="25" xfId="0" applyFont="1" applyFill="1" applyBorder="1" applyAlignment="1">
      <alignment wrapText="1"/>
    </xf>
    <xf numFmtId="0" fontId="31" fillId="10" borderId="61" xfId="0" applyFont="1" applyFill="1" applyBorder="1" applyAlignment="1">
      <alignment wrapText="1"/>
    </xf>
    <xf numFmtId="0" fontId="31" fillId="16" borderId="58" xfId="0" applyFont="1" applyFill="1" applyBorder="1" applyAlignment="1">
      <alignment wrapText="1"/>
    </xf>
    <xf numFmtId="0" fontId="31" fillId="16" borderId="25" xfId="0" applyFont="1" applyFill="1" applyBorder="1" applyAlignment="1">
      <alignment wrapText="1"/>
    </xf>
    <xf numFmtId="0" fontId="31" fillId="12" borderId="58" xfId="0" applyFont="1" applyFill="1" applyBorder="1" applyAlignment="1">
      <alignment wrapText="1"/>
    </xf>
    <xf numFmtId="0" fontId="31" fillId="12" borderId="25" xfId="0" applyFont="1" applyFill="1" applyBorder="1" applyAlignment="1">
      <alignment wrapText="1"/>
    </xf>
    <xf numFmtId="0" fontId="31" fillId="12" borderId="10" xfId="0" applyFont="1" applyFill="1" applyBorder="1" applyAlignment="1">
      <alignment wrapText="1"/>
    </xf>
    <xf numFmtId="0" fontId="31" fillId="12" borderId="60" xfId="0" applyFont="1" applyFill="1" applyBorder="1" applyAlignment="1">
      <alignment wrapText="1"/>
    </xf>
    <xf numFmtId="0" fontId="31" fillId="12" borderId="13" xfId="0" applyFont="1" applyFill="1" applyBorder="1" applyAlignment="1">
      <alignment wrapText="1"/>
    </xf>
    <xf numFmtId="0" fontId="31" fillId="17" borderId="51" xfId="0" applyFont="1" applyFill="1" applyBorder="1" applyAlignment="1">
      <alignment wrapText="1"/>
    </xf>
    <xf numFmtId="0" fontId="31" fillId="19" borderId="51" xfId="0" applyFont="1" applyFill="1" applyBorder="1" applyAlignment="1">
      <alignment wrapText="1"/>
    </xf>
    <xf numFmtId="0" fontId="31" fillId="19" borderId="52" xfId="0" applyFont="1" applyFill="1" applyBorder="1" applyAlignment="1">
      <alignment wrapText="1"/>
    </xf>
    <xf numFmtId="0" fontId="21" fillId="0" borderId="5" xfId="10" applyFont="1" applyBorder="1" applyAlignment="1">
      <alignment horizontal="center" vertical="center" wrapText="1"/>
    </xf>
    <xf numFmtId="0" fontId="21" fillId="0" borderId="5" xfId="10" applyFont="1" applyBorder="1" applyAlignment="1">
      <alignment vertical="center" wrapText="1"/>
    </xf>
    <xf numFmtId="0" fontId="31" fillId="19" borderId="44" xfId="0" applyFont="1" applyFill="1" applyBorder="1" applyAlignment="1">
      <alignment wrapText="1"/>
    </xf>
    <xf numFmtId="0" fontId="31" fillId="19" borderId="62" xfId="0" applyFont="1" applyFill="1" applyBorder="1" applyAlignment="1">
      <alignment wrapText="1"/>
    </xf>
    <xf numFmtId="0" fontId="31" fillId="19" borderId="66" xfId="0" applyFont="1" applyFill="1" applyBorder="1" applyAlignment="1">
      <alignment wrapText="1"/>
    </xf>
    <xf numFmtId="0" fontId="29" fillId="0" borderId="1" xfId="0" applyFont="1" applyBorder="1" applyAlignment="1">
      <alignment vertical="center" wrapText="1"/>
    </xf>
    <xf numFmtId="164" fontId="78" fillId="0" borderId="2" xfId="16" applyFont="1" applyFill="1" applyBorder="1" applyAlignment="1">
      <alignment horizontal="right" vertical="center"/>
    </xf>
    <xf numFmtId="164" fontId="78" fillId="0" borderId="3" xfId="16" applyFont="1" applyFill="1" applyBorder="1" applyAlignment="1">
      <alignment horizontal="right" vertical="center"/>
    </xf>
    <xf numFmtId="0" fontId="29" fillId="0" borderId="5" xfId="0" applyFont="1" applyBorder="1" applyAlignment="1">
      <alignment vertical="center" wrapText="1"/>
    </xf>
    <xf numFmtId="168" fontId="5" fillId="0" borderId="10" xfId="1" applyFont="1" applyFill="1" applyBorder="1" applyAlignment="1">
      <alignment horizontal="right" vertical="center"/>
    </xf>
    <xf numFmtId="168" fontId="8" fillId="0" borderId="10" xfId="1" applyFont="1" applyFill="1" applyBorder="1" applyAlignment="1">
      <alignment horizontal="right" vertical="center"/>
    </xf>
    <xf numFmtId="168" fontId="78" fillId="0" borderId="10" xfId="1" applyFont="1" applyFill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0" fontId="77" fillId="0" borderId="5" xfId="10" applyFont="1" applyBorder="1" applyAlignment="1">
      <alignment horizontal="center" vertical="center"/>
    </xf>
    <xf numFmtId="168" fontId="78" fillId="0" borderId="10" xfId="1" applyFont="1" applyFill="1" applyBorder="1" applyAlignment="1">
      <alignment horizontal="center" vertical="center" wrapText="1"/>
    </xf>
    <xf numFmtId="164" fontId="8" fillId="10" borderId="4" xfId="16" applyFont="1" applyFill="1" applyBorder="1" applyAlignment="1">
      <alignment vertical="center" wrapText="1"/>
    </xf>
    <xf numFmtId="176" fontId="0" fillId="0" borderId="0" xfId="0" applyNumberFormat="1" applyAlignment="1">
      <alignment vertical="center"/>
    </xf>
    <xf numFmtId="164" fontId="15" fillId="0" borderId="4" xfId="16" applyFont="1" applyFill="1" applyBorder="1" applyAlignment="1">
      <alignment wrapText="1"/>
    </xf>
    <xf numFmtId="0" fontId="63" fillId="11" borderId="4" xfId="0" applyFont="1" applyFill="1" applyBorder="1" applyAlignment="1">
      <alignment horizontal="center" vertical="center"/>
    </xf>
    <xf numFmtId="164" fontId="54" fillId="0" borderId="0" xfId="0" applyNumberFormat="1" applyFont="1"/>
    <xf numFmtId="164" fontId="63" fillId="0" borderId="4" xfId="16" applyFont="1" applyBorder="1" applyAlignment="1">
      <alignment horizontal="center" vertical="center"/>
    </xf>
    <xf numFmtId="10" fontId="54" fillId="0" borderId="0" xfId="0" applyNumberFormat="1" applyFont="1"/>
    <xf numFmtId="0" fontId="13" fillId="0" borderId="4" xfId="0" applyFont="1" applyBorder="1" applyAlignment="1">
      <alignment horizontal="center" vertical="center"/>
    </xf>
    <xf numFmtId="168" fontId="10" fillId="0" borderId="4" xfId="1" applyFont="1" applyFill="1" applyBorder="1" applyAlignment="1">
      <alignment horizontal="center" vertical="center"/>
    </xf>
    <xf numFmtId="168" fontId="10" fillId="0" borderId="4" xfId="1" applyFont="1" applyFill="1" applyBorder="1" applyAlignment="1">
      <alignment vertical="center"/>
    </xf>
    <xf numFmtId="9" fontId="16" fillId="0" borderId="4" xfId="17" applyFont="1" applyFill="1" applyBorder="1" applyAlignment="1">
      <alignment horizontal="center" vertical="center"/>
    </xf>
    <xf numFmtId="0" fontId="10" fillId="11" borderId="4" xfId="0" applyFont="1" applyFill="1" applyBorder="1" applyAlignment="1">
      <alignment horizontal="center" vertical="center"/>
    </xf>
    <xf numFmtId="0" fontId="15" fillId="0" borderId="4" xfId="0" applyFont="1" applyBorder="1" applyAlignment="1">
      <alignment wrapText="1"/>
    </xf>
    <xf numFmtId="168" fontId="15" fillId="0" borderId="4" xfId="0" applyNumberFormat="1" applyFont="1" applyBorder="1" applyAlignment="1">
      <alignment wrapText="1"/>
    </xf>
    <xf numFmtId="168" fontId="19" fillId="14" borderId="4" xfId="0" applyNumberFormat="1" applyFont="1" applyFill="1" applyBorder="1" applyAlignment="1">
      <alignment vertical="center" wrapText="1"/>
    </xf>
    <xf numFmtId="176" fontId="42" fillId="0" borderId="0" xfId="0" applyNumberFormat="1" applyFont="1"/>
    <xf numFmtId="168" fontId="10" fillId="0" borderId="0" xfId="1" applyFont="1" applyFill="1" applyBorder="1" applyAlignment="1">
      <alignment horizontal="center"/>
    </xf>
    <xf numFmtId="0" fontId="18" fillId="0" borderId="0" xfId="11" applyFont="1" applyAlignment="1">
      <alignment vertical="center" wrapText="1"/>
    </xf>
    <xf numFmtId="0" fontId="18" fillId="0" borderId="0" xfId="11" applyFont="1" applyAlignment="1">
      <alignment horizontal="center" vertical="center" wrapText="1"/>
    </xf>
    <xf numFmtId="0" fontId="0" fillId="0" borderId="4" xfId="0" applyBorder="1"/>
    <xf numFmtId="0" fontId="80" fillId="0" borderId="4" xfId="0" applyFont="1" applyBorder="1" applyAlignment="1">
      <alignment vertical="center"/>
    </xf>
    <xf numFmtId="0" fontId="80" fillId="0" borderId="4" xfId="0" applyFont="1" applyBorder="1" applyAlignment="1">
      <alignment horizontal="center" vertical="center"/>
    </xf>
    <xf numFmtId="10" fontId="67" fillId="0" borderId="4" xfId="0" applyNumberFormat="1" applyFont="1" applyBorder="1" applyAlignment="1">
      <alignment horizontal="center" vertical="center"/>
    </xf>
    <xf numFmtId="0" fontId="67" fillId="0" borderId="4" xfId="0" applyFont="1" applyBorder="1" applyAlignment="1">
      <alignment vertical="center"/>
    </xf>
    <xf numFmtId="0" fontId="29" fillId="21" borderId="5" xfId="0" applyFont="1" applyFill="1" applyBorder="1" applyAlignment="1">
      <alignment horizontal="center" vertical="center"/>
    </xf>
    <xf numFmtId="169" fontId="19" fillId="13" borderId="19" xfId="22" applyNumberFormat="1" applyFont="1" applyFill="1" applyBorder="1"/>
    <xf numFmtId="0" fontId="13" fillId="0" borderId="57" xfId="0" applyFont="1" applyBorder="1" applyAlignment="1">
      <alignment horizontal="center"/>
    </xf>
    <xf numFmtId="3" fontId="13" fillId="0" borderId="15" xfId="0" applyNumberFormat="1" applyFont="1" applyBorder="1" applyAlignment="1">
      <alignment horizontal="center"/>
    </xf>
    <xf numFmtId="169" fontId="13" fillId="2" borderId="4" xfId="22" applyNumberFormat="1" applyFont="1" applyFill="1" applyBorder="1"/>
    <xf numFmtId="0" fontId="13" fillId="2" borderId="15" xfId="0" applyFont="1" applyFill="1" applyBorder="1"/>
    <xf numFmtId="169" fontId="8" fillId="15" borderId="19" xfId="22" applyNumberFormat="1" applyFont="1" applyFill="1" applyBorder="1"/>
    <xf numFmtId="0" fontId="29" fillId="6" borderId="5" xfId="0" applyFont="1" applyFill="1" applyBorder="1" applyAlignment="1">
      <alignment horizontal="center" vertical="center"/>
    </xf>
    <xf numFmtId="165" fontId="22" fillId="0" borderId="4" xfId="1" applyNumberFormat="1" applyFont="1" applyFill="1" applyBorder="1" applyAlignment="1">
      <alignment vertical="center"/>
    </xf>
    <xf numFmtId="180" fontId="22" fillId="0" borderId="4" xfId="1" applyNumberFormat="1" applyFont="1" applyFill="1" applyBorder="1" applyAlignment="1">
      <alignment horizontal="center" vertical="center"/>
    </xf>
    <xf numFmtId="4" fontId="13" fillId="2" borderId="4" xfId="0" applyNumberFormat="1" applyFont="1" applyFill="1" applyBorder="1" applyAlignment="1">
      <alignment horizontal="right"/>
    </xf>
    <xf numFmtId="0" fontId="29" fillId="17" borderId="5" xfId="0" applyFont="1" applyFill="1" applyBorder="1" applyAlignment="1">
      <alignment horizontal="center" vertical="center"/>
    </xf>
    <xf numFmtId="0" fontId="29" fillId="22" borderId="5" xfId="0" applyFont="1" applyFill="1" applyBorder="1" applyAlignment="1">
      <alignment horizontal="center" vertical="center"/>
    </xf>
    <xf numFmtId="0" fontId="36" fillId="0" borderId="4" xfId="12" applyFont="1" applyBorder="1" applyAlignment="1">
      <alignment horizontal="center" vertical="center"/>
    </xf>
    <xf numFmtId="0" fontId="36" fillId="0" borderId="16" xfId="12" applyFont="1" applyBorder="1" applyAlignment="1">
      <alignment horizontal="center" vertical="center"/>
    </xf>
    <xf numFmtId="187" fontId="13" fillId="0" borderId="16" xfId="0" applyNumberFormat="1" applyFont="1" applyBorder="1"/>
    <xf numFmtId="0" fontId="13" fillId="0" borderId="2" xfId="0" quotePrefix="1" applyFont="1" applyBorder="1" applyAlignment="1">
      <alignment horizontal="center"/>
    </xf>
    <xf numFmtId="169" fontId="19" fillId="0" borderId="0" xfId="5" applyNumberFormat="1" applyFont="1" applyFill="1" applyBorder="1"/>
    <xf numFmtId="169" fontId="13" fillId="0" borderId="18" xfId="5" applyNumberFormat="1" applyFont="1" applyFill="1" applyBorder="1"/>
    <xf numFmtId="9" fontId="13" fillId="0" borderId="4" xfId="18" applyFont="1" applyFill="1" applyBorder="1" applyAlignment="1">
      <alignment horizontal="center"/>
    </xf>
    <xf numFmtId="169" fontId="13" fillId="0" borderId="10" xfId="5" applyNumberFormat="1" applyFont="1" applyFill="1" applyBorder="1"/>
    <xf numFmtId="169" fontId="13" fillId="0" borderId="4" xfId="5" applyNumberFormat="1" applyFont="1" applyFill="1" applyBorder="1"/>
    <xf numFmtId="169" fontId="13" fillId="0" borderId="19" xfId="5" applyNumberFormat="1" applyFont="1" applyFill="1" applyBorder="1"/>
    <xf numFmtId="169" fontId="13" fillId="0" borderId="12" xfId="5" applyNumberFormat="1" applyFont="1" applyFill="1" applyBorder="1"/>
    <xf numFmtId="169" fontId="13" fillId="0" borderId="14" xfId="5" applyNumberFormat="1" applyFont="1" applyFill="1" applyBorder="1"/>
    <xf numFmtId="169" fontId="13" fillId="2" borderId="4" xfId="5" applyNumberFormat="1" applyFont="1" applyFill="1" applyBorder="1"/>
    <xf numFmtId="169" fontId="13" fillId="0" borderId="16" xfId="5" applyNumberFormat="1" applyFont="1" applyFill="1" applyBorder="1"/>
    <xf numFmtId="0" fontId="29" fillId="23" borderId="5" xfId="0" applyFont="1" applyFill="1" applyBorder="1" applyAlignment="1">
      <alignment horizontal="center" vertical="center"/>
    </xf>
    <xf numFmtId="0" fontId="10" fillId="23" borderId="5" xfId="0" applyFont="1" applyFill="1" applyBorder="1" applyAlignment="1">
      <alignment horizontal="center"/>
    </xf>
    <xf numFmtId="0" fontId="29" fillId="12" borderId="5" xfId="0" applyFont="1" applyFill="1" applyBorder="1" applyAlignment="1">
      <alignment horizontal="center" vertical="center"/>
    </xf>
    <xf numFmtId="0" fontId="10" fillId="12" borderId="5" xfId="0" applyFont="1" applyFill="1" applyBorder="1" applyAlignment="1">
      <alignment horizontal="center"/>
    </xf>
    <xf numFmtId="0" fontId="10" fillId="0" borderId="4" xfId="0" applyFont="1" applyBorder="1" applyAlignment="1">
      <alignment horizontal="center"/>
    </xf>
    <xf numFmtId="164" fontId="49" fillId="23" borderId="10" xfId="16" applyFont="1" applyFill="1" applyBorder="1" applyAlignment="1">
      <alignment vertical="center"/>
    </xf>
    <xf numFmtId="165" fontId="43" fillId="0" borderId="4" xfId="1" applyNumberFormat="1" applyFont="1" applyFill="1" applyBorder="1" applyAlignment="1">
      <alignment horizontal="center" vertical="center"/>
    </xf>
    <xf numFmtId="0" fontId="10" fillId="23" borderId="5" xfId="0" applyFont="1" applyFill="1" applyBorder="1" applyAlignment="1">
      <alignment horizontal="center" vertical="center"/>
    </xf>
    <xf numFmtId="164" fontId="49" fillId="12" borderId="10" xfId="16" applyFont="1" applyFill="1" applyBorder="1" applyAlignment="1">
      <alignment vertical="center"/>
    </xf>
    <xf numFmtId="0" fontId="10" fillId="12" borderId="5" xfId="0" applyFont="1" applyFill="1" applyBorder="1" applyAlignment="1">
      <alignment horizontal="center" vertical="center"/>
    </xf>
    <xf numFmtId="0" fontId="10" fillId="21" borderId="5" xfId="0" applyFont="1" applyFill="1" applyBorder="1" applyAlignment="1">
      <alignment horizontal="center" vertical="center"/>
    </xf>
    <xf numFmtId="164" fontId="49" fillId="21" borderId="10" xfId="16" applyFont="1" applyFill="1" applyBorder="1" applyAlignment="1">
      <alignment vertical="center"/>
    </xf>
    <xf numFmtId="0" fontId="10" fillId="6" borderId="5" xfId="0" applyFont="1" applyFill="1" applyBorder="1" applyAlignment="1">
      <alignment horizontal="center" vertical="center"/>
    </xf>
    <xf numFmtId="164" fontId="49" fillId="6" borderId="10" xfId="16" applyFont="1" applyFill="1" applyBorder="1" applyAlignment="1">
      <alignment vertical="center"/>
    </xf>
    <xf numFmtId="186" fontId="11" fillId="0" borderId="5" xfId="0" applyNumberFormat="1" applyFont="1" applyBorder="1" applyAlignment="1">
      <alignment horizontal="center"/>
    </xf>
    <xf numFmtId="0" fontId="10" fillId="17" borderId="5" xfId="0" applyFont="1" applyFill="1" applyBorder="1" applyAlignment="1">
      <alignment horizontal="center" vertical="center"/>
    </xf>
    <xf numFmtId="164" fontId="49" fillId="17" borderId="10" xfId="16" applyFont="1" applyFill="1" applyBorder="1" applyAlignment="1">
      <alignment vertical="center"/>
    </xf>
    <xf numFmtId="0" fontId="10" fillId="22" borderId="5" xfId="0" applyFont="1" applyFill="1" applyBorder="1" applyAlignment="1">
      <alignment horizontal="center" vertical="center"/>
    </xf>
    <xf numFmtId="164" fontId="49" fillId="22" borderId="10" xfId="16" applyFont="1" applyFill="1" applyBorder="1" applyAlignment="1">
      <alignment vertical="center"/>
    </xf>
    <xf numFmtId="186" fontId="10" fillId="0" borderId="5" xfId="0" applyNumberFormat="1" applyFont="1" applyBorder="1" applyAlignment="1">
      <alignment horizontal="center"/>
    </xf>
    <xf numFmtId="2" fontId="11" fillId="0" borderId="5" xfId="0" applyNumberFormat="1" applyFont="1" applyBorder="1" applyAlignment="1">
      <alignment horizontal="center"/>
    </xf>
    <xf numFmtId="164" fontId="0" fillId="0" borderId="0" xfId="5" applyFont="1" applyFill="1" applyBorder="1" applyAlignment="1"/>
    <xf numFmtId="0" fontId="15" fillId="0" borderId="5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5" xfId="0" applyFont="1" applyBorder="1" applyAlignment="1">
      <alignment horizontal="center" wrapText="1"/>
    </xf>
    <xf numFmtId="0" fontId="15" fillId="0" borderId="4" xfId="0" applyFont="1" applyBorder="1" applyAlignment="1">
      <alignment horizontal="center" wrapText="1"/>
    </xf>
    <xf numFmtId="0" fontId="15" fillId="0" borderId="10" xfId="0" applyFont="1" applyBorder="1" applyAlignment="1">
      <alignment horizontal="center" wrapText="1"/>
    </xf>
    <xf numFmtId="0" fontId="15" fillId="12" borderId="4" xfId="0" applyFont="1" applyFill="1" applyBorder="1" applyAlignment="1">
      <alignment horizontal="center" wrapText="1"/>
    </xf>
    <xf numFmtId="0" fontId="17" fillId="0" borderId="5" xfId="0" applyFont="1" applyBorder="1" applyAlignment="1" applyProtection="1">
      <alignment horizontal="left" vertical="center" wrapText="1"/>
      <protection locked="0"/>
    </xf>
    <xf numFmtId="0" fontId="17" fillId="0" borderId="4" xfId="0" applyFont="1" applyBorder="1" applyAlignment="1" applyProtection="1">
      <alignment horizontal="left" vertical="center" wrapText="1"/>
      <protection locked="0"/>
    </xf>
    <xf numFmtId="0" fontId="17" fillId="0" borderId="10" xfId="0" applyFont="1" applyBorder="1" applyAlignment="1" applyProtection="1">
      <alignment horizontal="left" vertical="center" wrapText="1"/>
      <protection locked="0"/>
    </xf>
    <xf numFmtId="0" fontId="15" fillId="0" borderId="5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12" borderId="4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6" fillId="0" borderId="5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34" fillId="0" borderId="14" xfId="0" applyFont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 wrapText="1"/>
    </xf>
    <xf numFmtId="0" fontId="29" fillId="12" borderId="4" xfId="0" applyFont="1" applyFill="1" applyBorder="1" applyAlignment="1">
      <alignment horizontal="left" vertical="center" wrapText="1"/>
    </xf>
    <xf numFmtId="0" fontId="29" fillId="12" borderId="10" xfId="0" applyFont="1" applyFill="1" applyBorder="1" applyAlignment="1">
      <alignment horizontal="left" vertical="center" wrapText="1"/>
    </xf>
    <xf numFmtId="0" fontId="34" fillId="0" borderId="4" xfId="0" applyFont="1" applyBorder="1" applyAlignment="1">
      <alignment horizontal="left" wrapText="1"/>
    </xf>
    <xf numFmtId="0" fontId="34" fillId="0" borderId="10" xfId="0" applyFont="1" applyBorder="1" applyAlignment="1">
      <alignment horizontal="left" wrapText="1"/>
    </xf>
    <xf numFmtId="9" fontId="34" fillId="0" borderId="14" xfId="9" applyFont="1" applyFill="1" applyBorder="1" applyAlignment="1">
      <alignment horizontal="center" vertical="center" wrapText="1"/>
    </xf>
    <xf numFmtId="9" fontId="34" fillId="0" borderId="7" xfId="9" applyFont="1" applyFill="1" applyBorder="1" applyAlignment="1">
      <alignment horizontal="center" vertical="center" wrapText="1"/>
    </xf>
    <xf numFmtId="9" fontId="34" fillId="0" borderId="15" xfId="9" applyFont="1" applyFill="1" applyBorder="1" applyAlignment="1">
      <alignment horizontal="center" vertical="center" wrapText="1"/>
    </xf>
    <xf numFmtId="0" fontId="15" fillId="22" borderId="4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left" vertical="center" wrapText="1"/>
    </xf>
    <xf numFmtId="0" fontId="10" fillId="0" borderId="27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21" fillId="0" borderId="5" xfId="0" applyFont="1" applyBorder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0" fontId="22" fillId="14" borderId="5" xfId="0" applyFont="1" applyFill="1" applyBorder="1" applyAlignment="1">
      <alignment horizontal="left" vertical="center"/>
    </xf>
    <xf numFmtId="0" fontId="22" fillId="14" borderId="4" xfId="0" applyFont="1" applyFill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0" fontId="22" fillId="0" borderId="2" xfId="0" applyFont="1" applyBorder="1" applyAlignment="1">
      <alignment horizontal="left" vertical="center"/>
    </xf>
    <xf numFmtId="0" fontId="15" fillId="0" borderId="11" xfId="0" applyFont="1" applyBorder="1" applyAlignment="1">
      <alignment horizontal="center" wrapText="1"/>
    </xf>
    <xf numFmtId="0" fontId="15" fillId="0" borderId="12" xfId="0" applyFont="1" applyBorder="1" applyAlignment="1">
      <alignment horizontal="center" wrapText="1"/>
    </xf>
    <xf numFmtId="0" fontId="15" fillId="0" borderId="13" xfId="0" applyFont="1" applyBorder="1" applyAlignment="1">
      <alignment horizontal="center" wrapText="1"/>
    </xf>
    <xf numFmtId="0" fontId="29" fillId="22" borderId="4" xfId="0" applyFont="1" applyFill="1" applyBorder="1" applyAlignment="1">
      <alignment horizontal="left" vertical="center" wrapText="1"/>
    </xf>
    <xf numFmtId="0" fontId="29" fillId="22" borderId="10" xfId="0" applyFont="1" applyFill="1" applyBorder="1" applyAlignment="1">
      <alignment horizontal="left" vertical="center" wrapText="1"/>
    </xf>
    <xf numFmtId="0" fontId="29" fillId="21" borderId="4" xfId="0" applyFont="1" applyFill="1" applyBorder="1" applyAlignment="1">
      <alignment horizontal="left" vertical="center" wrapText="1"/>
    </xf>
    <xf numFmtId="0" fontId="29" fillId="21" borderId="10" xfId="0" applyFont="1" applyFill="1" applyBorder="1" applyAlignment="1">
      <alignment horizontal="left" vertical="center" wrapText="1"/>
    </xf>
    <xf numFmtId="0" fontId="18" fillId="0" borderId="1" xfId="2" applyFont="1" applyBorder="1" applyAlignment="1">
      <alignment horizontal="center" vertical="center" wrapText="1"/>
    </xf>
    <xf numFmtId="0" fontId="18" fillId="0" borderId="2" xfId="2" applyFont="1" applyBorder="1" applyAlignment="1">
      <alignment horizontal="center" vertical="center" wrapText="1"/>
    </xf>
    <xf numFmtId="0" fontId="18" fillId="0" borderId="3" xfId="2" applyFont="1" applyBorder="1" applyAlignment="1">
      <alignment horizontal="center" vertical="center" wrapText="1"/>
    </xf>
    <xf numFmtId="0" fontId="18" fillId="0" borderId="5" xfId="2" applyFont="1" applyBorder="1" applyAlignment="1">
      <alignment horizontal="center" vertical="center" wrapText="1"/>
    </xf>
    <xf numFmtId="0" fontId="18" fillId="0" borderId="4" xfId="2" applyFont="1" applyBorder="1" applyAlignment="1">
      <alignment horizontal="center" vertical="center" wrapText="1"/>
    </xf>
    <xf numFmtId="0" fontId="18" fillId="0" borderId="10" xfId="2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7" fillId="11" borderId="5" xfId="0" applyFont="1" applyFill="1" applyBorder="1" applyAlignment="1" applyProtection="1">
      <alignment horizontal="center" vertical="center"/>
      <protection locked="0"/>
    </xf>
    <xf numFmtId="0" fontId="35" fillId="11" borderId="4" xfId="0" applyFont="1" applyFill="1" applyBorder="1" applyAlignment="1">
      <alignment vertical="center"/>
    </xf>
    <xf numFmtId="0" fontId="35" fillId="11" borderId="10" xfId="0" applyFont="1" applyFill="1" applyBorder="1" applyAlignment="1">
      <alignment vertical="center"/>
    </xf>
    <xf numFmtId="0" fontId="22" fillId="0" borderId="5" xfId="0" applyFont="1" applyBorder="1" applyAlignment="1">
      <alignment horizontal="left" vertical="center"/>
    </xf>
    <xf numFmtId="0" fontId="22" fillId="0" borderId="4" xfId="0" applyFont="1" applyBorder="1" applyAlignment="1">
      <alignment horizontal="left" vertical="center"/>
    </xf>
    <xf numFmtId="0" fontId="15" fillId="21" borderId="4" xfId="0" applyFont="1" applyFill="1" applyBorder="1" applyAlignment="1">
      <alignment horizontal="center" vertical="center" wrapText="1"/>
    </xf>
    <xf numFmtId="0" fontId="29" fillId="6" borderId="4" xfId="0" applyFont="1" applyFill="1" applyBorder="1" applyAlignment="1">
      <alignment horizontal="left" vertical="center" wrapText="1"/>
    </xf>
    <xf numFmtId="0" fontId="29" fillId="6" borderId="10" xfId="0" applyFont="1" applyFill="1" applyBorder="1" applyAlignment="1">
      <alignment horizontal="left" vertical="center" wrapText="1"/>
    </xf>
    <xf numFmtId="0" fontId="15" fillId="6" borderId="4" xfId="0" applyFont="1" applyFill="1" applyBorder="1" applyAlignment="1">
      <alignment horizontal="center" vertical="center" wrapText="1"/>
    </xf>
    <xf numFmtId="0" fontId="29" fillId="17" borderId="4" xfId="0" applyFont="1" applyFill="1" applyBorder="1" applyAlignment="1">
      <alignment horizontal="left" vertical="center" wrapText="1"/>
    </xf>
    <xf numFmtId="0" fontId="29" fillId="17" borderId="10" xfId="0" applyFont="1" applyFill="1" applyBorder="1" applyAlignment="1">
      <alignment horizontal="left" vertical="center" wrapText="1"/>
    </xf>
    <xf numFmtId="0" fontId="15" fillId="17" borderId="4" xfId="0" applyFont="1" applyFill="1" applyBorder="1" applyAlignment="1">
      <alignment horizontal="center" vertical="center" wrapText="1"/>
    </xf>
    <xf numFmtId="0" fontId="15" fillId="23" borderId="4" xfId="0" applyFont="1" applyFill="1" applyBorder="1" applyAlignment="1">
      <alignment horizontal="center" vertical="center" wrapText="1"/>
    </xf>
    <xf numFmtId="0" fontId="29" fillId="23" borderId="4" xfId="0" applyFont="1" applyFill="1" applyBorder="1" applyAlignment="1">
      <alignment horizontal="left" vertical="center" wrapText="1"/>
    </xf>
    <xf numFmtId="0" fontId="29" fillId="23" borderId="10" xfId="0" applyFont="1" applyFill="1" applyBorder="1" applyAlignment="1">
      <alignment horizontal="left" vertical="center" wrapText="1"/>
    </xf>
    <xf numFmtId="0" fontId="15" fillId="23" borderId="14" xfId="0" applyFont="1" applyFill="1" applyBorder="1" applyAlignment="1">
      <alignment horizontal="center" vertical="center" wrapText="1"/>
    </xf>
    <xf numFmtId="0" fontId="15" fillId="23" borderId="7" xfId="0" applyFont="1" applyFill="1" applyBorder="1" applyAlignment="1">
      <alignment horizontal="center" vertical="center" wrapText="1"/>
    </xf>
    <xf numFmtId="0" fontId="15" fillId="23" borderId="15" xfId="0" applyFont="1" applyFill="1" applyBorder="1" applyAlignment="1">
      <alignment horizontal="center" vertical="center" wrapText="1"/>
    </xf>
    <xf numFmtId="0" fontId="36" fillId="0" borderId="14" xfId="12" applyFont="1" applyBorder="1" applyAlignment="1">
      <alignment horizontal="center" vertical="center" wrapText="1"/>
    </xf>
    <xf numFmtId="0" fontId="36" fillId="0" borderId="15" xfId="12" applyFont="1" applyBorder="1" applyAlignment="1">
      <alignment horizontal="center" vertical="center" wrapText="1"/>
    </xf>
    <xf numFmtId="0" fontId="21" fillId="0" borderId="14" xfId="12" applyFont="1" applyBorder="1" applyAlignment="1">
      <alignment horizontal="center"/>
    </xf>
    <xf numFmtId="0" fontId="21" fillId="0" borderId="7" xfId="12" applyFont="1" applyBorder="1" applyAlignment="1">
      <alignment horizontal="center"/>
    </xf>
    <xf numFmtId="0" fontId="21" fillId="0" borderId="15" xfId="12" applyFont="1" applyBorder="1" applyAlignment="1">
      <alignment horizontal="center"/>
    </xf>
    <xf numFmtId="0" fontId="36" fillId="9" borderId="14" xfId="12" applyFont="1" applyFill="1" applyBorder="1" applyAlignment="1">
      <alignment horizontal="center" vertical="center"/>
    </xf>
    <xf numFmtId="0" fontId="36" fillId="9" borderId="7" xfId="12" applyFont="1" applyFill="1" applyBorder="1" applyAlignment="1">
      <alignment horizontal="center" vertical="center"/>
    </xf>
    <xf numFmtId="0" fontId="36" fillId="0" borderId="14" xfId="12" applyFont="1" applyBorder="1" applyAlignment="1">
      <alignment horizontal="center" vertical="center"/>
    </xf>
    <xf numFmtId="0" fontId="36" fillId="0" borderId="15" xfId="12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64" fillId="0" borderId="14" xfId="0" applyFont="1" applyBorder="1" applyAlignment="1">
      <alignment horizontal="center" vertical="center"/>
    </xf>
    <xf numFmtId="0" fontId="64" fillId="0" borderId="7" xfId="0" applyFont="1" applyBorder="1" applyAlignment="1">
      <alignment horizontal="center" vertical="center"/>
    </xf>
    <xf numFmtId="0" fontId="64" fillId="0" borderId="15" xfId="0" applyFont="1" applyBorder="1" applyAlignment="1">
      <alignment horizontal="center" vertical="center"/>
    </xf>
    <xf numFmtId="0" fontId="36" fillId="3" borderId="16" xfId="12" applyFont="1" applyFill="1" applyBorder="1" applyAlignment="1">
      <alignment horizontal="center" vertical="center" wrapText="1"/>
    </xf>
    <xf numFmtId="0" fontId="36" fillId="3" borderId="25" xfId="12" applyFont="1" applyFill="1" applyBorder="1" applyAlignment="1">
      <alignment horizontal="center" vertical="center" wrapText="1"/>
    </xf>
    <xf numFmtId="0" fontId="36" fillId="3" borderId="16" xfId="12" applyFont="1" applyFill="1" applyBorder="1" applyAlignment="1">
      <alignment horizontal="center" vertical="center"/>
    </xf>
    <xf numFmtId="0" fontId="36" fillId="3" borderId="25" xfId="12" applyFont="1" applyFill="1" applyBorder="1" applyAlignment="1">
      <alignment horizontal="center" vertical="center"/>
    </xf>
    <xf numFmtId="0" fontId="36" fillId="3" borderId="39" xfId="12" applyFont="1" applyFill="1" applyBorder="1" applyAlignment="1">
      <alignment horizontal="center" vertical="center" wrapText="1"/>
    </xf>
    <xf numFmtId="0" fontId="36" fillId="3" borderId="27" xfId="12" applyFont="1" applyFill="1" applyBorder="1" applyAlignment="1">
      <alignment horizontal="center" vertical="center" wrapText="1"/>
    </xf>
    <xf numFmtId="0" fontId="36" fillId="3" borderId="35" xfId="12" applyFont="1" applyFill="1" applyBorder="1" applyAlignment="1">
      <alignment horizontal="center" vertical="center" wrapText="1"/>
    </xf>
    <xf numFmtId="0" fontId="36" fillId="3" borderId="46" xfId="12" applyFont="1" applyFill="1" applyBorder="1" applyAlignment="1">
      <alignment horizontal="center" vertical="center" wrapText="1"/>
    </xf>
    <xf numFmtId="0" fontId="36" fillId="3" borderId="0" xfId="12" applyFont="1" applyFill="1" applyAlignment="1">
      <alignment horizontal="center" vertical="center" wrapText="1"/>
    </xf>
    <xf numFmtId="0" fontId="36" fillId="3" borderId="45" xfId="12" applyFont="1" applyFill="1" applyBorder="1" applyAlignment="1">
      <alignment horizontal="center" vertical="center" wrapText="1"/>
    </xf>
    <xf numFmtId="0" fontId="36" fillId="3" borderId="47" xfId="12" applyFont="1" applyFill="1" applyBorder="1" applyAlignment="1">
      <alignment horizontal="center" vertical="center" wrapText="1"/>
    </xf>
    <xf numFmtId="0" fontId="36" fillId="3" borderId="29" xfId="12" applyFont="1" applyFill="1" applyBorder="1" applyAlignment="1">
      <alignment horizontal="center" vertical="center" wrapText="1"/>
    </xf>
    <xf numFmtId="0" fontId="36" fillId="3" borderId="48" xfId="12" applyFont="1" applyFill="1" applyBorder="1" applyAlignment="1">
      <alignment horizontal="center" vertical="center" wrapText="1"/>
    </xf>
    <xf numFmtId="0" fontId="43" fillId="0" borderId="14" xfId="12" applyFont="1" applyBorder="1" applyAlignment="1">
      <alignment horizontal="center" vertical="center" wrapText="1"/>
    </xf>
    <xf numFmtId="0" fontId="43" fillId="0" borderId="15" xfId="12" applyFont="1" applyBorder="1" applyAlignment="1">
      <alignment horizontal="center" vertical="center" wrapText="1"/>
    </xf>
    <xf numFmtId="0" fontId="36" fillId="0" borderId="7" xfId="12" applyFont="1" applyBorder="1" applyAlignment="1">
      <alignment horizontal="center" vertical="center"/>
    </xf>
    <xf numFmtId="0" fontId="64" fillId="0" borderId="14" xfId="0" applyFont="1" applyBorder="1" applyAlignment="1">
      <alignment horizontal="left" vertical="center"/>
    </xf>
    <xf numFmtId="0" fontId="64" fillId="0" borderId="7" xfId="0" applyFont="1" applyBorder="1" applyAlignment="1">
      <alignment horizontal="left" vertical="center"/>
    </xf>
    <xf numFmtId="0" fontId="64" fillId="0" borderId="15" xfId="0" applyFont="1" applyBorder="1" applyAlignment="1">
      <alignment horizontal="left" vertical="center"/>
    </xf>
    <xf numFmtId="0" fontId="36" fillId="9" borderId="15" xfId="12" applyFont="1" applyFill="1" applyBorder="1" applyAlignment="1">
      <alignment horizontal="center" vertical="center"/>
    </xf>
    <xf numFmtId="0" fontId="36" fillId="3" borderId="4" xfId="12" applyFont="1" applyFill="1" applyBorder="1" applyAlignment="1">
      <alignment horizontal="center" vertical="center" wrapText="1"/>
    </xf>
    <xf numFmtId="0" fontId="36" fillId="3" borderId="4" xfId="12" applyFont="1" applyFill="1" applyBorder="1" applyAlignment="1">
      <alignment horizontal="center" vertical="center"/>
    </xf>
    <xf numFmtId="165" fontId="22" fillId="0" borderId="4" xfId="1" applyNumberFormat="1" applyFont="1" applyBorder="1" applyAlignment="1">
      <alignment horizontal="center" vertical="center"/>
    </xf>
    <xf numFmtId="0" fontId="36" fillId="3" borderId="14" xfId="12" applyFont="1" applyFill="1" applyBorder="1" applyAlignment="1">
      <alignment horizontal="center" vertical="center"/>
    </xf>
    <xf numFmtId="0" fontId="36" fillId="3" borderId="7" xfId="12" applyFont="1" applyFill="1" applyBorder="1" applyAlignment="1">
      <alignment horizontal="center" vertical="center"/>
    </xf>
    <xf numFmtId="0" fontId="36" fillId="5" borderId="14" xfId="12" applyFont="1" applyFill="1" applyBorder="1" applyAlignment="1">
      <alignment horizontal="center" vertical="center"/>
    </xf>
    <xf numFmtId="0" fontId="36" fillId="5" borderId="7" xfId="12" applyFont="1" applyFill="1" applyBorder="1" applyAlignment="1">
      <alignment horizontal="center" vertical="center"/>
    </xf>
    <xf numFmtId="0" fontId="36" fillId="5" borderId="15" xfId="12" applyFont="1" applyFill="1" applyBorder="1" applyAlignment="1">
      <alignment horizontal="center" vertical="center"/>
    </xf>
    <xf numFmtId="0" fontId="36" fillId="6" borderId="14" xfId="12" applyFont="1" applyFill="1" applyBorder="1" applyAlignment="1">
      <alignment horizontal="center" vertical="center"/>
    </xf>
    <xf numFmtId="0" fontId="36" fillId="6" borderId="7" xfId="12" applyFont="1" applyFill="1" applyBorder="1" applyAlignment="1">
      <alignment horizontal="center" vertical="center"/>
    </xf>
    <xf numFmtId="0" fontId="47" fillId="3" borderId="16" xfId="12" applyFont="1" applyFill="1" applyBorder="1" applyAlignment="1">
      <alignment horizontal="center" vertical="center" wrapText="1"/>
    </xf>
    <xf numFmtId="0" fontId="47" fillId="3" borderId="25" xfId="12" applyFont="1" applyFill="1" applyBorder="1" applyAlignment="1">
      <alignment horizontal="center" vertical="center" wrapText="1"/>
    </xf>
    <xf numFmtId="0" fontId="36" fillId="3" borderId="15" xfId="12" applyFont="1" applyFill="1" applyBorder="1" applyAlignment="1">
      <alignment horizontal="center" vertical="center"/>
    </xf>
    <xf numFmtId="0" fontId="36" fillId="9" borderId="14" xfId="12" applyFont="1" applyFill="1" applyBorder="1" applyAlignment="1">
      <alignment horizontal="center" vertical="center" wrapText="1"/>
    </xf>
    <xf numFmtId="0" fontId="36" fillId="9" borderId="7" xfId="12" applyFont="1" applyFill="1" applyBorder="1" applyAlignment="1">
      <alignment horizontal="center" vertical="center" wrapText="1"/>
    </xf>
    <xf numFmtId="0" fontId="36" fillId="9" borderId="15" xfId="12" applyFont="1" applyFill="1" applyBorder="1" applyAlignment="1">
      <alignment horizontal="center" vertical="center" wrapText="1"/>
    </xf>
    <xf numFmtId="0" fontId="36" fillId="7" borderId="14" xfId="12" applyFont="1" applyFill="1" applyBorder="1" applyAlignment="1">
      <alignment horizontal="center" vertical="center"/>
    </xf>
    <xf numFmtId="0" fontId="36" fillId="7" borderId="7" xfId="12" applyFont="1" applyFill="1" applyBorder="1" applyAlignment="1">
      <alignment horizontal="center" vertical="center"/>
    </xf>
    <xf numFmtId="0" fontId="36" fillId="7" borderId="15" xfId="12" applyFont="1" applyFill="1" applyBorder="1" applyAlignment="1">
      <alignment horizontal="center" vertical="center"/>
    </xf>
    <xf numFmtId="0" fontId="36" fillId="8" borderId="14" xfId="12" applyFont="1" applyFill="1" applyBorder="1" applyAlignment="1">
      <alignment horizontal="center" vertical="center"/>
    </xf>
    <xf numFmtId="0" fontId="36" fillId="8" borderId="7" xfId="12" applyFont="1" applyFill="1" applyBorder="1" applyAlignment="1">
      <alignment horizontal="center" vertical="center"/>
    </xf>
    <xf numFmtId="0" fontId="36" fillId="12" borderId="14" xfId="12" applyFont="1" applyFill="1" applyBorder="1" applyAlignment="1">
      <alignment horizontal="center" vertical="center"/>
    </xf>
    <xf numFmtId="0" fontId="36" fillId="12" borderId="7" xfId="12" applyFont="1" applyFill="1" applyBorder="1" applyAlignment="1">
      <alignment horizontal="center" vertical="center"/>
    </xf>
    <xf numFmtId="0" fontId="36" fillId="12" borderId="14" xfId="12" applyFont="1" applyFill="1" applyBorder="1" applyAlignment="1">
      <alignment horizontal="center" vertical="center" wrapText="1"/>
    </xf>
    <xf numFmtId="0" fontId="36" fillId="12" borderId="7" xfId="12" applyFont="1" applyFill="1" applyBorder="1" applyAlignment="1">
      <alignment horizontal="center" vertical="center" wrapText="1"/>
    </xf>
    <xf numFmtId="0" fontId="36" fillId="12" borderId="15" xfId="12" applyFont="1" applyFill="1" applyBorder="1" applyAlignment="1">
      <alignment horizontal="center" vertical="center" wrapText="1"/>
    </xf>
    <xf numFmtId="0" fontId="36" fillId="3" borderId="39" xfId="12" applyFont="1" applyFill="1" applyBorder="1" applyAlignment="1">
      <alignment horizontal="center" vertical="center"/>
    </xf>
    <xf numFmtId="0" fontId="36" fillId="3" borderId="35" xfId="12" applyFont="1" applyFill="1" applyBorder="1" applyAlignment="1">
      <alignment horizontal="center" vertical="center"/>
    </xf>
    <xf numFmtId="0" fontId="36" fillId="3" borderId="47" xfId="12" applyFont="1" applyFill="1" applyBorder="1" applyAlignment="1">
      <alignment horizontal="center" vertical="center"/>
    </xf>
    <xf numFmtId="0" fontId="36" fillId="3" borderId="48" xfId="12" applyFont="1" applyFill="1" applyBorder="1" applyAlignment="1">
      <alignment horizontal="center" vertical="center"/>
    </xf>
    <xf numFmtId="0" fontId="36" fillId="6" borderId="14" xfId="12" applyFont="1" applyFill="1" applyBorder="1" applyAlignment="1">
      <alignment horizontal="center" vertical="center" wrapText="1"/>
    </xf>
    <xf numFmtId="0" fontId="36" fillId="6" borderId="7" xfId="12" applyFont="1" applyFill="1" applyBorder="1" applyAlignment="1">
      <alignment horizontal="center" vertical="center" wrapText="1"/>
    </xf>
    <xf numFmtId="0" fontId="36" fillId="6" borderId="15" xfId="12" applyFont="1" applyFill="1" applyBorder="1" applyAlignment="1">
      <alignment horizontal="center" vertical="center" wrapText="1"/>
    </xf>
    <xf numFmtId="0" fontId="39" fillId="0" borderId="4" xfId="13" applyFont="1" applyBorder="1" applyAlignment="1">
      <alignment horizontal="center"/>
    </xf>
    <xf numFmtId="0" fontId="36" fillId="0" borderId="14" xfId="12" applyFont="1" applyBorder="1" applyAlignment="1">
      <alignment horizontal="left" vertical="center"/>
    </xf>
    <xf numFmtId="0" fontId="36" fillId="0" borderId="7" xfId="12" applyFont="1" applyBorder="1" applyAlignment="1">
      <alignment horizontal="left" vertical="center"/>
    </xf>
    <xf numFmtId="0" fontId="36" fillId="0" borderId="15" xfId="12" applyFont="1" applyBorder="1" applyAlignment="1">
      <alignment horizontal="left" vertical="center"/>
    </xf>
    <xf numFmtId="0" fontId="36" fillId="22" borderId="14" xfId="12" applyFont="1" applyFill="1" applyBorder="1" applyAlignment="1">
      <alignment horizontal="center" vertical="center"/>
    </xf>
    <xf numFmtId="0" fontId="36" fillId="22" borderId="7" xfId="12" applyFont="1" applyFill="1" applyBorder="1" applyAlignment="1">
      <alignment horizontal="center" vertical="center"/>
    </xf>
    <xf numFmtId="0" fontId="36" fillId="0" borderId="4" xfId="12" applyFont="1" applyBorder="1" applyAlignment="1">
      <alignment horizontal="center"/>
    </xf>
    <xf numFmtId="0" fontId="36" fillId="0" borderId="14" xfId="12" applyFont="1" applyBorder="1" applyAlignment="1">
      <alignment horizontal="left" vertical="center" wrapText="1"/>
    </xf>
    <xf numFmtId="0" fontId="36" fillId="0" borderId="7" xfId="12" applyFont="1" applyBorder="1" applyAlignment="1">
      <alignment horizontal="left" vertical="center" wrapText="1"/>
    </xf>
    <xf numFmtId="0" fontId="36" fillId="0" borderId="15" xfId="12" applyFont="1" applyBorder="1" applyAlignment="1">
      <alignment horizontal="left" vertical="center" wrapText="1"/>
    </xf>
    <xf numFmtId="0" fontId="36" fillId="0" borderId="4" xfId="12" applyFont="1" applyBorder="1" applyAlignment="1">
      <alignment horizontal="center" vertical="center" wrapText="1"/>
    </xf>
    <xf numFmtId="0" fontId="36" fillId="0" borderId="4" xfId="12" applyFont="1" applyBorder="1" applyAlignment="1">
      <alignment horizontal="center" vertical="center"/>
    </xf>
    <xf numFmtId="0" fontId="47" fillId="0" borderId="16" xfId="12" applyFont="1" applyBorder="1" applyAlignment="1">
      <alignment horizontal="center" vertical="center" wrapText="1"/>
    </xf>
    <xf numFmtId="0" fontId="47" fillId="0" borderId="25" xfId="12" applyFont="1" applyBorder="1" applyAlignment="1">
      <alignment horizontal="center" vertical="center" wrapText="1"/>
    </xf>
    <xf numFmtId="0" fontId="36" fillId="0" borderId="16" xfId="12" applyFont="1" applyBorder="1" applyAlignment="1">
      <alignment horizontal="center" vertical="center" wrapText="1"/>
    </xf>
    <xf numFmtId="0" fontId="36" fillId="0" borderId="25" xfId="12" applyFont="1" applyBorder="1" applyAlignment="1">
      <alignment horizontal="center" vertical="center" wrapText="1"/>
    </xf>
    <xf numFmtId="0" fontId="36" fillId="0" borderId="16" xfId="12" applyFont="1" applyBorder="1" applyAlignment="1">
      <alignment horizontal="center" vertical="center"/>
    </xf>
    <xf numFmtId="0" fontId="36" fillId="0" borderId="25" xfId="12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32" fillId="0" borderId="23" xfId="0" applyFont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13" fillId="0" borderId="6" xfId="0" applyFont="1" applyBorder="1" applyAlignment="1">
      <alignment horizontal="left"/>
    </xf>
    <xf numFmtId="0" fontId="13" fillId="0" borderId="7" xfId="0" applyFont="1" applyBorder="1" applyAlignment="1">
      <alignment horizontal="left"/>
    </xf>
    <xf numFmtId="0" fontId="13" fillId="0" borderId="15" xfId="0" applyFont="1" applyBorder="1" applyAlignment="1">
      <alignment horizontal="left"/>
    </xf>
    <xf numFmtId="0" fontId="13" fillId="0" borderId="36" xfId="0" applyFont="1" applyBorder="1" applyAlignment="1">
      <alignment horizontal="left"/>
    </xf>
    <xf numFmtId="0" fontId="13" fillId="0" borderId="37" xfId="0" applyFont="1" applyBorder="1" applyAlignment="1">
      <alignment horizontal="left"/>
    </xf>
    <xf numFmtId="0" fontId="13" fillId="0" borderId="38" xfId="0" applyFont="1" applyBorder="1" applyAlignment="1">
      <alignment horizontal="left"/>
    </xf>
    <xf numFmtId="0" fontId="13" fillId="0" borderId="31" xfId="0" applyFont="1" applyBorder="1" applyAlignment="1">
      <alignment horizontal="center"/>
    </xf>
    <xf numFmtId="0" fontId="13" fillId="0" borderId="32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33" fillId="0" borderId="8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3" fillId="0" borderId="9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/>
    </xf>
    <xf numFmtId="0" fontId="33" fillId="0" borderId="20" xfId="0" applyFont="1" applyBorder="1" applyAlignment="1">
      <alignment horizontal="center" vertical="center" wrapText="1"/>
    </xf>
    <xf numFmtId="0" fontId="33" fillId="0" borderId="2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3" fillId="0" borderId="6" xfId="0" applyFont="1" applyBorder="1" applyAlignment="1">
      <alignment horizontal="left" wrapText="1"/>
    </xf>
    <xf numFmtId="0" fontId="13" fillId="0" borderId="7" xfId="0" applyFont="1" applyBorder="1" applyAlignment="1">
      <alignment horizontal="left" wrapText="1"/>
    </xf>
    <xf numFmtId="0" fontId="13" fillId="0" borderId="15" xfId="0" applyFont="1" applyBorder="1" applyAlignment="1">
      <alignment horizontal="left" wrapText="1"/>
    </xf>
    <xf numFmtId="0" fontId="13" fillId="0" borderId="67" xfId="0" applyFont="1" applyBorder="1" applyAlignment="1">
      <alignment horizontal="center"/>
    </xf>
    <xf numFmtId="0" fontId="13" fillId="0" borderId="68" xfId="0" applyFont="1" applyBorder="1" applyAlignment="1">
      <alignment horizontal="center"/>
    </xf>
    <xf numFmtId="0" fontId="71" fillId="0" borderId="22" xfId="0" applyFont="1" applyBorder="1" applyAlignment="1">
      <alignment horizontal="center" vertical="center" wrapText="1"/>
    </xf>
    <xf numFmtId="0" fontId="71" fillId="0" borderId="21" xfId="0" applyFont="1" applyBorder="1" applyAlignment="1">
      <alignment horizontal="center" vertical="center" wrapText="1"/>
    </xf>
    <xf numFmtId="0" fontId="71" fillId="0" borderId="23" xfId="0" applyFont="1" applyBorder="1" applyAlignment="1">
      <alignment horizontal="center" vertical="center" wrapText="1"/>
    </xf>
    <xf numFmtId="0" fontId="71" fillId="0" borderId="8" xfId="0" applyFont="1" applyBorder="1" applyAlignment="1">
      <alignment horizontal="center" vertical="center" wrapText="1"/>
    </xf>
    <xf numFmtId="0" fontId="71" fillId="0" borderId="0" xfId="0" applyFont="1" applyAlignment="1">
      <alignment horizontal="center" vertical="center" wrapText="1"/>
    </xf>
    <xf numFmtId="0" fontId="71" fillId="0" borderId="9" xfId="0" applyFont="1" applyBorder="1" applyAlignment="1">
      <alignment horizontal="center" vertical="center" wrapText="1"/>
    </xf>
    <xf numFmtId="0" fontId="71" fillId="0" borderId="17" xfId="0" applyFont="1" applyBorder="1" applyAlignment="1">
      <alignment horizontal="center" vertical="center" wrapText="1"/>
    </xf>
    <xf numFmtId="0" fontId="71" fillId="0" borderId="20" xfId="0" applyFont="1" applyBorder="1" applyAlignment="1">
      <alignment horizontal="center" vertical="center" wrapText="1"/>
    </xf>
    <xf numFmtId="0" fontId="71" fillId="0" borderId="24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37" fillId="0" borderId="5" xfId="0" applyFont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0" fontId="44" fillId="0" borderId="5" xfId="0" applyFont="1" applyBorder="1" applyAlignment="1">
      <alignment horizontal="center" vertical="center" wrapText="1"/>
    </xf>
    <xf numFmtId="0" fontId="37" fillId="0" borderId="0" xfId="0" applyFont="1" applyAlignment="1">
      <alignment horizontal="left"/>
    </xf>
    <xf numFmtId="0" fontId="37" fillId="0" borderId="1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justify" wrapText="1"/>
    </xf>
    <xf numFmtId="0" fontId="13" fillId="0" borderId="7" xfId="0" applyFont="1" applyBorder="1" applyAlignment="1">
      <alignment horizontal="justify" wrapText="1"/>
    </xf>
    <xf numFmtId="0" fontId="13" fillId="0" borderId="15" xfId="0" applyFont="1" applyBorder="1" applyAlignment="1">
      <alignment horizontal="justify" wrapText="1"/>
    </xf>
    <xf numFmtId="0" fontId="8" fillId="0" borderId="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31" fillId="0" borderId="5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4" fillId="0" borderId="9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4" fillId="0" borderId="24" xfId="0" applyFont="1" applyBorder="1" applyAlignment="1">
      <alignment horizontal="center" vertical="center" wrapText="1"/>
    </xf>
    <xf numFmtId="0" fontId="37" fillId="0" borderId="26" xfId="0" applyFont="1" applyBorder="1" applyAlignment="1">
      <alignment horizontal="center" vertical="center" wrapText="1"/>
    </xf>
    <xf numFmtId="0" fontId="37" fillId="0" borderId="28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37" fillId="0" borderId="34" xfId="0" applyFont="1" applyBorder="1" applyAlignment="1">
      <alignment horizontal="center" vertical="center" wrapText="1"/>
    </xf>
    <xf numFmtId="0" fontId="37" fillId="0" borderId="30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34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42" fillId="0" borderId="26" xfId="0" applyFont="1" applyBorder="1" applyAlignment="1">
      <alignment horizontal="center" vertical="center" wrapText="1"/>
    </xf>
    <xf numFmtId="0" fontId="42" fillId="0" borderId="28" xfId="0" applyFont="1" applyBorder="1" applyAlignment="1">
      <alignment horizontal="center" vertical="center" wrapText="1"/>
    </xf>
    <xf numFmtId="0" fontId="42" fillId="0" borderId="8" xfId="0" applyFont="1" applyBorder="1" applyAlignment="1">
      <alignment horizontal="center" vertical="center" wrapText="1"/>
    </xf>
    <xf numFmtId="0" fontId="42" fillId="0" borderId="9" xfId="0" applyFont="1" applyBorder="1" applyAlignment="1">
      <alignment horizontal="center" vertical="center" wrapText="1"/>
    </xf>
    <xf numFmtId="0" fontId="42" fillId="0" borderId="34" xfId="0" applyFont="1" applyBorder="1" applyAlignment="1">
      <alignment horizontal="center" vertical="center" wrapText="1"/>
    </xf>
    <xf numFmtId="0" fontId="42" fillId="0" borderId="30" xfId="0" applyFont="1" applyBorder="1" applyAlignment="1">
      <alignment horizontal="center" vertical="center" wrapText="1"/>
    </xf>
    <xf numFmtId="0" fontId="28" fillId="0" borderId="31" xfId="0" applyFont="1" applyBorder="1" applyAlignment="1">
      <alignment horizontal="center"/>
    </xf>
    <xf numFmtId="0" fontId="28" fillId="0" borderId="32" xfId="0" applyFont="1" applyBorder="1" applyAlignment="1">
      <alignment horizontal="center"/>
    </xf>
    <xf numFmtId="0" fontId="28" fillId="0" borderId="33" xfId="0" applyFont="1" applyBorder="1" applyAlignment="1">
      <alignment horizontal="center"/>
    </xf>
    <xf numFmtId="0" fontId="13" fillId="0" borderId="6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2" borderId="6" xfId="0" applyFont="1" applyFill="1" applyBorder="1" applyAlignment="1">
      <alignment horizontal="left" vertical="center"/>
    </xf>
    <xf numFmtId="0" fontId="13" fillId="2" borderId="7" xfId="0" applyFont="1" applyFill="1" applyBorder="1" applyAlignment="1">
      <alignment horizontal="left" vertical="center"/>
    </xf>
    <xf numFmtId="0" fontId="13" fillId="2" borderId="15" xfId="0" applyFont="1" applyFill="1" applyBorder="1" applyAlignment="1">
      <alignment horizontal="left" vertical="center"/>
    </xf>
    <xf numFmtId="0" fontId="35" fillId="0" borderId="5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28" fillId="0" borderId="36" xfId="0" applyFont="1" applyBorder="1" applyAlignment="1">
      <alignment horizontal="left"/>
    </xf>
    <xf numFmtId="0" fontId="28" fillId="0" borderId="37" xfId="0" applyFont="1" applyBorder="1" applyAlignment="1">
      <alignment horizontal="left"/>
    </xf>
    <xf numFmtId="0" fontId="28" fillId="0" borderId="38" xfId="0" applyFont="1" applyBorder="1" applyAlignment="1">
      <alignment horizontal="left"/>
    </xf>
    <xf numFmtId="0" fontId="13" fillId="0" borderId="6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36" xfId="0" applyFont="1" applyBorder="1" applyAlignment="1">
      <alignment horizontal="center"/>
    </xf>
    <xf numFmtId="0" fontId="13" fillId="0" borderId="38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19" fillId="14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/>
    </xf>
    <xf numFmtId="0" fontId="28" fillId="0" borderId="4" xfId="0" applyFont="1" applyBorder="1" applyAlignment="1">
      <alignment horizontal="left" wrapText="1"/>
    </xf>
    <xf numFmtId="0" fontId="16" fillId="0" borderId="4" xfId="0" applyFont="1" applyBorder="1" applyAlignment="1">
      <alignment horizontal="center" vertical="center" wrapText="1"/>
    </xf>
    <xf numFmtId="0" fontId="15" fillId="11" borderId="4" xfId="0" applyFont="1" applyFill="1" applyBorder="1" applyAlignment="1">
      <alignment horizontal="left" wrapText="1"/>
    </xf>
    <xf numFmtId="10" fontId="15" fillId="0" borderId="4" xfId="17" applyNumberFormat="1" applyFont="1" applyFill="1" applyBorder="1" applyAlignment="1">
      <alignment horizontal="center" vertical="center"/>
    </xf>
    <xf numFmtId="164" fontId="15" fillId="0" borderId="4" xfId="16" applyFont="1" applyFill="1" applyBorder="1" applyAlignment="1">
      <alignment horizontal="center" wrapText="1"/>
    </xf>
    <xf numFmtId="0" fontId="54" fillId="0" borderId="4" xfId="0" applyFont="1" applyBorder="1" applyAlignment="1">
      <alignment horizontal="center"/>
    </xf>
    <xf numFmtId="10" fontId="15" fillId="0" borderId="16" xfId="17" applyNumberFormat="1" applyFont="1" applyFill="1" applyBorder="1" applyAlignment="1">
      <alignment horizontal="center" vertical="center"/>
    </xf>
    <xf numFmtId="10" fontId="15" fillId="0" borderId="53" xfId="17" applyNumberFormat="1" applyFont="1" applyFill="1" applyBorder="1" applyAlignment="1">
      <alignment horizontal="center" vertical="center"/>
    </xf>
    <xf numFmtId="10" fontId="15" fillId="0" borderId="25" xfId="17" applyNumberFormat="1" applyFont="1" applyFill="1" applyBorder="1" applyAlignment="1">
      <alignment horizontal="center" vertical="center"/>
    </xf>
    <xf numFmtId="168" fontId="10" fillId="0" borderId="16" xfId="1" applyFont="1" applyFill="1" applyBorder="1" applyAlignment="1">
      <alignment horizontal="center"/>
    </xf>
    <xf numFmtId="168" fontId="10" fillId="0" borderId="53" xfId="1" applyFont="1" applyFill="1" applyBorder="1" applyAlignment="1">
      <alignment horizontal="center"/>
    </xf>
    <xf numFmtId="168" fontId="10" fillId="0" borderId="25" xfId="1" applyFont="1" applyFill="1" applyBorder="1" applyAlignment="1">
      <alignment horizontal="center"/>
    </xf>
    <xf numFmtId="0" fontId="43" fillId="0" borderId="4" xfId="0" applyFont="1" applyBorder="1" applyAlignment="1">
      <alignment vertical="center"/>
    </xf>
    <xf numFmtId="0" fontId="43" fillId="0" borderId="4" xfId="0" applyFont="1" applyBorder="1" applyAlignment="1">
      <alignment horizontal="center" vertical="center" wrapText="1"/>
    </xf>
    <xf numFmtId="0" fontId="63" fillId="0" borderId="4" xfId="0" applyFont="1" applyBorder="1" applyAlignment="1">
      <alignment horizontal="center"/>
    </xf>
    <xf numFmtId="0" fontId="43" fillId="11" borderId="4" xfId="0" applyFont="1" applyFill="1" applyBorder="1" applyAlignment="1">
      <alignment horizontal="center" vertical="center"/>
    </xf>
    <xf numFmtId="0" fontId="63" fillId="0" borderId="4" xfId="0" applyFont="1" applyBorder="1" applyAlignment="1">
      <alignment horizontal="center" vertical="center"/>
    </xf>
    <xf numFmtId="0" fontId="18" fillId="0" borderId="4" xfId="11" applyFont="1" applyBorder="1" applyAlignment="1">
      <alignment horizontal="center" vertical="center" wrapText="1"/>
    </xf>
    <xf numFmtId="0" fontId="17" fillId="14" borderId="4" xfId="0" applyFont="1" applyFill="1" applyBorder="1" applyAlignment="1" applyProtection="1">
      <alignment horizontal="center" vertical="center"/>
      <protection locked="0"/>
    </xf>
    <xf numFmtId="0" fontId="35" fillId="14" borderId="4" xfId="0" applyFont="1" applyFill="1" applyBorder="1" applyAlignment="1">
      <alignment vertical="center"/>
    </xf>
    <xf numFmtId="0" fontId="79" fillId="0" borderId="4" xfId="0" applyFont="1" applyBorder="1" applyAlignment="1">
      <alignment horizontal="center"/>
    </xf>
    <xf numFmtId="0" fontId="68" fillId="0" borderId="4" xfId="0" applyFont="1" applyBorder="1" applyAlignment="1">
      <alignment horizontal="center" vertical="center"/>
    </xf>
    <xf numFmtId="0" fontId="66" fillId="0" borderId="4" xfId="0" applyFont="1" applyBorder="1" applyAlignment="1">
      <alignment vertical="center"/>
    </xf>
    <xf numFmtId="0" fontId="66" fillId="0" borderId="4" xfId="0" applyFont="1" applyBorder="1" applyAlignment="1">
      <alignment horizontal="center" vertical="center"/>
    </xf>
    <xf numFmtId="10" fontId="66" fillId="0" borderId="4" xfId="17" applyNumberFormat="1" applyFont="1" applyBorder="1" applyAlignment="1">
      <alignment horizontal="center" vertical="center"/>
    </xf>
    <xf numFmtId="0" fontId="70" fillId="0" borderId="4" xfId="11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64" fillId="14" borderId="47" xfId="0" applyFont="1" applyFill="1" applyBorder="1" applyAlignment="1">
      <alignment horizontal="center"/>
    </xf>
    <xf numFmtId="0" fontId="64" fillId="14" borderId="29" xfId="0" applyFont="1" applyFill="1" applyBorder="1" applyAlignment="1">
      <alignment horizontal="center"/>
    </xf>
    <xf numFmtId="0" fontId="64" fillId="14" borderId="48" xfId="0" applyFont="1" applyFill="1" applyBorder="1" applyAlignment="1">
      <alignment horizontal="center"/>
    </xf>
    <xf numFmtId="0" fontId="75" fillId="0" borderId="12" xfId="0" applyFont="1" applyBorder="1" applyAlignment="1">
      <alignment horizontal="center" vertical="center" wrapText="1"/>
    </xf>
    <xf numFmtId="0" fontId="75" fillId="0" borderId="13" xfId="0" applyFont="1" applyBorder="1" applyAlignment="1">
      <alignment horizontal="center" vertical="center" wrapText="1"/>
    </xf>
    <xf numFmtId="0" fontId="75" fillId="0" borderId="11" xfId="0" applyFont="1" applyBorder="1" applyAlignment="1">
      <alignment horizontal="center" vertical="center" wrapText="1"/>
    </xf>
    <xf numFmtId="0" fontId="21" fillId="0" borderId="4" xfId="10" applyFont="1" applyBorder="1" applyAlignment="1">
      <alignment horizontal="center" vertical="center" wrapText="1"/>
    </xf>
    <xf numFmtId="0" fontId="21" fillId="0" borderId="10" xfId="1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5" fillId="0" borderId="4" xfId="0" applyFont="1" applyBorder="1" applyAlignment="1">
      <alignment horizontal="center" vertical="center" wrapText="1"/>
    </xf>
    <xf numFmtId="0" fontId="75" fillId="0" borderId="10" xfId="0" applyFont="1" applyBorder="1" applyAlignment="1">
      <alignment horizontal="center" vertical="center" wrapText="1"/>
    </xf>
    <xf numFmtId="0" fontId="75" fillId="0" borderId="5" xfId="0" applyFont="1" applyBorder="1" applyAlignment="1">
      <alignment horizontal="center" vertical="center" wrapText="1"/>
    </xf>
    <xf numFmtId="0" fontId="36" fillId="0" borderId="27" xfId="10" applyFont="1" applyBorder="1" applyAlignment="1">
      <alignment horizontal="left" vertical="center" wrapText="1"/>
    </xf>
    <xf numFmtId="0" fontId="36" fillId="0" borderId="28" xfId="10" applyFont="1" applyBorder="1" applyAlignment="1">
      <alignment horizontal="left" vertical="center" wrapText="1"/>
    </xf>
    <xf numFmtId="0" fontId="30" fillId="0" borderId="5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 wrapText="1"/>
    </xf>
    <xf numFmtId="0" fontId="73" fillId="0" borderId="1" xfId="24" applyFont="1" applyBorder="1" applyAlignment="1">
      <alignment horizontal="center" vertical="center" wrapText="1"/>
    </xf>
    <xf numFmtId="0" fontId="73" fillId="0" borderId="2" xfId="24" applyFont="1" applyBorder="1" applyAlignment="1">
      <alignment horizontal="center" vertical="center" wrapText="1"/>
    </xf>
    <xf numFmtId="0" fontId="73" fillId="0" borderId="3" xfId="24" applyFont="1" applyBorder="1" applyAlignment="1">
      <alignment horizontal="center" vertical="center" wrapText="1"/>
    </xf>
    <xf numFmtId="0" fontId="70" fillId="0" borderId="5" xfId="0" applyFont="1" applyBorder="1" applyAlignment="1">
      <alignment horizontal="center" vertical="center"/>
    </xf>
    <xf numFmtId="0" fontId="70" fillId="0" borderId="4" xfId="0" applyFont="1" applyBorder="1" applyAlignment="1">
      <alignment horizontal="center" vertical="center"/>
    </xf>
    <xf numFmtId="0" fontId="70" fillId="0" borderId="10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 wrapText="1"/>
    </xf>
    <xf numFmtId="0" fontId="70" fillId="0" borderId="11" xfId="0" applyFont="1" applyBorder="1" applyAlignment="1">
      <alignment horizontal="center" vertical="center" wrapText="1"/>
    </xf>
    <xf numFmtId="0" fontId="70" fillId="0" borderId="12" xfId="0" applyFont="1" applyBorder="1" applyAlignment="1">
      <alignment horizontal="center" vertical="center" wrapText="1"/>
    </xf>
    <xf numFmtId="0" fontId="70" fillId="0" borderId="13" xfId="0" applyFont="1" applyBorder="1" applyAlignment="1">
      <alignment horizontal="center" vertical="center" wrapText="1"/>
    </xf>
    <xf numFmtId="0" fontId="6" fillId="0" borderId="58" xfId="0" applyFont="1" applyBorder="1" applyAlignment="1" applyProtection="1">
      <alignment horizontal="left" vertical="center" wrapText="1"/>
      <protection locked="0"/>
    </xf>
    <xf numFmtId="0" fontId="6" fillId="0" borderId="25" xfId="0" applyFont="1" applyBorder="1" applyAlignment="1" applyProtection="1">
      <alignment horizontal="left" vertical="center" wrapText="1"/>
      <protection locked="0"/>
    </xf>
    <xf numFmtId="0" fontId="6" fillId="0" borderId="53" xfId="0" applyFont="1" applyBorder="1" applyAlignment="1" applyProtection="1">
      <alignment horizontal="left" vertical="center" wrapText="1"/>
      <protection locked="0"/>
    </xf>
    <xf numFmtId="0" fontId="6" fillId="0" borderId="59" xfId="0" applyFont="1" applyBorder="1" applyAlignment="1" applyProtection="1">
      <alignment horizontal="left" vertical="center" wrapText="1"/>
      <protection locked="0"/>
    </xf>
    <xf numFmtId="0" fontId="74" fillId="0" borderId="27" xfId="10" applyFont="1" applyBorder="1" applyAlignment="1">
      <alignment horizontal="left" vertical="center" wrapText="1"/>
    </xf>
    <xf numFmtId="0" fontId="74" fillId="0" borderId="0" xfId="10" applyFont="1" applyAlignment="1">
      <alignment horizontal="left" vertical="center" wrapText="1"/>
    </xf>
    <xf numFmtId="0" fontId="74" fillId="0" borderId="9" xfId="1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6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49" fillId="0" borderId="5" xfId="10" applyFont="1" applyBorder="1" applyAlignment="1">
      <alignment horizontal="center" vertical="center" wrapText="1"/>
    </xf>
    <xf numFmtId="0" fontId="49" fillId="0" borderId="4" xfId="10" applyFont="1" applyBorder="1" applyAlignment="1">
      <alignment horizontal="center" vertical="center" wrapText="1"/>
    </xf>
    <xf numFmtId="0" fontId="18" fillId="0" borderId="1" xfId="11" applyFont="1" applyBorder="1" applyAlignment="1">
      <alignment horizontal="center" vertical="center" wrapText="1"/>
    </xf>
    <xf numFmtId="0" fontId="18" fillId="0" borderId="2" xfId="11" applyFont="1" applyBorder="1" applyAlignment="1">
      <alignment horizontal="center" vertical="center" wrapText="1"/>
    </xf>
    <xf numFmtId="0" fontId="18" fillId="0" borderId="3" xfId="1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center" vertical="center" wrapText="1"/>
      <protection locked="0"/>
    </xf>
    <xf numFmtId="0" fontId="8" fillId="0" borderId="10" xfId="0" applyFont="1" applyBorder="1" applyAlignment="1">
      <alignment horizontal="center"/>
    </xf>
    <xf numFmtId="0" fontId="77" fillId="0" borderId="7" xfId="10" applyFont="1" applyBorder="1" applyAlignment="1">
      <alignment horizontal="left" vertical="center"/>
    </xf>
    <xf numFmtId="0" fontId="77" fillId="0" borderId="62" xfId="10" applyFont="1" applyBorder="1" applyAlignment="1">
      <alignment horizontal="left" vertical="center"/>
    </xf>
    <xf numFmtId="0" fontId="74" fillId="0" borderId="11" xfId="10" applyFont="1" applyBorder="1" applyAlignment="1">
      <alignment horizontal="center" vertical="center" wrapText="1"/>
    </xf>
    <xf numFmtId="0" fontId="74" fillId="0" borderId="12" xfId="10" applyFont="1" applyBorder="1" applyAlignment="1">
      <alignment horizontal="center" vertical="center" wrapText="1"/>
    </xf>
    <xf numFmtId="0" fontId="74" fillId="0" borderId="13" xfId="1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 wrapText="1"/>
    </xf>
    <xf numFmtId="164" fontId="70" fillId="10" borderId="12" xfId="16" applyFont="1" applyFill="1" applyBorder="1" applyAlignment="1">
      <alignment horizontal="center" vertical="center"/>
    </xf>
    <xf numFmtId="164" fontId="70" fillId="10" borderId="13" xfId="16" applyFont="1" applyFill="1" applyBorder="1" applyAlignment="1">
      <alignment horizontal="center" vertical="center"/>
    </xf>
    <xf numFmtId="168" fontId="78" fillId="0" borderId="4" xfId="1" applyFont="1" applyFill="1" applyBorder="1" applyAlignment="1">
      <alignment horizontal="center" vertical="center"/>
    </xf>
    <xf numFmtId="168" fontId="78" fillId="0" borderId="10" xfId="1" applyFont="1" applyFill="1" applyBorder="1" applyAlignment="1">
      <alignment horizontal="center" vertical="center"/>
    </xf>
    <xf numFmtId="0" fontId="29" fillId="0" borderId="5" xfId="0" applyFont="1" applyBorder="1" applyAlignment="1">
      <alignment horizontal="left" vertical="center" wrapText="1"/>
    </xf>
    <xf numFmtId="0" fontId="29" fillId="0" borderId="4" xfId="0" applyFont="1" applyBorder="1" applyAlignment="1">
      <alignment horizontal="left" vertical="center" wrapText="1"/>
    </xf>
    <xf numFmtId="0" fontId="33" fillId="0" borderId="5" xfId="0" applyFont="1" applyBorder="1" applyAlignment="1">
      <alignment horizontal="center" vertical="center" wrapText="1"/>
    </xf>
    <xf numFmtId="0" fontId="46" fillId="0" borderId="10" xfId="0" applyFont="1" applyBorder="1" applyAlignment="1">
      <alignment horizontal="center" vertical="center" wrapText="1"/>
    </xf>
    <xf numFmtId="0" fontId="46" fillId="0" borderId="5" xfId="0" applyFont="1" applyBorder="1" applyAlignment="1">
      <alignment horizontal="center" vertical="center" wrapText="1"/>
    </xf>
    <xf numFmtId="0" fontId="29" fillId="0" borderId="26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34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32" fillId="0" borderId="1" xfId="2" applyFont="1" applyBorder="1" applyAlignment="1">
      <alignment horizontal="center" vertical="center" wrapText="1"/>
    </xf>
    <xf numFmtId="0" fontId="32" fillId="0" borderId="2" xfId="2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34" fillId="0" borderId="5" xfId="0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15" fillId="11" borderId="5" xfId="0" applyFont="1" applyFill="1" applyBorder="1" applyAlignment="1">
      <alignment horizontal="center" vertical="center"/>
    </xf>
    <xf numFmtId="0" fontId="15" fillId="11" borderId="4" xfId="0" applyFont="1" applyFill="1" applyBorder="1" applyAlignment="1">
      <alignment horizontal="center" vertical="center"/>
    </xf>
    <xf numFmtId="0" fontId="15" fillId="11" borderId="10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5" fillId="0" borderId="5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8" fillId="11" borderId="14" xfId="0" applyFont="1" applyFill="1" applyBorder="1" applyAlignment="1">
      <alignment horizontal="center" vertical="center"/>
    </xf>
    <xf numFmtId="0" fontId="8" fillId="11" borderId="7" xfId="0" applyFont="1" applyFill="1" applyBorder="1" applyAlignment="1">
      <alignment horizontal="center" vertical="center"/>
    </xf>
    <xf numFmtId="0" fontId="8" fillId="11" borderId="15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8" fillId="11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8" fillId="7" borderId="4" xfId="0" applyFont="1" applyFill="1" applyBorder="1" applyAlignment="1">
      <alignment horizontal="center" vertical="center"/>
    </xf>
    <xf numFmtId="0" fontId="65" fillId="14" borderId="4" xfId="0" applyFont="1" applyFill="1" applyBorder="1" applyAlignment="1">
      <alignment horizontal="center" vertical="center" wrapText="1"/>
    </xf>
    <xf numFmtId="0" fontId="28" fillId="0" borderId="14" xfId="0" applyFont="1" applyBorder="1" applyAlignment="1">
      <alignment horizontal="left" wrapText="1"/>
    </xf>
    <xf numFmtId="0" fontId="28" fillId="0" borderId="7" xfId="0" applyFont="1" applyBorder="1" applyAlignment="1">
      <alignment horizontal="left" wrapText="1"/>
    </xf>
    <xf numFmtId="0" fontId="28" fillId="0" borderId="15" xfId="0" applyFont="1" applyBorder="1" applyAlignment="1">
      <alignment horizontal="left" wrapText="1"/>
    </xf>
    <xf numFmtId="0" fontId="10" fillId="0" borderId="14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6" fillId="0" borderId="14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10" fontId="15" fillId="0" borderId="16" xfId="18" applyNumberFormat="1" applyFont="1" applyFill="1" applyBorder="1" applyAlignment="1">
      <alignment horizontal="center" vertical="center"/>
    </xf>
    <xf numFmtId="10" fontId="15" fillId="0" borderId="53" xfId="18" applyNumberFormat="1" applyFont="1" applyFill="1" applyBorder="1" applyAlignment="1">
      <alignment horizontal="center" vertical="center"/>
    </xf>
    <xf numFmtId="10" fontId="15" fillId="0" borderId="25" xfId="18" applyNumberFormat="1" applyFont="1" applyFill="1" applyBorder="1" applyAlignment="1">
      <alignment horizontal="center" vertical="center"/>
    </xf>
    <xf numFmtId="164" fontId="15" fillId="0" borderId="16" xfId="5" applyFont="1" applyFill="1" applyBorder="1" applyAlignment="1">
      <alignment horizontal="center" wrapText="1"/>
    </xf>
    <xf numFmtId="164" fontId="15" fillId="0" borderId="53" xfId="5" applyFont="1" applyFill="1" applyBorder="1" applyAlignment="1">
      <alignment horizontal="center" wrapText="1"/>
    </xf>
    <xf numFmtId="164" fontId="15" fillId="0" borderId="25" xfId="5" applyFont="1" applyFill="1" applyBorder="1" applyAlignment="1">
      <alignment horizontal="center" wrapText="1"/>
    </xf>
    <xf numFmtId="0" fontId="63" fillId="0" borderId="14" xfId="0" applyFont="1" applyBorder="1" applyAlignment="1">
      <alignment horizontal="left" vertical="center"/>
    </xf>
    <xf numFmtId="0" fontId="63" fillId="0" borderId="7" xfId="0" applyFont="1" applyBorder="1" applyAlignment="1">
      <alignment horizontal="left" vertical="center"/>
    </xf>
    <xf numFmtId="0" fontId="63" fillId="0" borderId="15" xfId="0" applyFont="1" applyBorder="1" applyAlignment="1">
      <alignment horizontal="left" vertical="center"/>
    </xf>
    <xf numFmtId="10" fontId="15" fillId="0" borderId="4" xfId="18" applyNumberFormat="1" applyFont="1" applyFill="1" applyBorder="1" applyAlignment="1">
      <alignment horizontal="center" vertical="center"/>
    </xf>
    <xf numFmtId="168" fontId="10" fillId="0" borderId="4" xfId="1" applyFont="1" applyFill="1" applyBorder="1" applyAlignment="1">
      <alignment horizontal="center"/>
    </xf>
    <xf numFmtId="0" fontId="43" fillId="14" borderId="4" xfId="0" applyFont="1" applyFill="1" applyBorder="1" applyAlignment="1">
      <alignment horizontal="center" vertical="center"/>
    </xf>
    <xf numFmtId="0" fontId="67" fillId="0" borderId="4" xfId="0" applyFont="1" applyBorder="1" applyAlignment="1">
      <alignment horizontal="center" vertical="center"/>
    </xf>
    <xf numFmtId="0" fontId="64" fillId="14" borderId="4" xfId="0" applyFont="1" applyFill="1" applyBorder="1" applyAlignment="1">
      <alignment horizontal="center"/>
    </xf>
    <xf numFmtId="10" fontId="66" fillId="0" borderId="4" xfId="18" applyNumberFormat="1" applyFont="1" applyBorder="1" applyAlignment="1">
      <alignment horizontal="center" vertical="center"/>
    </xf>
    <xf numFmtId="0" fontId="70" fillId="0" borderId="4" xfId="2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/>
    </xf>
    <xf numFmtId="0" fontId="29" fillId="0" borderId="4" xfId="0" applyFont="1" applyBorder="1" applyAlignment="1">
      <alignment horizontal="center"/>
    </xf>
    <xf numFmtId="0" fontId="29" fillId="0" borderId="10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29" fillId="0" borderId="0" xfId="0" applyFont="1" applyAlignment="1">
      <alignment horizontal="center"/>
    </xf>
    <xf numFmtId="0" fontId="29" fillId="0" borderId="54" xfId="0" applyFont="1" applyBorder="1" applyAlignment="1">
      <alignment horizontal="left"/>
    </xf>
    <xf numFmtId="0" fontId="29" fillId="0" borderId="55" xfId="0" applyFont="1" applyBorder="1" applyAlignment="1">
      <alignment horizontal="left"/>
    </xf>
    <xf numFmtId="0" fontId="29" fillId="0" borderId="4" xfId="0" applyFont="1" applyBorder="1" applyAlignment="1">
      <alignment horizontal="left" wrapText="1"/>
    </xf>
    <xf numFmtId="0" fontId="29" fillId="0" borderId="10" xfId="0" applyFont="1" applyBorder="1" applyAlignment="1">
      <alignment horizontal="left" wrapText="1"/>
    </xf>
    <xf numFmtId="0" fontId="29" fillId="0" borderId="11" xfId="0" applyFont="1" applyBorder="1" applyAlignment="1">
      <alignment horizontal="center"/>
    </xf>
    <xf numFmtId="0" fontId="29" fillId="0" borderId="12" xfId="0" applyFont="1" applyBorder="1" applyAlignment="1">
      <alignment horizontal="center"/>
    </xf>
    <xf numFmtId="0" fontId="29" fillId="0" borderId="13" xfId="0" applyFont="1" applyBorder="1" applyAlignment="1">
      <alignment horizontal="center"/>
    </xf>
    <xf numFmtId="0" fontId="55" fillId="0" borderId="4" xfId="0" applyFont="1" applyBorder="1" applyAlignment="1">
      <alignment vertical="center"/>
    </xf>
    <xf numFmtId="0" fontId="57" fillId="0" borderId="4" xfId="0" applyFont="1" applyBorder="1" applyAlignment="1">
      <alignment horizontal="center" vertical="center"/>
    </xf>
    <xf numFmtId="0" fontId="55" fillId="14" borderId="4" xfId="0" applyFont="1" applyFill="1" applyBorder="1" applyAlignment="1">
      <alignment horizontal="center" vertical="center"/>
    </xf>
    <xf numFmtId="0" fontId="57" fillId="0" borderId="4" xfId="0" applyFont="1" applyBorder="1" applyAlignment="1">
      <alignment horizontal="center" vertical="center" wrapText="1"/>
    </xf>
    <xf numFmtId="0" fontId="5" fillId="0" borderId="11" xfId="11" applyBorder="1" applyAlignment="1">
      <alignment horizontal="center" vertical="center"/>
    </xf>
    <xf numFmtId="0" fontId="5" fillId="0" borderId="12" xfId="11" applyBorder="1" applyAlignment="1">
      <alignment horizontal="center" vertical="center"/>
    </xf>
    <xf numFmtId="0" fontId="5" fillId="0" borderId="13" xfId="11" applyBorder="1" applyAlignment="1">
      <alignment horizontal="center" vertical="center"/>
    </xf>
    <xf numFmtId="0" fontId="5" fillId="0" borderId="5" xfId="11" applyBorder="1" applyAlignment="1">
      <alignment horizontal="center" vertical="center"/>
    </xf>
    <xf numFmtId="0" fontId="5" fillId="0" borderId="4" xfId="11" applyBorder="1" applyAlignment="1">
      <alignment horizontal="center" vertical="center"/>
    </xf>
    <xf numFmtId="0" fontId="5" fillId="0" borderId="10" xfId="11" applyBorder="1" applyAlignment="1">
      <alignment horizontal="center" vertical="center"/>
    </xf>
    <xf numFmtId="0" fontId="33" fillId="2" borderId="10" xfId="19" applyFont="1" applyFill="1" applyBorder="1" applyAlignment="1">
      <alignment horizontal="center" vertical="center" wrapText="1"/>
    </xf>
    <xf numFmtId="2" fontId="61" fillId="2" borderId="0" xfId="11" applyNumberFormat="1" applyFont="1" applyFill="1" applyAlignment="1">
      <alignment horizontal="center" vertical="center"/>
    </xf>
    <xf numFmtId="0" fontId="22" fillId="2" borderId="4" xfId="19" applyFont="1" applyFill="1" applyBorder="1" applyAlignment="1">
      <alignment horizontal="center" vertical="center"/>
    </xf>
    <xf numFmtId="0" fontId="53" fillId="2" borderId="5" xfId="11" applyFont="1" applyFill="1" applyBorder="1" applyAlignment="1">
      <alignment horizontal="center" vertical="center"/>
    </xf>
    <xf numFmtId="0" fontId="53" fillId="2" borderId="4" xfId="11" applyFont="1" applyFill="1" applyBorder="1" applyAlignment="1">
      <alignment horizontal="center" vertical="center"/>
    </xf>
    <xf numFmtId="0" fontId="29" fillId="2" borderId="5" xfId="19" applyFont="1" applyFill="1" applyBorder="1" applyAlignment="1">
      <alignment horizontal="center" vertical="center"/>
    </xf>
    <xf numFmtId="0" fontId="29" fillId="2" borderId="4" xfId="19" applyFont="1" applyFill="1" applyBorder="1" applyAlignment="1">
      <alignment horizontal="center" vertical="center"/>
    </xf>
    <xf numFmtId="0" fontId="29" fillId="2" borderId="4" xfId="19" applyFont="1" applyFill="1" applyBorder="1" applyAlignment="1">
      <alignment horizontal="center" vertical="center" wrapText="1"/>
    </xf>
    <xf numFmtId="0" fontId="18" fillId="2" borderId="5" xfId="11" applyFont="1" applyFill="1" applyBorder="1" applyAlignment="1">
      <alignment horizontal="center" vertical="center"/>
    </xf>
    <xf numFmtId="0" fontId="18" fillId="2" borderId="4" xfId="11" applyFont="1" applyFill="1" applyBorder="1" applyAlignment="1">
      <alignment horizontal="center" vertical="center"/>
    </xf>
    <xf numFmtId="0" fontId="18" fillId="2" borderId="10" xfId="11" applyFont="1" applyFill="1" applyBorder="1" applyAlignment="1">
      <alignment horizontal="center" vertical="center"/>
    </xf>
    <xf numFmtId="0" fontId="53" fillId="2" borderId="10" xfId="11" applyFont="1" applyFill="1" applyBorder="1" applyAlignment="1">
      <alignment horizontal="center" vertical="center"/>
    </xf>
    <xf numFmtId="0" fontId="57" fillId="0" borderId="16" xfId="0" applyFont="1" applyBorder="1" applyAlignment="1">
      <alignment horizontal="center" vertical="center"/>
    </xf>
    <xf numFmtId="0" fontId="57" fillId="0" borderId="53" xfId="0" applyFont="1" applyBorder="1" applyAlignment="1">
      <alignment horizontal="center" vertical="center"/>
    </xf>
    <xf numFmtId="0" fontId="57" fillId="0" borderId="25" xfId="0" applyFont="1" applyBorder="1" applyAlignment="1">
      <alignment horizontal="center" vertical="center"/>
    </xf>
  </cellXfs>
  <cellStyles count="52">
    <cellStyle name="Euro" xfId="8" xr:uid="{00000000-0005-0000-0000-000000000000}"/>
    <cellStyle name="Millares" xfId="1" builtinId="3"/>
    <cellStyle name="Millares [0] 2" xfId="20" xr:uid="{00000000-0005-0000-0000-000002000000}"/>
    <cellStyle name="Millares [0] 3" xfId="32" xr:uid="{00000000-0005-0000-0000-000003000000}"/>
    <cellStyle name="Millares 2" xfId="6" xr:uid="{00000000-0005-0000-0000-000004000000}"/>
    <cellStyle name="Millares 2 10" xfId="15" xr:uid="{00000000-0005-0000-0000-000005000000}"/>
    <cellStyle name="Millares 3" xfId="7" xr:uid="{00000000-0005-0000-0000-000006000000}"/>
    <cellStyle name="Millares 4" xfId="31" xr:uid="{00000000-0005-0000-0000-000007000000}"/>
    <cellStyle name="Millares 5" xfId="21" xr:uid="{00000000-0005-0000-0000-000008000000}"/>
    <cellStyle name="Millares 5 2" xfId="27" xr:uid="{00000000-0005-0000-0000-000009000000}"/>
    <cellStyle name="Moneda" xfId="5" builtinId="4"/>
    <cellStyle name="Moneda [0] 2" xfId="47" xr:uid="{00000000-0005-0000-0000-00000B000000}"/>
    <cellStyle name="Moneda [0] 3" xfId="34" xr:uid="{00000000-0005-0000-0000-00000C000000}"/>
    <cellStyle name="Moneda [0] 3 2" xfId="28" xr:uid="{00000000-0005-0000-0000-00000D000000}"/>
    <cellStyle name="Moneda 10" xfId="22" xr:uid="{00000000-0005-0000-0000-00000E000000}"/>
    <cellStyle name="Moneda 2" xfId="3" xr:uid="{00000000-0005-0000-0000-00000F000000}"/>
    <cellStyle name="Moneda 2 2" xfId="46" xr:uid="{00000000-0005-0000-0000-000010000000}"/>
    <cellStyle name="Moneda 3" xfId="16" xr:uid="{00000000-0005-0000-0000-000011000000}"/>
    <cellStyle name="Moneda 3 2" xfId="23" xr:uid="{00000000-0005-0000-0000-000012000000}"/>
    <cellStyle name="Moneda 3 2 2" xfId="51" xr:uid="{00000000-0005-0000-0000-000013000000}"/>
    <cellStyle name="Moneda 3 3" xfId="48" xr:uid="{00000000-0005-0000-0000-000014000000}"/>
    <cellStyle name="Moneda 4" xfId="41" xr:uid="{00000000-0005-0000-0000-000015000000}"/>
    <cellStyle name="Moneda 5" xfId="50" xr:uid="{00000000-0005-0000-0000-000016000000}"/>
    <cellStyle name="Moneda 6" xfId="33" xr:uid="{00000000-0005-0000-0000-000017000000}"/>
    <cellStyle name="Moneda_Propuesta SCV-045-99" xfId="4" xr:uid="{00000000-0005-0000-0000-000018000000}"/>
    <cellStyle name="Normal" xfId="0" builtinId="0"/>
    <cellStyle name="Normal 10" xfId="12" xr:uid="{00000000-0005-0000-0000-00001A000000}"/>
    <cellStyle name="Normal 10 2" xfId="13" xr:uid="{00000000-0005-0000-0000-00001B000000}"/>
    <cellStyle name="Normal 11" xfId="44" xr:uid="{00000000-0005-0000-0000-00001C000000}"/>
    <cellStyle name="Normal 12" xfId="43" xr:uid="{00000000-0005-0000-0000-00001D000000}"/>
    <cellStyle name="Normal 13" xfId="38" xr:uid="{00000000-0005-0000-0000-00001E000000}"/>
    <cellStyle name="Normal 2" xfId="2" xr:uid="{00000000-0005-0000-0000-00001F000000}"/>
    <cellStyle name="Normal 2 10" xfId="24" xr:uid="{00000000-0005-0000-0000-000020000000}"/>
    <cellStyle name="Normal 2 2" xfId="11" xr:uid="{00000000-0005-0000-0000-000021000000}"/>
    <cellStyle name="Normal 2 2 2" xfId="49" xr:uid="{00000000-0005-0000-0000-000022000000}"/>
    <cellStyle name="Normal 2 3" xfId="37" xr:uid="{00000000-0005-0000-0000-000023000000}"/>
    <cellStyle name="Normal 3" xfId="14" xr:uid="{00000000-0005-0000-0000-000024000000}"/>
    <cellStyle name="Normal 3 2" xfId="45" xr:uid="{00000000-0005-0000-0000-000025000000}"/>
    <cellStyle name="Normal 3 3" xfId="36" xr:uid="{00000000-0005-0000-0000-000026000000}"/>
    <cellStyle name="Normal 30 3" xfId="19" xr:uid="{00000000-0005-0000-0000-000027000000}"/>
    <cellStyle name="Normal 4" xfId="10" xr:uid="{00000000-0005-0000-0000-000028000000}"/>
    <cellStyle name="Normal 4 2" xfId="25" xr:uid="{00000000-0005-0000-0000-000029000000}"/>
    <cellStyle name="Normal 5" xfId="26" xr:uid="{00000000-0005-0000-0000-00002A000000}"/>
    <cellStyle name="Normal 6" xfId="30" xr:uid="{00000000-0005-0000-0000-00002B000000}"/>
    <cellStyle name="Normal 7" xfId="42" xr:uid="{00000000-0005-0000-0000-00002C000000}"/>
    <cellStyle name="Normal 7 4" xfId="29" xr:uid="{00000000-0005-0000-0000-00002D000000}"/>
    <cellStyle name="Normal 8" xfId="39" xr:uid="{00000000-0005-0000-0000-00002E000000}"/>
    <cellStyle name="Porcentaje" xfId="18" builtinId="5"/>
    <cellStyle name="Porcentaje 2" xfId="17" xr:uid="{00000000-0005-0000-0000-000030000000}"/>
    <cellStyle name="Porcentaje 3" xfId="40" xr:uid="{00000000-0005-0000-0000-000031000000}"/>
    <cellStyle name="Porcentaje 4" xfId="35" xr:uid="{00000000-0005-0000-0000-000032000000}"/>
    <cellStyle name="Porcentual 2" xfId="9" xr:uid="{00000000-0005-0000-0000-000033000000}"/>
  </cellStyles>
  <dxfs count="0"/>
  <tableStyles count="0" defaultTableStyle="TableStyleMedium9" defaultPivotStyle="PivotStyleLight16"/>
  <colors>
    <mruColors>
      <color rgb="FF90E46E"/>
      <color rgb="FF66FF33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2.xml"/><Relationship Id="rId30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NUL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347872</xdr:colOff>
      <xdr:row>0</xdr:row>
      <xdr:rowOff>74540</xdr:rowOff>
    </xdr:from>
    <xdr:to>
      <xdr:col>6</xdr:col>
      <xdr:colOff>911088</xdr:colOff>
      <xdr:row>1</xdr:row>
      <xdr:rowOff>910490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872" y="74540"/>
          <a:ext cx="6344477" cy="11009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552450</xdr:colOff>
      <xdr:row>0</xdr:row>
      <xdr:rowOff>85725</xdr:rowOff>
    </xdr:from>
    <xdr:to>
      <xdr:col>16</xdr:col>
      <xdr:colOff>171450</xdr:colOff>
      <xdr:row>3</xdr:row>
      <xdr:rowOff>295275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77525" y="85725"/>
          <a:ext cx="1047750" cy="10953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552450</xdr:colOff>
      <xdr:row>0</xdr:row>
      <xdr:rowOff>85725</xdr:rowOff>
    </xdr:from>
    <xdr:to>
      <xdr:col>16</xdr:col>
      <xdr:colOff>171450</xdr:colOff>
      <xdr:row>3</xdr:row>
      <xdr:rowOff>295275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77525" y="85725"/>
          <a:ext cx="1047750" cy="10953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552450</xdr:colOff>
      <xdr:row>0</xdr:row>
      <xdr:rowOff>85725</xdr:rowOff>
    </xdr:from>
    <xdr:to>
      <xdr:col>16</xdr:col>
      <xdr:colOff>171450</xdr:colOff>
      <xdr:row>3</xdr:row>
      <xdr:rowOff>295275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77525" y="85725"/>
          <a:ext cx="1047750" cy="10953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552450</xdr:colOff>
      <xdr:row>0</xdr:row>
      <xdr:rowOff>85725</xdr:rowOff>
    </xdr:from>
    <xdr:to>
      <xdr:col>16</xdr:col>
      <xdr:colOff>171450</xdr:colOff>
      <xdr:row>3</xdr:row>
      <xdr:rowOff>295275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77525" y="85725"/>
          <a:ext cx="1047750" cy="10953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552450</xdr:colOff>
      <xdr:row>0</xdr:row>
      <xdr:rowOff>85725</xdr:rowOff>
    </xdr:from>
    <xdr:to>
      <xdr:col>16</xdr:col>
      <xdr:colOff>171450</xdr:colOff>
      <xdr:row>3</xdr:row>
      <xdr:rowOff>295275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77525" y="85725"/>
          <a:ext cx="1047750" cy="109537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552450</xdr:colOff>
      <xdr:row>0</xdr:row>
      <xdr:rowOff>85725</xdr:rowOff>
    </xdr:from>
    <xdr:to>
      <xdr:col>16</xdr:col>
      <xdr:colOff>171450</xdr:colOff>
      <xdr:row>3</xdr:row>
      <xdr:rowOff>295275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77525" y="85725"/>
          <a:ext cx="1047750" cy="109537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552450</xdr:colOff>
      <xdr:row>0</xdr:row>
      <xdr:rowOff>85725</xdr:rowOff>
    </xdr:from>
    <xdr:to>
      <xdr:col>16</xdr:col>
      <xdr:colOff>171450</xdr:colOff>
      <xdr:row>3</xdr:row>
      <xdr:rowOff>295275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77525" y="85725"/>
          <a:ext cx="1047750" cy="109537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2584171</xdr:colOff>
      <xdr:row>0</xdr:row>
      <xdr:rowOff>48940</xdr:rowOff>
    </xdr:from>
    <xdr:to>
      <xdr:col>8</xdr:col>
      <xdr:colOff>521801</xdr:colOff>
      <xdr:row>1</xdr:row>
      <xdr:rowOff>847520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0019" y="48940"/>
          <a:ext cx="6129130" cy="106362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271097</xdr:colOff>
      <xdr:row>0</xdr:row>
      <xdr:rowOff>65943</xdr:rowOff>
    </xdr:from>
    <xdr:to>
      <xdr:col>3</xdr:col>
      <xdr:colOff>776654</xdr:colOff>
      <xdr:row>1</xdr:row>
      <xdr:rowOff>677987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097" y="65943"/>
          <a:ext cx="4835769" cy="83917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222250</xdr:colOff>
      <xdr:row>158</xdr:row>
      <xdr:rowOff>169333</xdr:rowOff>
    </xdr:from>
    <xdr:to>
      <xdr:col>1</xdr:col>
      <xdr:colOff>227965</xdr:colOff>
      <xdr:row>168</xdr:row>
      <xdr:rowOff>7066</xdr:rowOff>
    </xdr:to>
    <xdr:pic>
      <xdr:nvPicPr>
        <xdr:cNvPr id="2" name="Imagen 1" descr="Firma de Jair Caballer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0075" y="21600583"/>
          <a:ext cx="5715" cy="173320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222250</xdr:colOff>
      <xdr:row>124</xdr:row>
      <xdr:rowOff>169333</xdr:rowOff>
    </xdr:from>
    <xdr:to>
      <xdr:col>2</xdr:col>
      <xdr:colOff>227965</xdr:colOff>
      <xdr:row>133</xdr:row>
      <xdr:rowOff>157395</xdr:rowOff>
    </xdr:to>
    <xdr:pic>
      <xdr:nvPicPr>
        <xdr:cNvPr id="2" name="Imagen 1" descr="Firma de Jair Caballer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3400" y="15533158"/>
          <a:ext cx="5715" cy="172948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3246764</xdr:colOff>
      <xdr:row>0</xdr:row>
      <xdr:rowOff>49697</xdr:rowOff>
    </xdr:from>
    <xdr:to>
      <xdr:col>6</xdr:col>
      <xdr:colOff>844236</xdr:colOff>
      <xdr:row>0</xdr:row>
      <xdr:rowOff>965066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2612" y="49697"/>
          <a:ext cx="6608950" cy="915369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361294</xdr:colOff>
      <xdr:row>0</xdr:row>
      <xdr:rowOff>52552</xdr:rowOff>
    </xdr:from>
    <xdr:to>
      <xdr:col>4</xdr:col>
      <xdr:colOff>558363</xdr:colOff>
      <xdr:row>3</xdr:row>
      <xdr:rowOff>617184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0587" y="52552"/>
          <a:ext cx="1149569" cy="1201822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457200</xdr:colOff>
      <xdr:row>0</xdr:row>
      <xdr:rowOff>104775</xdr:rowOff>
    </xdr:from>
    <xdr:to>
      <xdr:col>5</xdr:col>
      <xdr:colOff>657225</xdr:colOff>
      <xdr:row>3</xdr:row>
      <xdr:rowOff>589684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91300" y="104775"/>
          <a:ext cx="1238250" cy="1294534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486104</xdr:colOff>
      <xdr:row>0</xdr:row>
      <xdr:rowOff>72259</xdr:rowOff>
    </xdr:from>
    <xdr:to>
      <xdr:col>2</xdr:col>
      <xdr:colOff>538656</xdr:colOff>
      <xdr:row>3</xdr:row>
      <xdr:rowOff>638385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6190" y="72259"/>
          <a:ext cx="1169276" cy="120331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472107</xdr:colOff>
      <xdr:row>0</xdr:row>
      <xdr:rowOff>92977</xdr:rowOff>
    </xdr:from>
    <xdr:to>
      <xdr:col>5</xdr:col>
      <xdr:colOff>637760</xdr:colOff>
      <xdr:row>3</xdr:row>
      <xdr:rowOff>695741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9259" y="92977"/>
          <a:ext cx="1358349" cy="1397894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447261</xdr:colOff>
      <xdr:row>0</xdr:row>
      <xdr:rowOff>50849</xdr:rowOff>
    </xdr:from>
    <xdr:to>
      <xdr:col>10</xdr:col>
      <xdr:colOff>828264</xdr:colOff>
      <xdr:row>3</xdr:row>
      <xdr:rowOff>366785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71283" y="50849"/>
          <a:ext cx="2145198" cy="945414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93394</xdr:colOff>
      <xdr:row>0</xdr:row>
      <xdr:rowOff>157082</xdr:rowOff>
    </xdr:from>
    <xdr:to>
      <xdr:col>3</xdr:col>
      <xdr:colOff>1036311</xdr:colOff>
      <xdr:row>3</xdr:row>
      <xdr:rowOff>283159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1481" y="157082"/>
          <a:ext cx="1555830" cy="755555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308742</xdr:colOff>
      <xdr:row>0</xdr:row>
      <xdr:rowOff>45327</xdr:rowOff>
    </xdr:from>
    <xdr:to>
      <xdr:col>5</xdr:col>
      <xdr:colOff>932793</xdr:colOff>
      <xdr:row>3</xdr:row>
      <xdr:rowOff>413607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0292" y="45327"/>
          <a:ext cx="1709901" cy="99693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198146</xdr:colOff>
      <xdr:row>0</xdr:row>
      <xdr:rowOff>168079</xdr:rowOff>
    </xdr:from>
    <xdr:to>
      <xdr:col>8</xdr:col>
      <xdr:colOff>1084385</xdr:colOff>
      <xdr:row>3</xdr:row>
      <xdr:rowOff>255415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2858" y="168079"/>
          <a:ext cx="1648239" cy="717451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1190625</xdr:colOff>
      <xdr:row>4</xdr:row>
      <xdr:rowOff>0</xdr:rowOff>
    </xdr:from>
    <xdr:to>
      <xdr:col>3</xdr:col>
      <xdr:colOff>6350</xdr:colOff>
      <xdr:row>4</xdr:row>
      <xdr:rowOff>9525</xdr:rowOff>
    </xdr:to>
    <xdr:pic>
      <xdr:nvPicPr>
        <xdr:cNvPr id="2" name="45 Imagen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0"/>
          <a:ext cx="63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1190625</xdr:colOff>
      <xdr:row>4</xdr:row>
      <xdr:rowOff>0</xdr:rowOff>
    </xdr:from>
    <xdr:to>
      <xdr:col>4</xdr:col>
      <xdr:colOff>6350</xdr:colOff>
      <xdr:row>4</xdr:row>
      <xdr:rowOff>9525</xdr:rowOff>
    </xdr:to>
    <xdr:pic>
      <xdr:nvPicPr>
        <xdr:cNvPr id="3" name="45 Imagen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0"/>
          <a:ext cx="63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1190625</xdr:colOff>
      <xdr:row>4</xdr:row>
      <xdr:rowOff>0</xdr:rowOff>
    </xdr:from>
    <xdr:to>
      <xdr:col>4</xdr:col>
      <xdr:colOff>4762</xdr:colOff>
      <xdr:row>4</xdr:row>
      <xdr:rowOff>9525</xdr:rowOff>
    </xdr:to>
    <xdr:pic>
      <xdr:nvPicPr>
        <xdr:cNvPr id="4" name="45 Imagen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0"/>
          <a:ext cx="4762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1190625</xdr:colOff>
      <xdr:row>4</xdr:row>
      <xdr:rowOff>0</xdr:rowOff>
    </xdr:from>
    <xdr:to>
      <xdr:col>5</xdr:col>
      <xdr:colOff>11112</xdr:colOff>
      <xdr:row>4</xdr:row>
      <xdr:rowOff>9525</xdr:rowOff>
    </xdr:to>
    <xdr:pic>
      <xdr:nvPicPr>
        <xdr:cNvPr id="5" name="45 Imagen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375" y="0"/>
          <a:ext cx="11112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664894</xdr:colOff>
      <xdr:row>0</xdr:row>
      <xdr:rowOff>61892</xdr:rowOff>
    </xdr:from>
    <xdr:to>
      <xdr:col>6</xdr:col>
      <xdr:colOff>2294283</xdr:colOff>
      <xdr:row>3</xdr:row>
      <xdr:rowOff>403937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00000000-0008-0000-1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4285" y="61892"/>
          <a:ext cx="1629389" cy="971523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198146</xdr:colOff>
      <xdr:row>0</xdr:row>
      <xdr:rowOff>168079</xdr:rowOff>
    </xdr:from>
    <xdr:to>
      <xdr:col>8</xdr:col>
      <xdr:colOff>1084385</xdr:colOff>
      <xdr:row>3</xdr:row>
      <xdr:rowOff>141115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36996" y="168079"/>
          <a:ext cx="1648239" cy="71598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ONTECRISTO%202021/PROYECTOS%20NUEVOS/PROYECTO%20BETANIA/Users/Administrador/Downloads/ADM%20VIAL%2003%20-%20CORDOBA/ESTADO%20DE%20RED/2103mar%2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ONTECRISTO%202021/PROYECTOS%20NUEVOS/RESTAURANTE%20ESCOLAR%20TIPO/PRESUPUESTO%20DE%20OBRA%20-%20RESTAURANTE%20ESCOLAR%20TIP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ONTECRISTO%202021/PROYECTOS%20NUEVOS/PROYECTO%20BETANIA/KINGSTON%20(F)/PROYECTO%20MARETIRA/COMPONENTE%20PRESUPUESTAL%20MARETIRA/PRESUPUESTO%20DE%20OBRA%20-%20PAVIMENTO%20MARETIRA%20CORRECC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 BASICOS"/>
      <sheetName val="APU "/>
      <sheetName val="MATERIALES"/>
      <sheetName val="HERRA Y EQUIPOS"/>
      <sheetName val="MANO DE OBRA"/>
      <sheetName val="TRANSPORTE"/>
      <sheetName val="CANTIDADES DE OBRA"/>
    </sheetNames>
    <sheetDataSet>
      <sheetData sheetId="0"/>
      <sheetData sheetId="1"/>
      <sheetData sheetId="2"/>
      <sheetData sheetId="3"/>
      <sheetData sheetId="4"/>
      <sheetData sheetId="5">
        <row r="12">
          <cell r="E12">
            <v>44687</v>
          </cell>
        </row>
        <row r="14">
          <cell r="E14">
            <v>81926</v>
          </cell>
        </row>
      </sheetData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 "/>
      <sheetName val="MATERIALES"/>
      <sheetName val="HERRAMIENTAS Y EQUIPOS"/>
      <sheetName val="MANO DE OBRA"/>
      <sheetName val="TRANSPORTE"/>
      <sheetName val="CANTIDADES DE OBRA"/>
      <sheetName val="Hoja1"/>
      <sheetName val="EXCAVACIONES"/>
    </sheetNames>
    <sheetDataSet>
      <sheetData sheetId="0"/>
      <sheetData sheetId="1"/>
      <sheetData sheetId="2"/>
      <sheetData sheetId="3">
        <row r="20">
          <cell r="C20">
            <v>100000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tabColor rgb="FFFFFF00"/>
  </sheetPr>
  <dimension ref="B1:H712"/>
  <sheetViews>
    <sheetView tabSelected="1" view="pageBreakPreview" topLeftCell="A633" zoomScale="145" zoomScaleNormal="145" zoomScaleSheetLayoutView="145" workbookViewId="0">
      <selection activeCell="E638" sqref="E638"/>
    </sheetView>
  </sheetViews>
  <sheetFormatPr baseColWidth="10" defaultRowHeight="13" x14ac:dyDescent="0.15"/>
  <cols>
    <col min="1" max="1" width="11.5"/>
    <col min="2" max="2" width="6.1640625" style="7" customWidth="1"/>
    <col min="3" max="3" width="49.6640625" customWidth="1"/>
    <col min="4" max="4" width="7.5" customWidth="1"/>
    <col min="5" max="5" width="9.1640625" style="241" customWidth="1"/>
    <col min="6" max="6" width="14.33203125" style="235" customWidth="1"/>
    <col min="7" max="7" width="19.5" customWidth="1"/>
    <col min="8" max="8" width="5" customWidth="1"/>
  </cols>
  <sheetData>
    <row r="1" spans="2:8" ht="21" customHeight="1" x14ac:dyDescent="0.15">
      <c r="B1" s="761"/>
      <c r="C1" s="762"/>
      <c r="D1" s="762"/>
      <c r="E1" s="762"/>
      <c r="F1" s="762"/>
      <c r="G1" s="763"/>
      <c r="H1" s="198"/>
    </row>
    <row r="2" spans="2:8" ht="78" customHeight="1" x14ac:dyDescent="0.15">
      <c r="B2" s="764"/>
      <c r="C2" s="765"/>
      <c r="D2" s="765"/>
      <c r="E2" s="765"/>
      <c r="F2" s="765"/>
      <c r="G2" s="766"/>
      <c r="H2" s="92"/>
    </row>
    <row r="3" spans="2:8" ht="41.25" customHeight="1" x14ac:dyDescent="0.15">
      <c r="B3" s="767" t="s">
        <v>836</v>
      </c>
      <c r="C3" s="768"/>
      <c r="D3" s="768"/>
      <c r="E3" s="768"/>
      <c r="F3" s="768"/>
      <c r="G3" s="769"/>
      <c r="H3" s="199"/>
    </row>
    <row r="4" spans="2:8" ht="8.25" customHeight="1" x14ac:dyDescent="0.15">
      <c r="B4" s="728"/>
      <c r="C4" s="729"/>
      <c r="D4" s="729"/>
      <c r="E4" s="729"/>
      <c r="F4" s="729"/>
      <c r="G4" s="730"/>
      <c r="H4" s="200"/>
    </row>
    <row r="5" spans="2:8" ht="13.5" customHeight="1" x14ac:dyDescent="0.15">
      <c r="B5" s="770" t="s">
        <v>1634</v>
      </c>
      <c r="C5" s="771"/>
      <c r="D5" s="771"/>
      <c r="E5" s="771"/>
      <c r="F5" s="771"/>
      <c r="G5" s="772"/>
      <c r="H5" s="206"/>
    </row>
    <row r="6" spans="2:8" ht="8.25" customHeight="1" x14ac:dyDescent="0.15">
      <c r="B6" s="728"/>
      <c r="C6" s="729"/>
      <c r="D6" s="729"/>
      <c r="E6" s="729"/>
      <c r="F6" s="729"/>
      <c r="G6" s="730"/>
      <c r="H6" s="200"/>
    </row>
    <row r="7" spans="2:8" s="197" customFormat="1" ht="14" x14ac:dyDescent="0.15">
      <c r="B7" s="365" t="s">
        <v>0</v>
      </c>
      <c r="C7" s="10" t="s">
        <v>1</v>
      </c>
      <c r="D7" s="338" t="s">
        <v>2</v>
      </c>
      <c r="E7" s="366" t="s">
        <v>3</v>
      </c>
      <c r="F7" s="364" t="s">
        <v>8</v>
      </c>
      <c r="G7" s="367" t="s">
        <v>4</v>
      </c>
      <c r="H7" s="368"/>
    </row>
    <row r="8" spans="2:8" ht="12" customHeight="1" x14ac:dyDescent="0.15">
      <c r="B8" s="719"/>
      <c r="C8" s="720"/>
      <c r="D8" s="720"/>
      <c r="E8" s="720"/>
      <c r="F8" s="720"/>
      <c r="G8" s="721"/>
      <c r="H8" s="200"/>
    </row>
    <row r="9" spans="2:8" ht="18" customHeight="1" x14ac:dyDescent="0.15">
      <c r="B9" s="692" t="s">
        <v>185</v>
      </c>
      <c r="C9" s="734" t="s">
        <v>875</v>
      </c>
      <c r="D9" s="734"/>
      <c r="E9" s="734"/>
      <c r="F9" s="734"/>
      <c r="G9" s="735"/>
      <c r="H9" s="201"/>
    </row>
    <row r="10" spans="2:8" ht="12" customHeight="1" x14ac:dyDescent="0.15">
      <c r="B10" s="719"/>
      <c r="C10" s="720"/>
      <c r="D10" s="720"/>
      <c r="E10" s="720"/>
      <c r="F10" s="720"/>
      <c r="G10" s="721"/>
      <c r="H10" s="200"/>
    </row>
    <row r="11" spans="2:8" ht="18" customHeight="1" x14ac:dyDescent="0.15">
      <c r="B11" s="690"/>
      <c r="C11" s="783" t="s">
        <v>1226</v>
      </c>
      <c r="D11" s="783"/>
      <c r="E11" s="783"/>
      <c r="F11" s="783"/>
      <c r="G11" s="784"/>
      <c r="H11" s="201"/>
    </row>
    <row r="12" spans="2:8" x14ac:dyDescent="0.15">
      <c r="B12" s="370">
        <v>1</v>
      </c>
      <c r="C12" s="736" t="s">
        <v>12</v>
      </c>
      <c r="D12" s="736"/>
      <c r="E12" s="736"/>
      <c r="F12" s="736"/>
      <c r="G12" s="737"/>
      <c r="H12" s="201"/>
    </row>
    <row r="13" spans="2:8" x14ac:dyDescent="0.15">
      <c r="B13" s="370" t="s">
        <v>220</v>
      </c>
      <c r="C13" s="484" t="s">
        <v>46</v>
      </c>
      <c r="D13" s="487" t="s">
        <v>5</v>
      </c>
      <c r="E13" s="70">
        <f>'CANT. DE OBRA ADMON'!K14</f>
        <v>216</v>
      </c>
      <c r="F13" s="485"/>
      <c r="G13" s="486"/>
      <c r="H13" s="202"/>
    </row>
    <row r="14" spans="2:8" x14ac:dyDescent="0.15">
      <c r="B14" s="370" t="s">
        <v>842</v>
      </c>
      <c r="C14" s="484" t="s">
        <v>986</v>
      </c>
      <c r="D14" s="487" t="s">
        <v>7</v>
      </c>
      <c r="E14" s="70">
        <f>'CANT. DE OBRA ADMON'!K21</f>
        <v>12</v>
      </c>
      <c r="F14" s="485"/>
      <c r="G14" s="486"/>
      <c r="H14" s="202"/>
    </row>
    <row r="15" spans="2:8" x14ac:dyDescent="0.15">
      <c r="B15" s="370" t="s">
        <v>878</v>
      </c>
      <c r="C15" s="484" t="s">
        <v>888</v>
      </c>
      <c r="D15" s="487" t="s">
        <v>5</v>
      </c>
      <c r="E15" s="70">
        <f>'CANT. DE OBRA ADMON'!K28</f>
        <v>216</v>
      </c>
      <c r="F15" s="485"/>
      <c r="G15" s="486"/>
      <c r="H15" s="202"/>
    </row>
    <row r="16" spans="2:8" x14ac:dyDescent="0.15">
      <c r="B16" s="370" t="s">
        <v>1087</v>
      </c>
      <c r="C16" s="484" t="s">
        <v>1143</v>
      </c>
      <c r="D16" s="487" t="s">
        <v>5</v>
      </c>
      <c r="E16" s="70">
        <f>'CANT. DE OBRA ADMON'!K35</f>
        <v>32.76</v>
      </c>
      <c r="F16" s="485"/>
      <c r="G16" s="486"/>
      <c r="H16" s="202"/>
    </row>
    <row r="17" spans="2:8" x14ac:dyDescent="0.15">
      <c r="B17" s="370" t="s">
        <v>1436</v>
      </c>
      <c r="C17" s="484" t="s">
        <v>494</v>
      </c>
      <c r="D17" s="487" t="s">
        <v>6</v>
      </c>
      <c r="E17" s="70">
        <f>'CANT. DE OBRA ADMON'!K44</f>
        <v>34.786440000000006</v>
      </c>
      <c r="F17" s="485"/>
      <c r="G17" s="486"/>
      <c r="H17" s="202"/>
    </row>
    <row r="18" spans="2:8" ht="16.5" customHeight="1" x14ac:dyDescent="0.15">
      <c r="B18" s="370"/>
      <c r="C18" s="731" t="s">
        <v>11</v>
      </c>
      <c r="D18" s="732"/>
      <c r="E18" s="732"/>
      <c r="F18" s="733"/>
      <c r="G18" s="234"/>
      <c r="H18" s="203"/>
    </row>
    <row r="19" spans="2:8" ht="8.25" customHeight="1" x14ac:dyDescent="0.15">
      <c r="B19" s="719"/>
      <c r="C19" s="720"/>
      <c r="D19" s="720"/>
      <c r="E19" s="720"/>
      <c r="F19" s="720"/>
      <c r="G19" s="721"/>
      <c r="H19" s="200"/>
    </row>
    <row r="20" spans="2:8" x14ac:dyDescent="0.15">
      <c r="B20" s="370">
        <v>2</v>
      </c>
      <c r="C20" s="736" t="s">
        <v>115</v>
      </c>
      <c r="D20" s="736"/>
      <c r="E20" s="736"/>
      <c r="F20" s="736"/>
      <c r="G20" s="737"/>
      <c r="H20" s="201"/>
    </row>
    <row r="21" spans="2:8" x14ac:dyDescent="0.15">
      <c r="B21" s="370" t="s">
        <v>216</v>
      </c>
      <c r="C21" s="484" t="s">
        <v>890</v>
      </c>
      <c r="D21" s="487" t="s">
        <v>6</v>
      </c>
      <c r="E21" s="70">
        <f>'CANT. DE OBRA ADMON'!K59</f>
        <v>18.6358</v>
      </c>
      <c r="F21" s="485"/>
      <c r="G21" s="486"/>
      <c r="H21" s="202"/>
    </row>
    <row r="22" spans="2:8" x14ac:dyDescent="0.15">
      <c r="B22" s="370" t="s">
        <v>217</v>
      </c>
      <c r="C22" s="484" t="s">
        <v>491</v>
      </c>
      <c r="D22" s="487" t="s">
        <v>6</v>
      </c>
      <c r="E22" s="70">
        <f>'CANT. DE OBRA ADMON'!K67</f>
        <v>3.8307500000000001</v>
      </c>
      <c r="F22" s="485"/>
      <c r="G22" s="486"/>
      <c r="H22" s="202"/>
    </row>
    <row r="23" spans="2:8" ht="26" x14ac:dyDescent="0.15">
      <c r="B23" s="370" t="s">
        <v>218</v>
      </c>
      <c r="C23" s="484" t="s">
        <v>1004</v>
      </c>
      <c r="D23" s="487" t="s">
        <v>6</v>
      </c>
      <c r="E23" s="70">
        <f>'CANT. DE OBRA ADMON'!L76</f>
        <v>41.932000000000002</v>
      </c>
      <c r="F23" s="485"/>
      <c r="G23" s="486"/>
      <c r="H23" s="202"/>
    </row>
    <row r="24" spans="2:8" x14ac:dyDescent="0.15">
      <c r="B24" s="370" t="s">
        <v>219</v>
      </c>
      <c r="C24" s="484" t="s">
        <v>494</v>
      </c>
      <c r="D24" s="487" t="s">
        <v>6</v>
      </c>
      <c r="E24" s="70">
        <f>'CANT. DE OBRA ADMON'!K83</f>
        <v>19.246565</v>
      </c>
      <c r="F24" s="485"/>
      <c r="G24" s="486"/>
      <c r="H24" s="202"/>
    </row>
    <row r="25" spans="2:8" ht="16.5" customHeight="1" x14ac:dyDescent="0.15">
      <c r="B25" s="370"/>
      <c r="C25" s="731" t="s">
        <v>10</v>
      </c>
      <c r="D25" s="732"/>
      <c r="E25" s="732"/>
      <c r="F25" s="733"/>
      <c r="G25" s="234"/>
      <c r="H25" s="203"/>
    </row>
    <row r="26" spans="2:8" ht="8.25" customHeight="1" x14ac:dyDescent="0.15">
      <c r="B26" s="728"/>
      <c r="C26" s="729"/>
      <c r="D26" s="729"/>
      <c r="E26" s="729"/>
      <c r="F26" s="729"/>
      <c r="G26" s="730"/>
      <c r="H26" s="200"/>
    </row>
    <row r="27" spans="2:8" x14ac:dyDescent="0.15">
      <c r="B27" s="176">
        <v>3</v>
      </c>
      <c r="C27" s="726" t="s">
        <v>18</v>
      </c>
      <c r="D27" s="726"/>
      <c r="E27" s="726"/>
      <c r="F27" s="726"/>
      <c r="G27" s="727"/>
      <c r="H27" s="204"/>
    </row>
    <row r="28" spans="2:8" x14ac:dyDescent="0.15">
      <c r="B28" s="370" t="s">
        <v>210</v>
      </c>
      <c r="C28" s="484" t="s">
        <v>568</v>
      </c>
      <c r="D28" s="487" t="s">
        <v>6</v>
      </c>
      <c r="E28" s="70">
        <f>'CANT. DE OBRA ADMON'!K91</f>
        <v>0.44599999999999995</v>
      </c>
      <c r="F28" s="485"/>
      <c r="G28" s="486"/>
      <c r="H28" s="202"/>
    </row>
    <row r="29" spans="2:8" ht="26" x14ac:dyDescent="0.15">
      <c r="B29" s="370" t="s">
        <v>211</v>
      </c>
      <c r="C29" s="484" t="s">
        <v>629</v>
      </c>
      <c r="D29" s="487" t="s">
        <v>319</v>
      </c>
      <c r="E29" s="70">
        <f>'CANT. DE OBRA ADMON'!K98</f>
        <v>1</v>
      </c>
      <c r="F29" s="485"/>
      <c r="G29" s="486"/>
      <c r="H29" s="202"/>
    </row>
    <row r="30" spans="2:8" ht="26" x14ac:dyDescent="0.15">
      <c r="B30" s="370" t="s">
        <v>212</v>
      </c>
      <c r="C30" s="484" t="s">
        <v>1546</v>
      </c>
      <c r="D30" s="487" t="s">
        <v>319</v>
      </c>
      <c r="E30" s="70">
        <f>'CANT. DE OBRA ADMON'!K105</f>
        <v>22</v>
      </c>
      <c r="F30" s="485"/>
      <c r="G30" s="486"/>
      <c r="H30" s="202"/>
    </row>
    <row r="31" spans="2:8" ht="26" x14ac:dyDescent="0.15">
      <c r="B31" s="370" t="s">
        <v>214</v>
      </c>
      <c r="C31" s="484" t="s">
        <v>1626</v>
      </c>
      <c r="D31" s="487" t="s">
        <v>7</v>
      </c>
      <c r="E31" s="70">
        <f>'CANT. DE OBRA ADMON'!K115</f>
        <v>93.6</v>
      </c>
      <c r="F31" s="485"/>
      <c r="G31" s="486"/>
      <c r="H31" s="202"/>
    </row>
    <row r="32" spans="2:8" ht="26" x14ac:dyDescent="0.15">
      <c r="B32" s="370" t="s">
        <v>601</v>
      </c>
      <c r="C32" s="484" t="s">
        <v>1519</v>
      </c>
      <c r="D32" s="487" t="s">
        <v>7</v>
      </c>
      <c r="E32" s="70">
        <f>'CANT. DE OBRA ADMON'!K123</f>
        <v>15.190000000000001</v>
      </c>
      <c r="F32" s="485"/>
      <c r="G32" s="486"/>
      <c r="H32" s="202"/>
    </row>
    <row r="33" spans="2:8" ht="26" x14ac:dyDescent="0.15">
      <c r="B33" s="370" t="s">
        <v>215</v>
      </c>
      <c r="C33" s="484" t="s">
        <v>894</v>
      </c>
      <c r="D33" s="487" t="s">
        <v>7</v>
      </c>
      <c r="E33" s="70">
        <f>'CANT. DE OBRA ADMON'!K130</f>
        <v>1.5</v>
      </c>
      <c r="F33" s="485"/>
      <c r="G33" s="486"/>
      <c r="H33" s="202"/>
    </row>
    <row r="34" spans="2:8" ht="26" x14ac:dyDescent="0.15">
      <c r="B34" s="370" t="s">
        <v>226</v>
      </c>
      <c r="C34" s="484" t="s">
        <v>1549</v>
      </c>
      <c r="D34" s="487" t="s">
        <v>7</v>
      </c>
      <c r="E34" s="70">
        <f>'CANT. DE OBRA ADMON'!K137</f>
        <v>3.8</v>
      </c>
      <c r="F34" s="485"/>
      <c r="G34" s="486"/>
      <c r="H34" s="202"/>
    </row>
    <row r="35" spans="2:8" ht="26" x14ac:dyDescent="0.15">
      <c r="B35" s="370" t="s">
        <v>227</v>
      </c>
      <c r="C35" s="484" t="s">
        <v>1600</v>
      </c>
      <c r="D35" s="487" t="s">
        <v>7</v>
      </c>
      <c r="E35" s="70">
        <f>'CANT. DE OBRA ADMON'!K146</f>
        <v>85.550000000000011</v>
      </c>
      <c r="F35" s="485"/>
      <c r="G35" s="486"/>
      <c r="H35" s="202"/>
    </row>
    <row r="36" spans="2:8" ht="26" x14ac:dyDescent="0.15">
      <c r="B36" s="370" t="s">
        <v>229</v>
      </c>
      <c r="C36" s="484" t="s">
        <v>1550</v>
      </c>
      <c r="D36" s="487" t="s">
        <v>7</v>
      </c>
      <c r="E36" s="70">
        <f>'CANT. DE OBRA ADMON'!K155</f>
        <v>88.94</v>
      </c>
      <c r="F36" s="485"/>
      <c r="G36" s="486"/>
      <c r="H36" s="202"/>
    </row>
    <row r="37" spans="2:8" ht="26" x14ac:dyDescent="0.15">
      <c r="B37" s="370" t="s">
        <v>230</v>
      </c>
      <c r="C37" s="484" t="s">
        <v>1521</v>
      </c>
      <c r="D37" s="487" t="s">
        <v>7</v>
      </c>
      <c r="E37" s="70">
        <f>'CANT. DE OBRA ADMON'!K162</f>
        <v>11.85</v>
      </c>
      <c r="F37" s="485"/>
      <c r="G37" s="486"/>
      <c r="H37" s="202"/>
    </row>
    <row r="38" spans="2:8" ht="26" x14ac:dyDescent="0.15">
      <c r="B38" s="370" t="s">
        <v>631</v>
      </c>
      <c r="C38" s="484" t="s">
        <v>1522</v>
      </c>
      <c r="D38" s="487" t="s">
        <v>5</v>
      </c>
      <c r="E38" s="70">
        <f>'CANT. DE OBRA ADMON'!K169</f>
        <v>1.44</v>
      </c>
      <c r="F38" s="485"/>
      <c r="G38" s="486"/>
      <c r="H38" s="202"/>
    </row>
    <row r="39" spans="2:8" ht="26" x14ac:dyDescent="0.15">
      <c r="B39" s="370" t="s">
        <v>632</v>
      </c>
      <c r="C39" s="484" t="s">
        <v>1523</v>
      </c>
      <c r="D39" s="487" t="s">
        <v>5</v>
      </c>
      <c r="E39" s="70">
        <f>'CANT. DE OBRA ADMON'!K179</f>
        <v>220.35999999999999</v>
      </c>
      <c r="F39" s="485"/>
      <c r="G39" s="486"/>
      <c r="H39" s="202"/>
    </row>
    <row r="40" spans="2:8" ht="26" x14ac:dyDescent="0.15">
      <c r="B40" s="370" t="s">
        <v>662</v>
      </c>
      <c r="C40" s="484" t="s">
        <v>1195</v>
      </c>
      <c r="D40" s="487" t="s">
        <v>7</v>
      </c>
      <c r="E40" s="70">
        <f>'CANT. DE OBRA ADMON'!K188</f>
        <v>77.699999999999989</v>
      </c>
      <c r="F40" s="485"/>
      <c r="G40" s="486"/>
      <c r="H40" s="202"/>
    </row>
    <row r="41" spans="2:8" ht="26" x14ac:dyDescent="0.15">
      <c r="B41" s="370" t="s">
        <v>1231</v>
      </c>
      <c r="C41" s="484" t="s">
        <v>1524</v>
      </c>
      <c r="D41" s="487" t="s">
        <v>7</v>
      </c>
      <c r="E41" s="70">
        <f>'CANT. DE OBRA ADMON'!K196</f>
        <v>56.53</v>
      </c>
      <c r="F41" s="485"/>
      <c r="G41" s="486"/>
      <c r="H41" s="202"/>
    </row>
    <row r="42" spans="2:8" ht="26" x14ac:dyDescent="0.15">
      <c r="B42" s="370" t="s">
        <v>1233</v>
      </c>
      <c r="C42" s="484" t="s">
        <v>1525</v>
      </c>
      <c r="D42" s="487" t="s">
        <v>7</v>
      </c>
      <c r="E42" s="70">
        <f>'CANT. DE OBRA ADMON'!K203</f>
        <v>9.6</v>
      </c>
      <c r="F42" s="485"/>
      <c r="G42" s="486"/>
      <c r="H42" s="202"/>
    </row>
    <row r="43" spans="2:8" ht="26" x14ac:dyDescent="0.15">
      <c r="B43" s="370" t="s">
        <v>1583</v>
      </c>
      <c r="C43" s="484" t="s">
        <v>1232</v>
      </c>
      <c r="D43" s="487" t="s">
        <v>5</v>
      </c>
      <c r="E43" s="70">
        <f>'CANT. DE OBRA ADMON'!K213</f>
        <v>17.224</v>
      </c>
      <c r="F43" s="485"/>
      <c r="G43" s="486"/>
      <c r="H43" s="202"/>
    </row>
    <row r="44" spans="2:8" ht="26" x14ac:dyDescent="0.15">
      <c r="B44" s="370" t="s">
        <v>1617</v>
      </c>
      <c r="C44" s="484" t="s">
        <v>1234</v>
      </c>
      <c r="D44" s="487" t="s">
        <v>5</v>
      </c>
      <c r="E44" s="70">
        <f>'CANT. DE OBRA ADMON'!K222</f>
        <v>29.642999999999997</v>
      </c>
      <c r="F44" s="485"/>
      <c r="G44" s="486"/>
      <c r="H44" s="202"/>
    </row>
    <row r="45" spans="2:8" ht="16.5" customHeight="1" x14ac:dyDescent="0.15">
      <c r="B45" s="370"/>
      <c r="C45" s="731" t="s">
        <v>13</v>
      </c>
      <c r="D45" s="732"/>
      <c r="E45" s="732"/>
      <c r="F45" s="733"/>
      <c r="G45" s="234"/>
      <c r="H45" s="203"/>
    </row>
    <row r="46" spans="2:8" ht="8.25" customHeight="1" x14ac:dyDescent="0.15">
      <c r="B46" s="728"/>
      <c r="C46" s="729"/>
      <c r="D46" s="729"/>
      <c r="E46" s="729"/>
      <c r="F46" s="729"/>
      <c r="G46" s="730"/>
      <c r="H46" s="200"/>
    </row>
    <row r="47" spans="2:8" x14ac:dyDescent="0.15">
      <c r="B47" s="176">
        <v>4</v>
      </c>
      <c r="C47" s="726" t="s">
        <v>80</v>
      </c>
      <c r="D47" s="726"/>
      <c r="E47" s="726"/>
      <c r="F47" s="726"/>
      <c r="G47" s="727"/>
      <c r="H47" s="201"/>
    </row>
    <row r="48" spans="2:8" x14ac:dyDescent="0.15">
      <c r="B48" s="370" t="s">
        <v>265</v>
      </c>
      <c r="C48" s="484" t="s">
        <v>167</v>
      </c>
      <c r="D48" s="487" t="s">
        <v>5</v>
      </c>
      <c r="E48" s="70">
        <f>'CANT. DE OBRA ADMON'!K234</f>
        <v>210.90120000000007</v>
      </c>
      <c r="F48" s="485"/>
      <c r="G48" s="486"/>
      <c r="H48" s="202"/>
    </row>
    <row r="49" spans="2:8" x14ac:dyDescent="0.15">
      <c r="B49" s="370" t="s">
        <v>266</v>
      </c>
      <c r="C49" s="484" t="s">
        <v>1025</v>
      </c>
      <c r="D49" s="487" t="s">
        <v>5</v>
      </c>
      <c r="E49" s="70">
        <f>'CANT. DE OBRA ADMON'!K255</f>
        <v>535.60390000000007</v>
      </c>
      <c r="F49" s="485"/>
      <c r="G49" s="486"/>
      <c r="H49" s="202"/>
    </row>
    <row r="50" spans="2:8" x14ac:dyDescent="0.15">
      <c r="B50" s="370" t="s">
        <v>267</v>
      </c>
      <c r="C50" s="484" t="s">
        <v>1078</v>
      </c>
      <c r="D50" s="487" t="s">
        <v>7</v>
      </c>
      <c r="E50" s="70">
        <f>'CANT. DE OBRA ADMON'!K262</f>
        <v>7.7</v>
      </c>
      <c r="F50" s="485"/>
      <c r="G50" s="486"/>
      <c r="H50" s="202"/>
    </row>
    <row r="51" spans="2:8" ht="16.5" customHeight="1" x14ac:dyDescent="0.15">
      <c r="B51" s="370"/>
      <c r="C51" s="731" t="s">
        <v>14</v>
      </c>
      <c r="D51" s="732"/>
      <c r="E51" s="732"/>
      <c r="F51" s="733"/>
      <c r="G51" s="234"/>
      <c r="H51" s="203"/>
    </row>
    <row r="52" spans="2:8" ht="8.25" customHeight="1" x14ac:dyDescent="0.15">
      <c r="B52" s="728"/>
      <c r="C52" s="729"/>
      <c r="D52" s="729"/>
      <c r="E52" s="729"/>
      <c r="F52" s="729"/>
      <c r="G52" s="730"/>
      <c r="H52" s="200"/>
    </row>
    <row r="53" spans="2:8" x14ac:dyDescent="0.15">
      <c r="B53" s="176">
        <v>5</v>
      </c>
      <c r="C53" s="726" t="s">
        <v>9</v>
      </c>
      <c r="D53" s="726"/>
      <c r="E53" s="726"/>
      <c r="F53" s="726"/>
      <c r="G53" s="727"/>
      <c r="H53" s="201"/>
    </row>
    <row r="54" spans="2:8" x14ac:dyDescent="0.15">
      <c r="B54" s="370" t="s">
        <v>231</v>
      </c>
      <c r="C54" s="484" t="s">
        <v>184</v>
      </c>
      <c r="D54" s="487" t="s">
        <v>5</v>
      </c>
      <c r="E54" s="70">
        <f>'CANT. DE OBRA ADMON'!K285</f>
        <v>540.93490000000008</v>
      </c>
      <c r="F54" s="485"/>
      <c r="G54" s="486"/>
      <c r="H54" s="202"/>
    </row>
    <row r="55" spans="2:8" x14ac:dyDescent="0.15">
      <c r="B55" s="370" t="s">
        <v>232</v>
      </c>
      <c r="C55" s="484" t="s">
        <v>854</v>
      </c>
      <c r="D55" s="487" t="s">
        <v>5</v>
      </c>
      <c r="E55" s="70">
        <f>'CANT. DE OBRA ADMON'!K308</f>
        <v>540.93490000000008</v>
      </c>
      <c r="F55" s="485"/>
      <c r="G55" s="486"/>
      <c r="H55" s="202"/>
    </row>
    <row r="56" spans="2:8" x14ac:dyDescent="0.15">
      <c r="B56" s="370" t="s">
        <v>233</v>
      </c>
      <c r="C56" s="484" t="s">
        <v>900</v>
      </c>
      <c r="D56" s="487" t="s">
        <v>5</v>
      </c>
      <c r="E56" s="70">
        <f>'CANT. DE OBRA ADMON'!K317</f>
        <v>107.10000000000001</v>
      </c>
      <c r="F56" s="485"/>
      <c r="G56" s="486"/>
      <c r="H56" s="202"/>
    </row>
    <row r="57" spans="2:8" x14ac:dyDescent="0.15">
      <c r="B57" s="370" t="s">
        <v>243</v>
      </c>
      <c r="C57" s="484" t="s">
        <v>870</v>
      </c>
      <c r="D57" s="487" t="s">
        <v>7</v>
      </c>
      <c r="E57" s="70">
        <f>'CANT. DE OBRA ADMON'!K324</f>
        <v>94.37</v>
      </c>
      <c r="F57" s="485"/>
      <c r="G57" s="486"/>
      <c r="H57" s="202"/>
    </row>
    <row r="58" spans="2:8" x14ac:dyDescent="0.15">
      <c r="B58" s="370" t="s">
        <v>672</v>
      </c>
      <c r="C58" s="484" t="s">
        <v>851</v>
      </c>
      <c r="D58" s="487" t="s">
        <v>5</v>
      </c>
      <c r="E58" s="70">
        <f>'CANT. DE OBRA ADMON'!K331</f>
        <v>101.28</v>
      </c>
      <c r="F58" s="485"/>
      <c r="G58" s="486"/>
      <c r="H58" s="202"/>
    </row>
    <row r="59" spans="2:8" x14ac:dyDescent="0.15">
      <c r="B59" s="370" t="s">
        <v>673</v>
      </c>
      <c r="C59" s="484" t="s">
        <v>852</v>
      </c>
      <c r="D59" s="487" t="s">
        <v>5</v>
      </c>
      <c r="E59" s="70">
        <f>'CANT. DE OBRA ADMON'!K340</f>
        <v>90.03</v>
      </c>
      <c r="F59" s="485"/>
      <c r="G59" s="486"/>
      <c r="H59" s="202"/>
    </row>
    <row r="60" spans="2:8" x14ac:dyDescent="0.15">
      <c r="B60" s="370" t="s">
        <v>898</v>
      </c>
      <c r="C60" s="484" t="s">
        <v>913</v>
      </c>
      <c r="D60" s="487" t="s">
        <v>193</v>
      </c>
      <c r="E60" s="70">
        <f>'CANT. DE OBRA ADMON'!K349</f>
        <v>107.36000000000001</v>
      </c>
      <c r="F60" s="485"/>
      <c r="G60" s="486"/>
      <c r="H60" s="202"/>
    </row>
    <row r="61" spans="2:8" x14ac:dyDescent="0.15">
      <c r="B61" s="370" t="s">
        <v>1277</v>
      </c>
      <c r="C61" s="484" t="s">
        <v>1274</v>
      </c>
      <c r="D61" s="487" t="s">
        <v>5</v>
      </c>
      <c r="E61" s="70">
        <f>'CANT. DE OBRA ADMON'!K359</f>
        <v>8.73</v>
      </c>
      <c r="F61" s="485"/>
      <c r="G61" s="486"/>
      <c r="H61" s="202"/>
    </row>
    <row r="62" spans="2:8" x14ac:dyDescent="0.15">
      <c r="B62" s="370" t="s">
        <v>1278</v>
      </c>
      <c r="C62" s="484" t="s">
        <v>1275</v>
      </c>
      <c r="D62" s="487" t="s">
        <v>5</v>
      </c>
      <c r="E62" s="70">
        <f>'CANT. DE OBRA ADMON'!K369</f>
        <v>51.876000000000005</v>
      </c>
      <c r="F62" s="485"/>
      <c r="G62" s="486"/>
      <c r="H62" s="202"/>
    </row>
    <row r="63" spans="2:8" x14ac:dyDescent="0.15">
      <c r="B63" s="176"/>
      <c r="C63" s="716" t="s">
        <v>15</v>
      </c>
      <c r="D63" s="716"/>
      <c r="E63" s="716"/>
      <c r="F63" s="716"/>
      <c r="G63" s="234"/>
      <c r="H63" s="203"/>
    </row>
    <row r="64" spans="2:8" ht="8.25" customHeight="1" x14ac:dyDescent="0.15">
      <c r="B64" s="728"/>
      <c r="C64" s="729"/>
      <c r="D64" s="729"/>
      <c r="E64" s="729"/>
      <c r="F64" s="729"/>
      <c r="G64" s="730"/>
    </row>
    <row r="65" spans="2:8" x14ac:dyDescent="0.15">
      <c r="B65" s="176">
        <v>6</v>
      </c>
      <c r="C65" s="726" t="s">
        <v>684</v>
      </c>
      <c r="D65" s="726"/>
      <c r="E65" s="726"/>
      <c r="F65" s="726"/>
      <c r="G65" s="727"/>
    </row>
    <row r="66" spans="2:8" ht="29.25" customHeight="1" x14ac:dyDescent="0.15">
      <c r="B66" s="370" t="s">
        <v>592</v>
      </c>
      <c r="C66" s="484" t="s">
        <v>859</v>
      </c>
      <c r="D66" s="487" t="s">
        <v>319</v>
      </c>
      <c r="E66" s="70">
        <f>'CANT. DE OBRA ADMON'!K376</f>
        <v>1</v>
      </c>
      <c r="F66" s="485"/>
      <c r="G66" s="486"/>
    </row>
    <row r="67" spans="2:8" x14ac:dyDescent="0.15">
      <c r="B67" s="370" t="s">
        <v>593</v>
      </c>
      <c r="C67" s="484" t="s">
        <v>1288</v>
      </c>
      <c r="D67" s="487" t="s">
        <v>319</v>
      </c>
      <c r="E67" s="70">
        <f>'CANT. DE OBRA ADMON'!K383</f>
        <v>8</v>
      </c>
      <c r="F67" s="485"/>
      <c r="G67" s="486"/>
      <c r="H67" s="202"/>
    </row>
    <row r="68" spans="2:8" x14ac:dyDescent="0.15">
      <c r="B68" s="370" t="s">
        <v>694</v>
      </c>
      <c r="C68" s="484" t="s">
        <v>1289</v>
      </c>
      <c r="D68" s="487" t="s">
        <v>319</v>
      </c>
      <c r="E68" s="70">
        <f>'CANT. DE OBRA ADMON'!K390</f>
        <v>16</v>
      </c>
      <c r="F68" s="485"/>
      <c r="G68" s="486"/>
      <c r="H68" s="202"/>
    </row>
    <row r="69" spans="2:8" x14ac:dyDescent="0.15">
      <c r="B69" s="370" t="s">
        <v>770</v>
      </c>
      <c r="C69" s="484" t="s">
        <v>1290</v>
      </c>
      <c r="D69" s="487" t="s">
        <v>319</v>
      </c>
      <c r="E69" s="70">
        <f>'CANT. DE OBRA ADMON'!K398</f>
        <v>31.2</v>
      </c>
      <c r="F69" s="485"/>
      <c r="G69" s="486"/>
      <c r="H69" s="202"/>
    </row>
    <row r="70" spans="2:8" ht="12.75" customHeight="1" x14ac:dyDescent="0.15">
      <c r="B70" s="176"/>
      <c r="C70" s="726" t="s">
        <v>692</v>
      </c>
      <c r="D70" s="726"/>
      <c r="E70" s="726"/>
      <c r="F70" s="726"/>
      <c r="G70" s="480"/>
    </row>
    <row r="71" spans="2:8" x14ac:dyDescent="0.15">
      <c r="B71" s="370">
        <v>6.5</v>
      </c>
      <c r="C71" s="484" t="s">
        <v>693</v>
      </c>
      <c r="D71" s="487" t="s">
        <v>319</v>
      </c>
      <c r="E71" s="70">
        <f>'CANT. DE OBRA ADMON'!K405</f>
        <v>1</v>
      </c>
      <c r="F71" s="485"/>
      <c r="G71" s="486"/>
      <c r="H71" s="202"/>
    </row>
    <row r="72" spans="2:8" x14ac:dyDescent="0.15">
      <c r="B72" s="176"/>
      <c r="C72" s="716" t="s">
        <v>594</v>
      </c>
      <c r="D72" s="716"/>
      <c r="E72" s="716"/>
      <c r="F72" s="716"/>
      <c r="G72" s="234"/>
    </row>
    <row r="73" spans="2:8" ht="8.25" customHeight="1" x14ac:dyDescent="0.15">
      <c r="B73" s="728"/>
      <c r="C73" s="729"/>
      <c r="D73" s="729"/>
      <c r="E73" s="729"/>
      <c r="F73" s="729"/>
      <c r="G73" s="730"/>
    </row>
    <row r="74" spans="2:8" x14ac:dyDescent="0.15">
      <c r="B74" s="176">
        <v>7</v>
      </c>
      <c r="C74" s="726" t="s">
        <v>499</v>
      </c>
      <c r="D74" s="726"/>
      <c r="E74" s="726"/>
      <c r="F74" s="726"/>
      <c r="G74" s="727"/>
    </row>
    <row r="75" spans="2:8" x14ac:dyDescent="0.15">
      <c r="B75" s="370" t="s">
        <v>236</v>
      </c>
      <c r="C75" s="484" t="s">
        <v>857</v>
      </c>
      <c r="D75" s="487" t="s">
        <v>319</v>
      </c>
      <c r="E75" s="70">
        <f>'CANT. DE OBRA ADMON'!K412</f>
        <v>4</v>
      </c>
      <c r="F75" s="485"/>
      <c r="G75" s="486"/>
      <c r="H75" s="202"/>
    </row>
    <row r="76" spans="2:8" x14ac:dyDescent="0.15">
      <c r="B76" s="370" t="s">
        <v>1309</v>
      </c>
      <c r="C76" s="484" t="s">
        <v>1316</v>
      </c>
      <c r="D76" s="487" t="s">
        <v>319</v>
      </c>
      <c r="E76" s="70">
        <f>'CANT. DE OBRA ADMON'!K419</f>
        <v>4</v>
      </c>
      <c r="F76" s="485"/>
      <c r="G76" s="486"/>
      <c r="H76" s="202"/>
    </row>
    <row r="77" spans="2:8" x14ac:dyDescent="0.15">
      <c r="B77" s="370" t="s">
        <v>1310</v>
      </c>
      <c r="C77" s="484" t="s">
        <v>1317</v>
      </c>
      <c r="D77" s="487" t="s">
        <v>319</v>
      </c>
      <c r="E77" s="70">
        <f>'CANT. DE OBRA ADMON'!K426</f>
        <v>4</v>
      </c>
      <c r="F77" s="485"/>
      <c r="G77" s="486"/>
      <c r="H77" s="202"/>
    </row>
    <row r="78" spans="2:8" x14ac:dyDescent="0.15">
      <c r="B78" s="370" t="s">
        <v>1311</v>
      </c>
      <c r="C78" s="484" t="s">
        <v>1318</v>
      </c>
      <c r="D78" s="487" t="s">
        <v>319</v>
      </c>
      <c r="E78" s="70">
        <f>'CANT. DE OBRA ADMON'!K433</f>
        <v>4</v>
      </c>
      <c r="F78" s="485"/>
      <c r="G78" s="486"/>
      <c r="H78" s="202"/>
    </row>
    <row r="79" spans="2:8" x14ac:dyDescent="0.15">
      <c r="B79" s="370" t="s">
        <v>1312</v>
      </c>
      <c r="C79" s="484" t="s">
        <v>484</v>
      </c>
      <c r="D79" s="487" t="s">
        <v>319</v>
      </c>
      <c r="E79" s="70">
        <f>'CANT. DE OBRA ADMON'!K440</f>
        <v>4</v>
      </c>
      <c r="F79" s="485"/>
      <c r="G79" s="486"/>
      <c r="H79" s="202"/>
    </row>
    <row r="80" spans="2:8" x14ac:dyDescent="0.15">
      <c r="B80" s="370" t="s">
        <v>1313</v>
      </c>
      <c r="C80" s="484" t="s">
        <v>1319</v>
      </c>
      <c r="D80" s="487" t="s">
        <v>7</v>
      </c>
      <c r="E80" s="70">
        <f>'CANT. DE OBRA ADMON'!K447</f>
        <v>6</v>
      </c>
      <c r="F80" s="485"/>
      <c r="G80" s="486"/>
      <c r="H80" s="202"/>
    </row>
    <row r="81" spans="2:8" x14ac:dyDescent="0.15">
      <c r="B81" s="370" t="s">
        <v>1314</v>
      </c>
      <c r="C81" s="484" t="s">
        <v>1320</v>
      </c>
      <c r="D81" s="487" t="s">
        <v>7</v>
      </c>
      <c r="E81" s="70">
        <f>'CANT. DE OBRA ADMON'!K454</f>
        <v>4</v>
      </c>
      <c r="F81" s="485"/>
      <c r="G81" s="486"/>
      <c r="H81" s="202"/>
    </row>
    <row r="82" spans="2:8" x14ac:dyDescent="0.15">
      <c r="B82" s="370" t="s">
        <v>1315</v>
      </c>
      <c r="C82" s="484" t="s">
        <v>1321</v>
      </c>
      <c r="D82" s="487" t="s">
        <v>7</v>
      </c>
      <c r="E82" s="70">
        <f>'CANT. DE OBRA ADMON'!K461</f>
        <v>12</v>
      </c>
      <c r="F82" s="485"/>
      <c r="G82" s="486"/>
      <c r="H82" s="202"/>
    </row>
    <row r="83" spans="2:8" x14ac:dyDescent="0.15">
      <c r="B83" s="370" t="s">
        <v>1326</v>
      </c>
      <c r="C83" s="484" t="s">
        <v>1322</v>
      </c>
      <c r="D83" s="487" t="s">
        <v>7</v>
      </c>
      <c r="E83" s="70">
        <f>'CANT. DE OBRA ADMON'!K471</f>
        <v>70.2</v>
      </c>
      <c r="F83" s="485"/>
      <c r="G83" s="486"/>
      <c r="H83" s="202"/>
    </row>
    <row r="84" spans="2:8" x14ac:dyDescent="0.15">
      <c r="B84" s="370" t="s">
        <v>1348</v>
      </c>
      <c r="C84" s="484" t="s">
        <v>1345</v>
      </c>
      <c r="D84" s="487" t="s">
        <v>319</v>
      </c>
      <c r="E84" s="70">
        <f>'CANT. DE OBRA ADMON'!K478</f>
        <v>5</v>
      </c>
      <c r="F84" s="485"/>
      <c r="G84" s="486"/>
      <c r="H84" s="202"/>
    </row>
    <row r="85" spans="2:8" x14ac:dyDescent="0.15">
      <c r="B85" s="176"/>
      <c r="C85" s="716" t="s">
        <v>16</v>
      </c>
      <c r="D85" s="716"/>
      <c r="E85" s="716"/>
      <c r="F85" s="716"/>
      <c r="G85" s="234"/>
    </row>
    <row r="86" spans="2:8" ht="8.25" customHeight="1" x14ac:dyDescent="0.15">
      <c r="B86" s="728"/>
      <c r="C86" s="729"/>
      <c r="D86" s="729"/>
      <c r="E86" s="729"/>
      <c r="F86" s="729"/>
      <c r="G86" s="730"/>
      <c r="H86" s="200"/>
    </row>
    <row r="87" spans="2:8" x14ac:dyDescent="0.15">
      <c r="B87" s="176">
        <v>8</v>
      </c>
      <c r="C87" s="726" t="s">
        <v>500</v>
      </c>
      <c r="D87" s="726"/>
      <c r="E87" s="726"/>
      <c r="F87" s="726"/>
      <c r="G87" s="727"/>
      <c r="H87" s="201"/>
    </row>
    <row r="88" spans="2:8" x14ac:dyDescent="0.15">
      <c r="B88" s="370" t="s">
        <v>238</v>
      </c>
      <c r="C88" s="484" t="s">
        <v>865</v>
      </c>
      <c r="D88" s="487" t="s">
        <v>319</v>
      </c>
      <c r="E88" s="70">
        <f>'CANT. DE OBRA ADMON'!K485</f>
        <v>1</v>
      </c>
      <c r="F88" s="485"/>
      <c r="G88" s="486"/>
      <c r="H88" s="202"/>
    </row>
    <row r="89" spans="2:8" x14ac:dyDescent="0.15">
      <c r="B89" s="370" t="s">
        <v>240</v>
      </c>
      <c r="C89" s="484" t="s">
        <v>862</v>
      </c>
      <c r="D89" s="487" t="s">
        <v>319</v>
      </c>
      <c r="E89" s="70">
        <f>'CANT. DE OBRA ADMON'!K492</f>
        <v>20</v>
      </c>
      <c r="F89" s="485"/>
      <c r="G89" s="486"/>
      <c r="H89" s="202"/>
    </row>
    <row r="90" spans="2:8" x14ac:dyDescent="0.15">
      <c r="B90" s="370" t="s">
        <v>257</v>
      </c>
      <c r="C90" s="484" t="s">
        <v>863</v>
      </c>
      <c r="D90" s="487" t="s">
        <v>319</v>
      </c>
      <c r="E90" s="70">
        <f>'CANT. DE OBRA ADMON'!K499</f>
        <v>4</v>
      </c>
      <c r="F90" s="485"/>
      <c r="G90" s="486"/>
      <c r="H90" s="202"/>
    </row>
    <row r="91" spans="2:8" x14ac:dyDescent="0.15">
      <c r="B91" s="370" t="s">
        <v>258</v>
      </c>
      <c r="C91" s="484" t="s">
        <v>864</v>
      </c>
      <c r="D91" s="487" t="s">
        <v>319</v>
      </c>
      <c r="E91" s="70">
        <f>'CANT. DE OBRA ADMON'!K506</f>
        <v>16</v>
      </c>
      <c r="F91" s="485"/>
      <c r="G91" s="486"/>
      <c r="H91" s="202"/>
    </row>
    <row r="92" spans="2:8" x14ac:dyDescent="0.15">
      <c r="B92" s="370" t="s">
        <v>259</v>
      </c>
      <c r="C92" s="484" t="s">
        <v>861</v>
      </c>
      <c r="D92" s="487" t="s">
        <v>319</v>
      </c>
      <c r="E92" s="70">
        <f>'CANT. DE OBRA ADMON'!K513</f>
        <v>7</v>
      </c>
      <c r="F92" s="485"/>
      <c r="G92" s="486"/>
      <c r="H92" s="202"/>
    </row>
    <row r="93" spans="2:8" x14ac:dyDescent="0.15">
      <c r="B93" s="370" t="s">
        <v>260</v>
      </c>
      <c r="C93" s="484" t="s">
        <v>1349</v>
      </c>
      <c r="D93" s="487" t="s">
        <v>501</v>
      </c>
      <c r="E93" s="70">
        <f>'CANT. DE OBRA ADMON'!K523</f>
        <v>46</v>
      </c>
      <c r="F93" s="485"/>
      <c r="G93" s="486"/>
      <c r="H93" s="202"/>
    </row>
    <row r="94" spans="2:8" x14ac:dyDescent="0.15">
      <c r="B94" s="370" t="s">
        <v>261</v>
      </c>
      <c r="C94" s="484" t="s">
        <v>482</v>
      </c>
      <c r="D94" s="487" t="s">
        <v>501</v>
      </c>
      <c r="E94" s="70">
        <f>'CANT. DE OBRA ADMON'!K531</f>
        <v>15</v>
      </c>
      <c r="F94" s="485"/>
      <c r="G94" s="486"/>
      <c r="H94" s="202"/>
    </row>
    <row r="95" spans="2:8" x14ac:dyDescent="0.15">
      <c r="B95" s="370" t="s">
        <v>262</v>
      </c>
      <c r="C95" s="484" t="s">
        <v>1350</v>
      </c>
      <c r="D95" s="487" t="s">
        <v>501</v>
      </c>
      <c r="E95" s="70">
        <f>'CANT. DE OBRA ADMON'!K538</f>
        <v>7</v>
      </c>
      <c r="F95" s="485"/>
      <c r="G95" s="486"/>
      <c r="H95" s="202"/>
    </row>
    <row r="96" spans="2:8" x14ac:dyDescent="0.15">
      <c r="B96" s="370" t="s">
        <v>263</v>
      </c>
      <c r="C96" s="484" t="s">
        <v>483</v>
      </c>
      <c r="D96" s="487" t="s">
        <v>501</v>
      </c>
      <c r="E96" s="70">
        <f>'CANT. DE OBRA ADMON'!K552</f>
        <v>6</v>
      </c>
      <c r="F96" s="485"/>
      <c r="G96" s="486"/>
      <c r="H96" s="202"/>
    </row>
    <row r="97" spans="2:8" x14ac:dyDescent="0.15">
      <c r="B97" s="370" t="s">
        <v>595</v>
      </c>
      <c r="C97" s="484" t="s">
        <v>1351</v>
      </c>
      <c r="D97" s="487" t="s">
        <v>501</v>
      </c>
      <c r="E97" s="70">
        <f>'CANT. DE OBRA ADMON'!K552</f>
        <v>6</v>
      </c>
      <c r="F97" s="485"/>
      <c r="G97" s="486"/>
      <c r="H97" s="202"/>
    </row>
    <row r="98" spans="2:8" x14ac:dyDescent="0.15">
      <c r="B98" s="370" t="s">
        <v>596</v>
      </c>
      <c r="C98" s="484" t="s">
        <v>1352</v>
      </c>
      <c r="D98" s="487" t="s">
        <v>501</v>
      </c>
      <c r="E98" s="70">
        <f>'CANT. DE OBRA ADMON'!K559</f>
        <v>7</v>
      </c>
      <c r="F98" s="485"/>
      <c r="G98" s="486"/>
      <c r="H98" s="202"/>
    </row>
    <row r="99" spans="2:8" x14ac:dyDescent="0.15">
      <c r="B99" s="370" t="s">
        <v>699</v>
      </c>
      <c r="C99" s="484" t="s">
        <v>1353</v>
      </c>
      <c r="D99" s="487" t="s">
        <v>501</v>
      </c>
      <c r="E99" s="70">
        <f>'CANT. DE OBRA ADMON'!K566</f>
        <v>1</v>
      </c>
      <c r="F99" s="485"/>
      <c r="G99" s="486"/>
      <c r="H99" s="202"/>
    </row>
    <row r="100" spans="2:8" x14ac:dyDescent="0.15">
      <c r="B100" s="176"/>
      <c r="C100" s="716" t="s">
        <v>17</v>
      </c>
      <c r="D100" s="716"/>
      <c r="E100" s="716"/>
      <c r="F100" s="716"/>
      <c r="G100" s="234"/>
      <c r="H100" s="203"/>
    </row>
    <row r="101" spans="2:8" ht="8.25" customHeight="1" x14ac:dyDescent="0.15">
      <c r="B101" s="728"/>
      <c r="C101" s="729"/>
      <c r="D101" s="729"/>
      <c r="E101" s="729"/>
      <c r="F101" s="729"/>
      <c r="G101" s="730"/>
      <c r="H101" s="200"/>
    </row>
    <row r="102" spans="2:8" x14ac:dyDescent="0.15">
      <c r="B102" s="176">
        <v>9</v>
      </c>
      <c r="C102" s="726" t="s">
        <v>107</v>
      </c>
      <c r="D102" s="726"/>
      <c r="E102" s="726"/>
      <c r="F102" s="726"/>
      <c r="G102" s="727"/>
      <c r="H102" s="201"/>
    </row>
    <row r="103" spans="2:8" x14ac:dyDescent="0.15">
      <c r="B103" s="370" t="s">
        <v>251</v>
      </c>
      <c r="C103" s="484" t="s">
        <v>868</v>
      </c>
      <c r="D103" s="487" t="s">
        <v>5</v>
      </c>
      <c r="E103" s="70">
        <f>'CANT. DE OBRA ADMON'!K573</f>
        <v>92.960000000000008</v>
      </c>
      <c r="F103" s="485"/>
      <c r="G103" s="486"/>
      <c r="H103" s="202"/>
    </row>
    <row r="104" spans="2:8" x14ac:dyDescent="0.15">
      <c r="B104" s="370" t="s">
        <v>708</v>
      </c>
      <c r="C104" s="484" t="s">
        <v>1378</v>
      </c>
      <c r="D104" s="487" t="s">
        <v>5</v>
      </c>
      <c r="E104" s="70">
        <f>'CANT. DE OBRA ADMON'!K582</f>
        <v>29.642999999999997</v>
      </c>
      <c r="F104" s="485"/>
      <c r="G104" s="486"/>
      <c r="H104" s="202"/>
    </row>
    <row r="105" spans="2:8" x14ac:dyDescent="0.15">
      <c r="B105" s="370" t="s">
        <v>709</v>
      </c>
      <c r="C105" s="484" t="s">
        <v>1379</v>
      </c>
      <c r="D105" s="487" t="s">
        <v>7</v>
      </c>
      <c r="E105" s="70">
        <f>16.6*6</f>
        <v>99.600000000000009</v>
      </c>
      <c r="F105" s="485"/>
      <c r="G105" s="486"/>
      <c r="H105" s="202"/>
    </row>
    <row r="106" spans="2:8" x14ac:dyDescent="0.15">
      <c r="B106" s="176"/>
      <c r="C106" s="716" t="s">
        <v>95</v>
      </c>
      <c r="D106" s="716"/>
      <c r="E106" s="716"/>
      <c r="F106" s="716"/>
      <c r="G106" s="234"/>
      <c r="H106" s="203"/>
    </row>
    <row r="107" spans="2:8" x14ac:dyDescent="0.15">
      <c r="B107" s="712"/>
      <c r="C107" s="713"/>
      <c r="D107" s="713"/>
      <c r="E107" s="713"/>
      <c r="F107" s="713"/>
      <c r="G107" s="714"/>
      <c r="H107" s="205"/>
    </row>
    <row r="108" spans="2:8" x14ac:dyDescent="0.15">
      <c r="B108" s="176">
        <v>10</v>
      </c>
      <c r="C108" s="726" t="s">
        <v>234</v>
      </c>
      <c r="D108" s="726"/>
      <c r="E108" s="726"/>
      <c r="F108" s="726"/>
      <c r="G108" s="727"/>
      <c r="H108" s="201"/>
    </row>
    <row r="109" spans="2:8" x14ac:dyDescent="0.15">
      <c r="B109" s="370" t="s">
        <v>720</v>
      </c>
      <c r="C109" s="484" t="s">
        <v>1590</v>
      </c>
      <c r="D109" s="487" t="s">
        <v>319</v>
      </c>
      <c r="E109" s="70">
        <f>'CANT. DE OBRA ADMON'!K596</f>
        <v>4</v>
      </c>
      <c r="F109" s="485"/>
      <c r="G109" s="486"/>
      <c r="H109" s="202"/>
    </row>
    <row r="110" spans="2:8" x14ac:dyDescent="0.15">
      <c r="B110" s="370" t="s">
        <v>721</v>
      </c>
      <c r="C110" s="484" t="s">
        <v>855</v>
      </c>
      <c r="D110" s="487" t="s">
        <v>5</v>
      </c>
      <c r="E110" s="70">
        <f>'CANT. DE OBRA ADMON'!K603</f>
        <v>14</v>
      </c>
      <c r="F110" s="485"/>
      <c r="G110" s="486"/>
      <c r="H110" s="202"/>
    </row>
    <row r="111" spans="2:8" x14ac:dyDescent="0.15">
      <c r="B111" s="370" t="s">
        <v>727</v>
      </c>
      <c r="C111" s="484" t="s">
        <v>1203</v>
      </c>
      <c r="D111" s="487" t="s">
        <v>5</v>
      </c>
      <c r="E111" s="70">
        <f>'CANT. DE OBRA ADMON'!K612</f>
        <v>14.879999999999999</v>
      </c>
      <c r="F111" s="485"/>
      <c r="G111" s="486"/>
      <c r="H111" s="202"/>
    </row>
    <row r="112" spans="2:8" x14ac:dyDescent="0.15">
      <c r="B112" s="370" t="s">
        <v>1384</v>
      </c>
      <c r="C112" s="484" t="s">
        <v>1385</v>
      </c>
      <c r="D112" s="487" t="s">
        <v>5</v>
      </c>
      <c r="E112" s="70">
        <f>'CANT. DE OBRA ADMON'!K620</f>
        <v>8</v>
      </c>
      <c r="F112" s="485"/>
      <c r="G112" s="486"/>
      <c r="H112" s="202"/>
    </row>
    <row r="113" spans="2:8" x14ac:dyDescent="0.15">
      <c r="B113" s="176"/>
      <c r="C113" s="716" t="s">
        <v>253</v>
      </c>
      <c r="D113" s="716"/>
      <c r="E113" s="716"/>
      <c r="F113" s="716"/>
      <c r="G113" s="234"/>
      <c r="H113" s="203"/>
    </row>
    <row r="114" spans="2:8" ht="8.25" customHeight="1" x14ac:dyDescent="0.15">
      <c r="B114" s="728"/>
      <c r="C114" s="729"/>
      <c r="D114" s="729"/>
      <c r="E114" s="729"/>
      <c r="F114" s="729"/>
      <c r="G114" s="730"/>
      <c r="H114" s="200"/>
    </row>
    <row r="115" spans="2:8" x14ac:dyDescent="0.15">
      <c r="B115" s="176">
        <v>11</v>
      </c>
      <c r="C115" s="726" t="s">
        <v>521</v>
      </c>
      <c r="D115" s="726"/>
      <c r="E115" s="726"/>
      <c r="F115" s="726"/>
      <c r="G115" s="727"/>
      <c r="H115" s="201"/>
    </row>
    <row r="116" spans="2:8" x14ac:dyDescent="0.15">
      <c r="B116" s="370" t="s">
        <v>646</v>
      </c>
      <c r="C116" s="484" t="s">
        <v>959</v>
      </c>
      <c r="D116" s="487" t="s">
        <v>319</v>
      </c>
      <c r="E116" s="70">
        <f>'CANT. DE OBRA ADMON'!K627</f>
        <v>3</v>
      </c>
      <c r="F116" s="485"/>
      <c r="G116" s="486"/>
      <c r="H116" s="202"/>
    </row>
    <row r="117" spans="2:8" x14ac:dyDescent="0.15">
      <c r="B117" s="370" t="s">
        <v>648</v>
      </c>
      <c r="C117" s="484" t="s">
        <v>1072</v>
      </c>
      <c r="D117" s="487" t="s">
        <v>5</v>
      </c>
      <c r="E117" s="70">
        <f>'CANT. DE OBRA ADMON'!K635</f>
        <v>15.399999999999999</v>
      </c>
      <c r="F117" s="485"/>
      <c r="G117" s="486"/>
      <c r="H117" s="202"/>
    </row>
    <row r="118" spans="2:8" x14ac:dyDescent="0.15">
      <c r="B118" s="370"/>
      <c r="C118" s="716" t="s">
        <v>652</v>
      </c>
      <c r="D118" s="716"/>
      <c r="E118" s="716"/>
      <c r="F118" s="716"/>
      <c r="G118" s="234"/>
      <c r="H118" s="203"/>
    </row>
    <row r="119" spans="2:8" ht="8.25" customHeight="1" x14ac:dyDescent="0.15">
      <c r="B119" s="728"/>
      <c r="C119" s="729"/>
      <c r="D119" s="729"/>
      <c r="E119" s="729"/>
      <c r="F119" s="729"/>
      <c r="G119" s="730"/>
      <c r="H119" s="200"/>
    </row>
    <row r="120" spans="2:8" x14ac:dyDescent="0.15">
      <c r="B120" s="176">
        <v>12</v>
      </c>
      <c r="C120" s="726" t="s">
        <v>871</v>
      </c>
      <c r="D120" s="726"/>
      <c r="E120" s="726"/>
      <c r="F120" s="726"/>
      <c r="G120" s="727"/>
      <c r="H120" s="201"/>
    </row>
    <row r="121" spans="2:8" x14ac:dyDescent="0.15">
      <c r="B121" s="370" t="s">
        <v>724</v>
      </c>
      <c r="C121" s="484" t="s">
        <v>873</v>
      </c>
      <c r="D121" s="487" t="s">
        <v>19</v>
      </c>
      <c r="E121" s="70">
        <f>'CANT. DE OBRA ADMON'!K642</f>
        <v>1</v>
      </c>
      <c r="F121" s="485"/>
      <c r="G121" s="486"/>
      <c r="H121" s="202"/>
    </row>
    <row r="122" spans="2:8" x14ac:dyDescent="0.15">
      <c r="B122" s="176"/>
      <c r="C122" s="716" t="s">
        <v>726</v>
      </c>
      <c r="D122" s="716"/>
      <c r="E122" s="716"/>
      <c r="F122" s="716"/>
      <c r="G122" s="417"/>
      <c r="H122" s="203"/>
    </row>
    <row r="123" spans="2:8" x14ac:dyDescent="0.15">
      <c r="B123" s="715"/>
      <c r="C123" s="716"/>
      <c r="D123" s="716"/>
      <c r="E123" s="716"/>
      <c r="F123" s="716"/>
      <c r="G123" s="717"/>
      <c r="H123" s="201"/>
    </row>
    <row r="124" spans="2:8" ht="21.75" customHeight="1" x14ac:dyDescent="0.15">
      <c r="B124" s="697"/>
      <c r="C124" s="782" t="s">
        <v>1391</v>
      </c>
      <c r="D124" s="782"/>
      <c r="E124" s="782"/>
      <c r="F124" s="782"/>
      <c r="G124" s="695"/>
      <c r="H124" s="203"/>
    </row>
    <row r="125" spans="2:8" x14ac:dyDescent="0.15">
      <c r="B125" s="712"/>
      <c r="C125" s="713"/>
      <c r="D125" s="713"/>
      <c r="E125" s="713"/>
      <c r="F125" s="713"/>
      <c r="G125" s="714"/>
      <c r="H125" s="205"/>
    </row>
    <row r="126" spans="2:8" ht="18" customHeight="1" x14ac:dyDescent="0.15">
      <c r="B126" s="692"/>
      <c r="C126" s="734" t="s">
        <v>1392</v>
      </c>
      <c r="D126" s="734"/>
      <c r="E126" s="734"/>
      <c r="F126" s="734"/>
      <c r="G126" s="735"/>
      <c r="H126" s="201"/>
    </row>
    <row r="127" spans="2:8" x14ac:dyDescent="0.15">
      <c r="B127" s="370">
        <v>1</v>
      </c>
      <c r="C127" s="736" t="s">
        <v>12</v>
      </c>
      <c r="D127" s="736"/>
      <c r="E127" s="736"/>
      <c r="F127" s="736"/>
      <c r="G127" s="737"/>
      <c r="H127" s="201"/>
    </row>
    <row r="128" spans="2:8" x14ac:dyDescent="0.15">
      <c r="B128" s="370" t="s">
        <v>220</v>
      </c>
      <c r="C128" s="484" t="s">
        <v>46</v>
      </c>
      <c r="D128" s="487" t="s">
        <v>5</v>
      </c>
      <c r="E128" s="70">
        <f>'CANT. DE OBRA SIAU'!K14</f>
        <v>78.425600000000003</v>
      </c>
      <c r="F128" s="485"/>
      <c r="G128" s="486"/>
      <c r="H128" s="202"/>
    </row>
    <row r="129" spans="2:8" x14ac:dyDescent="0.15">
      <c r="B129" s="370" t="s">
        <v>841</v>
      </c>
      <c r="C129" s="484" t="s">
        <v>886</v>
      </c>
      <c r="D129" s="487" t="s">
        <v>5</v>
      </c>
      <c r="E129" s="70">
        <f>'CANT. DE OBRA SIAU'!K21</f>
        <v>78.425600000000003</v>
      </c>
      <c r="F129" s="485"/>
      <c r="G129" s="486"/>
      <c r="H129" s="202"/>
    </row>
    <row r="130" spans="2:8" x14ac:dyDescent="0.15">
      <c r="B130" s="370" t="s">
        <v>878</v>
      </c>
      <c r="C130" s="484" t="s">
        <v>888</v>
      </c>
      <c r="D130" s="487" t="s">
        <v>5</v>
      </c>
      <c r="E130" s="70">
        <f>'CANT. DE OBRA SIAU'!K28</f>
        <v>78.425600000000003</v>
      </c>
      <c r="F130" s="485"/>
      <c r="G130" s="486"/>
      <c r="H130" s="202"/>
    </row>
    <row r="131" spans="2:8" x14ac:dyDescent="0.15">
      <c r="B131" s="370" t="s">
        <v>1087</v>
      </c>
      <c r="C131" s="484" t="s">
        <v>1143</v>
      </c>
      <c r="D131" s="487" t="s">
        <v>5</v>
      </c>
      <c r="E131" s="70">
        <f>'CANT. DE OBRA SIAU'!K35</f>
        <v>33.119999999999997</v>
      </c>
      <c r="F131" s="485"/>
      <c r="G131" s="486"/>
      <c r="H131" s="202"/>
    </row>
    <row r="132" spans="2:8" x14ac:dyDescent="0.15">
      <c r="B132" s="370" t="s">
        <v>1142</v>
      </c>
      <c r="C132" s="484" t="s">
        <v>1168</v>
      </c>
      <c r="D132" s="487" t="s">
        <v>5</v>
      </c>
      <c r="E132" s="70">
        <f>'CANT. DE OBRA SIAU'!K42</f>
        <v>78.425600000000003</v>
      </c>
      <c r="F132" s="485"/>
      <c r="G132" s="486"/>
      <c r="H132" s="202"/>
    </row>
    <row r="133" spans="2:8" x14ac:dyDescent="0.15">
      <c r="B133" s="370" t="s">
        <v>1436</v>
      </c>
      <c r="C133" s="484" t="s">
        <v>494</v>
      </c>
      <c r="D133" s="487" t="s">
        <v>6</v>
      </c>
      <c r="E133" s="70">
        <f>'CANT. DE OBRA SIAU'!K51</f>
        <v>17.945408</v>
      </c>
      <c r="F133" s="485"/>
      <c r="G133" s="486"/>
      <c r="H133" s="202"/>
    </row>
    <row r="134" spans="2:8" ht="16.5" customHeight="1" x14ac:dyDescent="0.15">
      <c r="B134" s="370"/>
      <c r="C134" s="731" t="s">
        <v>11</v>
      </c>
      <c r="D134" s="732"/>
      <c r="E134" s="732"/>
      <c r="F134" s="733"/>
      <c r="G134" s="234"/>
      <c r="H134" s="203"/>
    </row>
    <row r="135" spans="2:8" ht="8.25" customHeight="1" x14ac:dyDescent="0.15">
      <c r="B135" s="719"/>
      <c r="C135" s="720"/>
      <c r="D135" s="720"/>
      <c r="E135" s="720"/>
      <c r="F135" s="720"/>
      <c r="G135" s="721"/>
      <c r="H135" s="200"/>
    </row>
    <row r="136" spans="2:8" x14ac:dyDescent="0.15">
      <c r="B136" s="370">
        <v>2</v>
      </c>
      <c r="C136" s="736" t="s">
        <v>115</v>
      </c>
      <c r="D136" s="736"/>
      <c r="E136" s="736"/>
      <c r="F136" s="736"/>
      <c r="G136" s="737"/>
      <c r="H136" s="201"/>
    </row>
    <row r="137" spans="2:8" x14ac:dyDescent="0.15">
      <c r="B137" s="370" t="s">
        <v>216</v>
      </c>
      <c r="C137" s="484" t="s">
        <v>890</v>
      </c>
      <c r="D137" s="487" t="s">
        <v>6</v>
      </c>
      <c r="E137" s="70">
        <f>'CANT. DE OBRA SIAU'!K59</f>
        <v>1.3260000000000001</v>
      </c>
      <c r="F137" s="485"/>
      <c r="G137" s="486"/>
      <c r="H137" s="202"/>
    </row>
    <row r="138" spans="2:8" x14ac:dyDescent="0.15">
      <c r="B138" s="370" t="s">
        <v>217</v>
      </c>
      <c r="C138" s="484" t="s">
        <v>491</v>
      </c>
      <c r="D138" s="487" t="s">
        <v>6</v>
      </c>
      <c r="E138" s="70">
        <f>'CANT. DE OBRA SIAU'!K66</f>
        <v>0.15600000000000006</v>
      </c>
      <c r="F138" s="485"/>
      <c r="G138" s="486"/>
      <c r="H138" s="202"/>
    </row>
    <row r="139" spans="2:8" ht="26" x14ac:dyDescent="0.15">
      <c r="B139" s="370" t="s">
        <v>218</v>
      </c>
      <c r="C139" s="484" t="s">
        <v>1004</v>
      </c>
      <c r="D139" s="487" t="s">
        <v>6</v>
      </c>
      <c r="E139" s="70">
        <f>'CANT. DE OBRA SIAU'!L74</f>
        <v>11.82784</v>
      </c>
      <c r="F139" s="485"/>
      <c r="G139" s="486"/>
      <c r="H139" s="202"/>
    </row>
    <row r="140" spans="2:8" x14ac:dyDescent="0.15">
      <c r="B140" s="370" t="s">
        <v>219</v>
      </c>
      <c r="C140" s="484" t="s">
        <v>494</v>
      </c>
      <c r="D140" s="487" t="s">
        <v>6</v>
      </c>
      <c r="E140" s="70">
        <f>'CANT. DE OBRA SIAU'!K81</f>
        <v>1.5209999999999999</v>
      </c>
      <c r="F140" s="485"/>
      <c r="G140" s="486"/>
      <c r="H140" s="202"/>
    </row>
    <row r="141" spans="2:8" ht="16.5" customHeight="1" x14ac:dyDescent="0.15">
      <c r="B141" s="370"/>
      <c r="C141" s="731" t="s">
        <v>10</v>
      </c>
      <c r="D141" s="732"/>
      <c r="E141" s="732"/>
      <c r="F141" s="733"/>
      <c r="G141" s="234"/>
      <c r="H141" s="203"/>
    </row>
    <row r="142" spans="2:8" ht="8.25" customHeight="1" x14ac:dyDescent="0.15">
      <c r="B142" s="728"/>
      <c r="C142" s="729"/>
      <c r="D142" s="729"/>
      <c r="E142" s="729"/>
      <c r="F142" s="729"/>
      <c r="G142" s="730"/>
      <c r="H142" s="200"/>
    </row>
    <row r="143" spans="2:8" x14ac:dyDescent="0.15">
      <c r="B143" s="176">
        <v>3</v>
      </c>
      <c r="C143" s="726" t="s">
        <v>18</v>
      </c>
      <c r="D143" s="726"/>
      <c r="E143" s="726"/>
      <c r="F143" s="726"/>
      <c r="G143" s="727"/>
      <c r="H143" s="204"/>
    </row>
    <row r="144" spans="2:8" x14ac:dyDescent="0.15">
      <c r="B144" s="370" t="s">
        <v>210</v>
      </c>
      <c r="C144" s="484" t="s">
        <v>568</v>
      </c>
      <c r="D144" s="487" t="s">
        <v>6</v>
      </c>
      <c r="E144" s="70">
        <f>'CANT. DE OBRA SIAU'!K88</f>
        <v>3.2000000000000008E-2</v>
      </c>
      <c r="F144" s="485"/>
      <c r="G144" s="486"/>
      <c r="H144" s="202"/>
    </row>
    <row r="145" spans="2:8" ht="26" x14ac:dyDescent="0.15">
      <c r="B145" s="370" t="s">
        <v>213</v>
      </c>
      <c r="C145" s="484" t="s">
        <v>1526</v>
      </c>
      <c r="D145" s="487" t="s">
        <v>319</v>
      </c>
      <c r="E145" s="70">
        <f>'CANT. DE OBRA SIAU'!K95</f>
        <v>4</v>
      </c>
      <c r="F145" s="485"/>
      <c r="G145" s="486"/>
      <c r="H145" s="202"/>
    </row>
    <row r="146" spans="2:8" ht="26" x14ac:dyDescent="0.15">
      <c r="B146" s="370" t="s">
        <v>601</v>
      </c>
      <c r="C146" s="484" t="s">
        <v>1519</v>
      </c>
      <c r="D146" s="487" t="s">
        <v>7</v>
      </c>
      <c r="E146" s="70">
        <f>'CANT. DE OBRA SIAU'!K102</f>
        <v>12</v>
      </c>
      <c r="F146" s="485"/>
      <c r="G146" s="486"/>
      <c r="H146" s="202"/>
    </row>
    <row r="147" spans="2:8" ht="26" x14ac:dyDescent="0.15">
      <c r="B147" s="370" t="s">
        <v>228</v>
      </c>
      <c r="C147" s="484" t="s">
        <v>1520</v>
      </c>
      <c r="D147" s="487" t="s">
        <v>7</v>
      </c>
      <c r="E147" s="70">
        <f>'CANT. DE OBRA SIAU'!K109</f>
        <v>12</v>
      </c>
      <c r="F147" s="485"/>
      <c r="G147" s="486"/>
      <c r="H147" s="202"/>
    </row>
    <row r="148" spans="2:8" ht="26" x14ac:dyDescent="0.15">
      <c r="B148" s="370" t="s">
        <v>230</v>
      </c>
      <c r="C148" s="484" t="s">
        <v>1521</v>
      </c>
      <c r="D148" s="487" t="s">
        <v>7</v>
      </c>
      <c r="E148" s="70">
        <f>'CANT. DE OBRA SIAU'!K116</f>
        <v>12</v>
      </c>
      <c r="F148" s="485"/>
      <c r="G148" s="486"/>
      <c r="H148" s="202"/>
    </row>
    <row r="149" spans="2:8" ht="26" x14ac:dyDescent="0.15">
      <c r="B149" s="370" t="s">
        <v>632</v>
      </c>
      <c r="C149" s="484" t="s">
        <v>1531</v>
      </c>
      <c r="D149" s="487" t="s">
        <v>5</v>
      </c>
      <c r="E149" s="70">
        <f>'CANT. DE OBRA SIAU'!K123</f>
        <v>78.425600000000003</v>
      </c>
      <c r="F149" s="485"/>
      <c r="G149" s="486"/>
      <c r="H149" s="202"/>
    </row>
    <row r="150" spans="2:8" ht="26" x14ac:dyDescent="0.15">
      <c r="B150" s="370" t="s">
        <v>1583</v>
      </c>
      <c r="C150" s="484" t="s">
        <v>1232</v>
      </c>
      <c r="D150" s="487" t="s">
        <v>5</v>
      </c>
      <c r="E150" s="70">
        <f>'CANT. DE OBRA SIAU'!K130</f>
        <v>2.4000000000000004</v>
      </c>
      <c r="F150" s="485"/>
      <c r="G150" s="486"/>
      <c r="H150" s="202"/>
    </row>
    <row r="151" spans="2:8" ht="26" x14ac:dyDescent="0.15">
      <c r="B151" s="370" t="s">
        <v>1617</v>
      </c>
      <c r="C151" s="484" t="s">
        <v>1234</v>
      </c>
      <c r="D151" s="487" t="s">
        <v>5</v>
      </c>
      <c r="E151" s="70">
        <f>'CANT. DE OBRA SIAU'!K137</f>
        <v>9</v>
      </c>
      <c r="F151" s="485"/>
      <c r="G151" s="486"/>
      <c r="H151" s="202"/>
    </row>
    <row r="152" spans="2:8" ht="16.5" customHeight="1" x14ac:dyDescent="0.15">
      <c r="B152" s="370"/>
      <c r="C152" s="738" t="s">
        <v>13</v>
      </c>
      <c r="D152" s="739"/>
      <c r="E152" s="739"/>
      <c r="F152" s="740"/>
      <c r="G152" s="234"/>
      <c r="H152" s="203"/>
    </row>
    <row r="153" spans="2:8" ht="8.25" customHeight="1" x14ac:dyDescent="0.15">
      <c r="B153" s="728"/>
      <c r="C153" s="729"/>
      <c r="D153" s="729"/>
      <c r="E153" s="729"/>
      <c r="F153" s="729"/>
      <c r="G153" s="730"/>
      <c r="H153" s="200"/>
    </row>
    <row r="154" spans="2:8" x14ac:dyDescent="0.15">
      <c r="B154" s="176">
        <v>4</v>
      </c>
      <c r="C154" s="726" t="s">
        <v>80</v>
      </c>
      <c r="D154" s="726"/>
      <c r="E154" s="726"/>
      <c r="F154" s="726"/>
      <c r="G154" s="727"/>
      <c r="H154" s="201"/>
    </row>
    <row r="155" spans="2:8" x14ac:dyDescent="0.15">
      <c r="B155" s="370" t="s">
        <v>265</v>
      </c>
      <c r="C155" s="484" t="s">
        <v>167</v>
      </c>
      <c r="D155" s="487" t="s">
        <v>5</v>
      </c>
      <c r="E155" s="70">
        <f>'CANT. DE OBRA SIAU'!K145</f>
        <v>13.9</v>
      </c>
      <c r="F155" s="485"/>
      <c r="G155" s="486"/>
      <c r="H155" s="202"/>
    </row>
    <row r="156" spans="2:8" x14ac:dyDescent="0.15">
      <c r="B156" s="370" t="s">
        <v>266</v>
      </c>
      <c r="C156" s="484" t="s">
        <v>1025</v>
      </c>
      <c r="D156" s="487" t="s">
        <v>5</v>
      </c>
      <c r="E156" s="70">
        <f>'CANT. DE OBRA SIAU'!K156</f>
        <v>59.894000000000005</v>
      </c>
      <c r="F156" s="485"/>
      <c r="G156" s="486"/>
      <c r="H156" s="202"/>
    </row>
    <row r="157" spans="2:8" x14ac:dyDescent="0.15">
      <c r="B157" s="370" t="s">
        <v>267</v>
      </c>
      <c r="C157" s="484" t="s">
        <v>1078</v>
      </c>
      <c r="D157" s="487" t="s">
        <v>7</v>
      </c>
      <c r="E157" s="70">
        <f>'CANT. DE OBRA SIAU'!K164</f>
        <v>35.4</v>
      </c>
      <c r="F157" s="485"/>
      <c r="G157" s="486"/>
      <c r="H157" s="202"/>
    </row>
    <row r="158" spans="2:8" ht="16.5" customHeight="1" x14ac:dyDescent="0.15">
      <c r="B158" s="370"/>
      <c r="C158" s="731" t="s">
        <v>14</v>
      </c>
      <c r="D158" s="732"/>
      <c r="E158" s="732"/>
      <c r="F158" s="733"/>
      <c r="G158" s="234"/>
      <c r="H158" s="203"/>
    </row>
    <row r="159" spans="2:8" ht="8.25" customHeight="1" x14ac:dyDescent="0.15">
      <c r="B159" s="728"/>
      <c r="C159" s="729"/>
      <c r="D159" s="729"/>
      <c r="E159" s="729"/>
      <c r="F159" s="729"/>
      <c r="G159" s="730"/>
      <c r="H159" s="200"/>
    </row>
    <row r="160" spans="2:8" x14ac:dyDescent="0.15">
      <c r="B160" s="176">
        <v>5</v>
      </c>
      <c r="C160" s="726" t="s">
        <v>9</v>
      </c>
      <c r="D160" s="726"/>
      <c r="E160" s="726"/>
      <c r="F160" s="726"/>
      <c r="G160" s="727"/>
      <c r="H160" s="201"/>
    </row>
    <row r="161" spans="2:8" x14ac:dyDescent="0.15">
      <c r="B161" s="370" t="s">
        <v>231</v>
      </c>
      <c r="C161" s="484" t="s">
        <v>184</v>
      </c>
      <c r="D161" s="487" t="s">
        <v>5</v>
      </c>
      <c r="E161" s="70">
        <f>'CANT. DE OBRA SIAU'!K177</f>
        <v>69.77600000000001</v>
      </c>
      <c r="F161" s="485"/>
      <c r="G161" s="486"/>
      <c r="H161" s="202"/>
    </row>
    <row r="162" spans="2:8" x14ac:dyDescent="0.15">
      <c r="B162" s="370" t="s">
        <v>232</v>
      </c>
      <c r="C162" s="484" t="s">
        <v>854</v>
      </c>
      <c r="D162" s="487" t="s">
        <v>5</v>
      </c>
      <c r="E162" s="70">
        <f>'CANT. DE OBRA SIAU'!K190</f>
        <v>69.77600000000001</v>
      </c>
      <c r="F162" s="485"/>
      <c r="G162" s="486"/>
      <c r="H162" s="202"/>
    </row>
    <row r="163" spans="2:8" x14ac:dyDescent="0.15">
      <c r="B163" s="370" t="s">
        <v>233</v>
      </c>
      <c r="C163" s="484" t="s">
        <v>900</v>
      </c>
      <c r="D163" s="487" t="s">
        <v>5</v>
      </c>
      <c r="E163" s="70">
        <f>'CANT. DE OBRA SIAU'!K197</f>
        <v>69.425600000000003</v>
      </c>
      <c r="F163" s="485"/>
      <c r="G163" s="486"/>
      <c r="H163" s="202"/>
    </row>
    <row r="164" spans="2:8" x14ac:dyDescent="0.15">
      <c r="B164" s="370" t="s">
        <v>243</v>
      </c>
      <c r="C164" s="484" t="s">
        <v>870</v>
      </c>
      <c r="D164" s="487" t="s">
        <v>7</v>
      </c>
      <c r="E164" s="70">
        <f>'CANT. DE OBRA SIAU'!K204</f>
        <v>12</v>
      </c>
      <c r="F164" s="485"/>
      <c r="G164" s="486"/>
      <c r="H164" s="202"/>
    </row>
    <row r="165" spans="2:8" x14ac:dyDescent="0.15">
      <c r="B165" s="370" t="s">
        <v>672</v>
      </c>
      <c r="C165" s="484" t="s">
        <v>851</v>
      </c>
      <c r="D165" s="487" t="s">
        <v>5</v>
      </c>
      <c r="E165" s="70">
        <f>'CANT. DE OBRA SIAU'!K211</f>
        <v>7.839999999999999</v>
      </c>
      <c r="F165" s="485"/>
      <c r="G165" s="486"/>
      <c r="H165" s="202"/>
    </row>
    <row r="166" spans="2:8" x14ac:dyDescent="0.15">
      <c r="B166" s="370" t="s">
        <v>673</v>
      </c>
      <c r="C166" s="484" t="s">
        <v>852</v>
      </c>
      <c r="D166" s="487" t="s">
        <v>5</v>
      </c>
      <c r="E166" s="70">
        <f>'CANT. DE OBRA SIAU'!K218</f>
        <v>7.57</v>
      </c>
      <c r="F166" s="485"/>
      <c r="G166" s="486"/>
      <c r="H166" s="202"/>
    </row>
    <row r="167" spans="2:8" x14ac:dyDescent="0.15">
      <c r="B167" s="370" t="s">
        <v>898</v>
      </c>
      <c r="C167" s="484" t="s">
        <v>913</v>
      </c>
      <c r="D167" s="487" t="s">
        <v>7</v>
      </c>
      <c r="E167" s="70">
        <f>'CANT. DE OBRA SIAU'!K225</f>
        <v>10.32</v>
      </c>
      <c r="F167" s="485"/>
      <c r="G167" s="486"/>
      <c r="H167" s="202"/>
    </row>
    <row r="168" spans="2:8" x14ac:dyDescent="0.15">
      <c r="B168" s="176"/>
      <c r="C168" s="716" t="s">
        <v>15</v>
      </c>
      <c r="D168" s="716"/>
      <c r="E168" s="716"/>
      <c r="F168" s="716"/>
      <c r="G168" s="234"/>
      <c r="H168" s="203"/>
    </row>
    <row r="169" spans="2:8" ht="8.25" customHeight="1" x14ac:dyDescent="0.15">
      <c r="B169" s="728"/>
      <c r="C169" s="729"/>
      <c r="D169" s="729"/>
      <c r="E169" s="729"/>
      <c r="F169" s="729"/>
      <c r="G169" s="730"/>
    </row>
    <row r="170" spans="2:8" ht="8.25" customHeight="1" x14ac:dyDescent="0.15">
      <c r="B170" s="728"/>
      <c r="C170" s="729"/>
      <c r="D170" s="729"/>
      <c r="E170" s="729"/>
      <c r="F170" s="729"/>
      <c r="G170" s="730"/>
    </row>
    <row r="171" spans="2:8" x14ac:dyDescent="0.15">
      <c r="B171" s="176">
        <v>7</v>
      </c>
      <c r="C171" s="726" t="s">
        <v>499</v>
      </c>
      <c r="D171" s="726"/>
      <c r="E171" s="726"/>
      <c r="F171" s="726"/>
      <c r="G171" s="727"/>
    </row>
    <row r="172" spans="2:8" x14ac:dyDescent="0.15">
      <c r="B172" s="370" t="s">
        <v>1312</v>
      </c>
      <c r="C172" s="484" t="s">
        <v>484</v>
      </c>
      <c r="D172" s="487" t="s">
        <v>319</v>
      </c>
      <c r="E172" s="70">
        <f>'CANT. DE OBRA SIAU'!K239</f>
        <v>4</v>
      </c>
      <c r="F172" s="485"/>
      <c r="G172" s="486"/>
      <c r="H172" s="202"/>
    </row>
    <row r="173" spans="2:8" x14ac:dyDescent="0.15">
      <c r="B173" s="370" t="s">
        <v>1326</v>
      </c>
      <c r="C173" s="484" t="s">
        <v>1322</v>
      </c>
      <c r="D173" s="487" t="s">
        <v>7</v>
      </c>
      <c r="E173" s="70">
        <f>'CANT. DE OBRA SIAU'!K246</f>
        <v>36</v>
      </c>
      <c r="F173" s="485"/>
      <c r="G173" s="486"/>
      <c r="H173" s="202"/>
    </row>
    <row r="174" spans="2:8" x14ac:dyDescent="0.15">
      <c r="B174" s="370" t="s">
        <v>1348</v>
      </c>
      <c r="C174" s="484" t="s">
        <v>1345</v>
      </c>
      <c r="D174" s="487" t="s">
        <v>319</v>
      </c>
      <c r="E174" s="70">
        <f>'CANT. DE OBRA SIAU'!K253</f>
        <v>4</v>
      </c>
      <c r="F174" s="485"/>
      <c r="G174" s="486"/>
      <c r="H174" s="202"/>
    </row>
    <row r="175" spans="2:8" x14ac:dyDescent="0.15">
      <c r="B175" s="176"/>
      <c r="C175" s="716" t="s">
        <v>16</v>
      </c>
      <c r="D175" s="716"/>
      <c r="E175" s="716"/>
      <c r="F175" s="716"/>
      <c r="G175" s="234"/>
    </row>
    <row r="176" spans="2:8" ht="8.25" customHeight="1" x14ac:dyDescent="0.15">
      <c r="B176" s="728"/>
      <c r="C176" s="729"/>
      <c r="D176" s="729"/>
      <c r="E176" s="729"/>
      <c r="F176" s="729"/>
      <c r="G176" s="730"/>
      <c r="H176" s="200"/>
    </row>
    <row r="177" spans="2:8" x14ac:dyDescent="0.15">
      <c r="B177" s="176">
        <v>8</v>
      </c>
      <c r="C177" s="726" t="s">
        <v>500</v>
      </c>
      <c r="D177" s="726"/>
      <c r="E177" s="726"/>
      <c r="F177" s="726"/>
      <c r="G177" s="727"/>
      <c r="H177" s="201"/>
    </row>
    <row r="178" spans="2:8" x14ac:dyDescent="0.15">
      <c r="B178" s="370" t="s">
        <v>240</v>
      </c>
      <c r="C178" s="484" t="s">
        <v>862</v>
      </c>
      <c r="D178" s="487" t="s">
        <v>319</v>
      </c>
      <c r="E178" s="70">
        <f>'CANT. DE OBRA SIAU'!K260</f>
        <v>2</v>
      </c>
      <c r="F178" s="485"/>
      <c r="G178" s="486"/>
      <c r="H178" s="202"/>
    </row>
    <row r="179" spans="2:8" x14ac:dyDescent="0.15">
      <c r="B179" s="370" t="s">
        <v>257</v>
      </c>
      <c r="C179" s="484" t="s">
        <v>863</v>
      </c>
      <c r="D179" s="487" t="s">
        <v>319</v>
      </c>
      <c r="E179" s="70">
        <f>'CANT. DE OBRA SIAU'!K267</f>
        <v>1</v>
      </c>
      <c r="F179" s="485"/>
      <c r="G179" s="486"/>
      <c r="H179" s="202"/>
    </row>
    <row r="180" spans="2:8" x14ac:dyDescent="0.15">
      <c r="B180" s="370" t="s">
        <v>258</v>
      </c>
      <c r="C180" s="484" t="s">
        <v>864</v>
      </c>
      <c r="D180" s="487" t="s">
        <v>319</v>
      </c>
      <c r="E180" s="70">
        <f>'CANT. DE OBRA SIAU'!K274</f>
        <v>2</v>
      </c>
      <c r="F180" s="485"/>
      <c r="G180" s="486"/>
      <c r="H180" s="202"/>
    </row>
    <row r="181" spans="2:8" x14ac:dyDescent="0.15">
      <c r="B181" s="370" t="s">
        <v>260</v>
      </c>
      <c r="C181" s="484" t="s">
        <v>1349</v>
      </c>
      <c r="D181" s="487" t="s">
        <v>501</v>
      </c>
      <c r="E181" s="70">
        <f>'CANT. DE OBRA SIAU'!K284</f>
        <v>5</v>
      </c>
      <c r="F181" s="485"/>
      <c r="G181" s="486"/>
      <c r="H181" s="202"/>
    </row>
    <row r="182" spans="2:8" x14ac:dyDescent="0.15">
      <c r="B182" s="370" t="s">
        <v>261</v>
      </c>
      <c r="C182" s="484" t="s">
        <v>482</v>
      </c>
      <c r="D182" s="487" t="s">
        <v>501</v>
      </c>
      <c r="E182" s="70">
        <f>'CANT. DE OBRA SIAU'!K291</f>
        <v>1</v>
      </c>
      <c r="F182" s="485"/>
      <c r="G182" s="486"/>
      <c r="H182" s="202"/>
    </row>
    <row r="183" spans="2:8" x14ac:dyDescent="0.15">
      <c r="B183" s="370" t="s">
        <v>262</v>
      </c>
      <c r="C183" s="484" t="s">
        <v>1350</v>
      </c>
      <c r="D183" s="487" t="s">
        <v>501</v>
      </c>
      <c r="E183" s="70">
        <f>'CANT. DE OBRA SIAU'!K298</f>
        <v>1</v>
      </c>
      <c r="F183" s="485"/>
      <c r="G183" s="486"/>
      <c r="H183" s="202"/>
    </row>
    <row r="184" spans="2:8" x14ac:dyDescent="0.15">
      <c r="B184" s="370" t="s">
        <v>596</v>
      </c>
      <c r="C184" s="484" t="s">
        <v>1352</v>
      </c>
      <c r="D184" s="487" t="s">
        <v>501</v>
      </c>
      <c r="E184" s="70">
        <f>'CANT. DE OBRA SIAU'!K305</f>
        <v>1</v>
      </c>
      <c r="F184" s="485"/>
      <c r="G184" s="486"/>
      <c r="H184" s="202"/>
    </row>
    <row r="185" spans="2:8" x14ac:dyDescent="0.15">
      <c r="B185" s="370" t="s">
        <v>699</v>
      </c>
      <c r="C185" s="484" t="s">
        <v>1596</v>
      </c>
      <c r="D185" s="487" t="s">
        <v>501</v>
      </c>
      <c r="E185" s="70">
        <f>'CANT. DE OBRA SIAU'!K312</f>
        <v>8</v>
      </c>
      <c r="F185" s="485"/>
      <c r="G185" s="486"/>
      <c r="H185" s="202"/>
    </row>
    <row r="186" spans="2:8" x14ac:dyDescent="0.15">
      <c r="B186" s="176"/>
      <c r="C186" s="716" t="s">
        <v>17</v>
      </c>
      <c r="D186" s="716"/>
      <c r="E186" s="716"/>
      <c r="F186" s="716"/>
      <c r="G186" s="234"/>
      <c r="H186" s="203"/>
    </row>
    <row r="187" spans="2:8" ht="8.25" customHeight="1" x14ac:dyDescent="0.15">
      <c r="B187" s="728"/>
      <c r="C187" s="729"/>
      <c r="D187" s="729"/>
      <c r="E187" s="729"/>
      <c r="F187" s="729"/>
      <c r="G187" s="730"/>
      <c r="H187" s="200"/>
    </row>
    <row r="188" spans="2:8" x14ac:dyDescent="0.15">
      <c r="B188" s="176">
        <v>9</v>
      </c>
      <c r="C188" s="726" t="s">
        <v>107</v>
      </c>
      <c r="D188" s="726"/>
      <c r="E188" s="726"/>
      <c r="F188" s="726"/>
      <c r="G188" s="727"/>
      <c r="H188" s="201"/>
    </row>
    <row r="189" spans="2:8" x14ac:dyDescent="0.15">
      <c r="B189" s="370" t="s">
        <v>251</v>
      </c>
      <c r="C189" s="484" t="s">
        <v>868</v>
      </c>
      <c r="D189" s="487" t="s">
        <v>5</v>
      </c>
      <c r="E189" s="70">
        <f>'CANT. DE OBRA SIAU'!K319</f>
        <v>96.72</v>
      </c>
      <c r="F189" s="485"/>
      <c r="G189" s="486"/>
      <c r="H189" s="202"/>
    </row>
    <row r="190" spans="2:8" x14ac:dyDescent="0.15">
      <c r="B190" s="370" t="s">
        <v>708</v>
      </c>
      <c r="C190" s="484" t="s">
        <v>1378</v>
      </c>
      <c r="D190" s="487" t="s">
        <v>5</v>
      </c>
      <c r="E190" s="70">
        <f>'CANT. DE OBRA SIAU'!K326</f>
        <v>10.368000000000002</v>
      </c>
      <c r="F190" s="485"/>
      <c r="G190" s="486"/>
      <c r="H190" s="202"/>
    </row>
    <row r="191" spans="2:8" ht="52" x14ac:dyDescent="0.15">
      <c r="B191" s="370" t="s">
        <v>710</v>
      </c>
      <c r="C191" s="484" t="s">
        <v>1409</v>
      </c>
      <c r="D191" s="487" t="s">
        <v>7</v>
      </c>
      <c r="E191" s="70">
        <f>'CANT. DE OBRA SIAU'!K333</f>
        <v>43.599999999999994</v>
      </c>
      <c r="F191" s="485"/>
      <c r="G191" s="486"/>
      <c r="H191" s="202"/>
    </row>
    <row r="192" spans="2:8" ht="52" x14ac:dyDescent="0.15">
      <c r="B192" s="370" t="s">
        <v>711</v>
      </c>
      <c r="C192" s="484" t="s">
        <v>1410</v>
      </c>
      <c r="D192" s="487" t="s">
        <v>7</v>
      </c>
      <c r="E192" s="70">
        <f>'CANT. DE OBRA SIAU'!K340</f>
        <v>99.2</v>
      </c>
      <c r="F192" s="485"/>
      <c r="G192" s="486"/>
      <c r="H192" s="202"/>
    </row>
    <row r="193" spans="2:8" ht="52" x14ac:dyDescent="0.15">
      <c r="B193" s="370" t="s">
        <v>712</v>
      </c>
      <c r="C193" s="484" t="s">
        <v>1417</v>
      </c>
      <c r="D193" s="487" t="s">
        <v>7</v>
      </c>
      <c r="E193" s="70">
        <f>'CANT. DE OBRA SIAU'!K348</f>
        <v>40.879999999999995</v>
      </c>
      <c r="F193" s="485"/>
      <c r="G193" s="486"/>
      <c r="H193" s="202"/>
    </row>
    <row r="194" spans="2:8" x14ac:dyDescent="0.15">
      <c r="B194" s="370" t="s">
        <v>713</v>
      </c>
      <c r="C194" s="484" t="s">
        <v>1431</v>
      </c>
      <c r="D194" s="487" t="s">
        <v>7</v>
      </c>
      <c r="E194" s="70">
        <f>'CANT. DE OBRA SIAU'!K355</f>
        <v>25.2</v>
      </c>
      <c r="F194" s="485"/>
      <c r="G194" s="486"/>
      <c r="H194" s="202"/>
    </row>
    <row r="195" spans="2:8" x14ac:dyDescent="0.15">
      <c r="B195" s="176"/>
      <c r="C195" s="716" t="s">
        <v>95</v>
      </c>
      <c r="D195" s="716"/>
      <c r="E195" s="716"/>
      <c r="F195" s="716"/>
      <c r="G195" s="234"/>
      <c r="H195" s="203"/>
    </row>
    <row r="196" spans="2:8" x14ac:dyDescent="0.15">
      <c r="B196" s="712"/>
      <c r="C196" s="713"/>
      <c r="D196" s="713"/>
      <c r="E196" s="713"/>
      <c r="F196" s="713"/>
      <c r="G196" s="714"/>
      <c r="H196" s="205"/>
    </row>
    <row r="197" spans="2:8" x14ac:dyDescent="0.15">
      <c r="B197" s="176">
        <v>10</v>
      </c>
      <c r="C197" s="726" t="s">
        <v>234</v>
      </c>
      <c r="D197" s="726"/>
      <c r="E197" s="726"/>
      <c r="F197" s="726"/>
      <c r="G197" s="727"/>
      <c r="H197" s="201"/>
    </row>
    <row r="198" spans="2:8" x14ac:dyDescent="0.15">
      <c r="B198" s="370" t="s">
        <v>721</v>
      </c>
      <c r="C198" s="484" t="s">
        <v>855</v>
      </c>
      <c r="D198" s="487" t="s">
        <v>5</v>
      </c>
      <c r="E198" s="70">
        <f>'CANT. DE OBRA SIAU'!K362</f>
        <v>2.0249999999999999</v>
      </c>
      <c r="F198" s="485"/>
      <c r="G198" s="486"/>
      <c r="H198" s="202"/>
    </row>
    <row r="199" spans="2:8" x14ac:dyDescent="0.15">
      <c r="B199" s="370" t="s">
        <v>1425</v>
      </c>
      <c r="C199" s="484" t="s">
        <v>1427</v>
      </c>
      <c r="D199" s="487" t="s">
        <v>5</v>
      </c>
      <c r="E199" s="70">
        <f>'CANT. DE OBRA SIAU'!K369</f>
        <v>12</v>
      </c>
      <c r="F199" s="485"/>
      <c r="G199" s="486"/>
      <c r="H199" s="202"/>
    </row>
    <row r="200" spans="2:8" x14ac:dyDescent="0.15">
      <c r="B200" s="176"/>
      <c r="C200" s="716" t="s">
        <v>253</v>
      </c>
      <c r="D200" s="716"/>
      <c r="E200" s="716"/>
      <c r="F200" s="716"/>
      <c r="G200" s="234"/>
      <c r="H200" s="203"/>
    </row>
    <row r="201" spans="2:8" ht="8.25" customHeight="1" x14ac:dyDescent="0.15">
      <c r="B201" s="728"/>
      <c r="C201" s="729"/>
      <c r="D201" s="729"/>
      <c r="E201" s="729"/>
      <c r="F201" s="729"/>
      <c r="G201" s="730"/>
      <c r="H201" s="200"/>
    </row>
    <row r="202" spans="2:8" x14ac:dyDescent="0.15">
      <c r="B202" s="176">
        <v>11</v>
      </c>
      <c r="C202" s="726" t="s">
        <v>521</v>
      </c>
      <c r="D202" s="726"/>
      <c r="E202" s="726"/>
      <c r="F202" s="726"/>
      <c r="G202" s="727"/>
      <c r="H202" s="201"/>
    </row>
    <row r="203" spans="2:8" x14ac:dyDescent="0.15">
      <c r="B203" s="370" t="s">
        <v>646</v>
      </c>
      <c r="C203" s="484" t="s">
        <v>959</v>
      </c>
      <c r="D203" s="487" t="s">
        <v>319</v>
      </c>
      <c r="E203" s="70">
        <f>'CANT. DE OBRA SIAU'!K376</f>
        <v>8</v>
      </c>
      <c r="F203" s="485"/>
      <c r="G203" s="486"/>
      <c r="H203" s="202"/>
    </row>
    <row r="204" spans="2:8" x14ac:dyDescent="0.15">
      <c r="B204" s="370"/>
      <c r="C204" s="716" t="s">
        <v>652</v>
      </c>
      <c r="D204" s="716"/>
      <c r="E204" s="716"/>
      <c r="F204" s="716"/>
      <c r="G204" s="234"/>
      <c r="H204" s="203"/>
    </row>
    <row r="205" spans="2:8" x14ac:dyDescent="0.15">
      <c r="B205" s="715"/>
      <c r="C205" s="716"/>
      <c r="D205" s="716"/>
      <c r="E205" s="716"/>
      <c r="F205" s="716"/>
      <c r="G205" s="717"/>
      <c r="H205" s="201"/>
    </row>
    <row r="206" spans="2:8" ht="24.75" customHeight="1" x14ac:dyDescent="0.15">
      <c r="B206" s="693"/>
      <c r="C206" s="718" t="s">
        <v>1406</v>
      </c>
      <c r="D206" s="718"/>
      <c r="E206" s="718"/>
      <c r="F206" s="718"/>
      <c r="G206" s="698"/>
      <c r="H206" s="203"/>
    </row>
    <row r="207" spans="2:8" x14ac:dyDescent="0.15">
      <c r="B207" s="712"/>
      <c r="C207" s="713"/>
      <c r="D207" s="713"/>
      <c r="E207" s="713"/>
      <c r="F207" s="713"/>
      <c r="G207" s="714"/>
      <c r="H207" s="205"/>
    </row>
    <row r="208" spans="2:8" ht="18" customHeight="1" x14ac:dyDescent="0.15">
      <c r="B208" s="690"/>
      <c r="C208" s="783" t="s">
        <v>1430</v>
      </c>
      <c r="D208" s="783"/>
      <c r="E208" s="783"/>
      <c r="F208" s="783"/>
      <c r="G208" s="784"/>
      <c r="H208" s="201"/>
    </row>
    <row r="209" spans="2:8" x14ac:dyDescent="0.15">
      <c r="B209" s="370">
        <v>1</v>
      </c>
      <c r="C209" s="736" t="s">
        <v>12</v>
      </c>
      <c r="D209" s="736"/>
      <c r="E209" s="736"/>
      <c r="F209" s="736"/>
      <c r="G209" s="737"/>
      <c r="H209" s="201"/>
    </row>
    <row r="210" spans="2:8" x14ac:dyDescent="0.15">
      <c r="B210" s="370" t="s">
        <v>489</v>
      </c>
      <c r="C210" s="484" t="s">
        <v>846</v>
      </c>
      <c r="D210" s="487" t="s">
        <v>5</v>
      </c>
      <c r="E210" s="70">
        <f>'CANT. DE OBRA HOSPITAL GENERAL'!K18</f>
        <v>72.509999999999991</v>
      </c>
      <c r="F210" s="485"/>
      <c r="G210" s="486"/>
      <c r="H210" s="202"/>
    </row>
    <row r="211" spans="2:8" x14ac:dyDescent="0.15">
      <c r="B211" s="370" t="s">
        <v>1087</v>
      </c>
      <c r="C211" s="484" t="s">
        <v>1143</v>
      </c>
      <c r="D211" s="487" t="s">
        <v>5</v>
      </c>
      <c r="E211" s="70">
        <f>'CANT. DE OBRA HOSPITAL GENERAL'!K30</f>
        <v>111.64</v>
      </c>
      <c r="F211" s="485"/>
      <c r="G211" s="486"/>
      <c r="H211" s="202"/>
    </row>
    <row r="212" spans="2:8" x14ac:dyDescent="0.15">
      <c r="B212" s="370" t="s">
        <v>1142</v>
      </c>
      <c r="C212" s="484" t="s">
        <v>1168</v>
      </c>
      <c r="D212" s="487" t="s">
        <v>5</v>
      </c>
      <c r="E212" s="70">
        <f>'CANT. DE OBRA HOSPITAL GENERAL'!K38</f>
        <v>67.5</v>
      </c>
      <c r="F212" s="485"/>
      <c r="G212" s="486"/>
      <c r="H212" s="202"/>
    </row>
    <row r="213" spans="2:8" x14ac:dyDescent="0.15">
      <c r="B213" s="370" t="s">
        <v>1172</v>
      </c>
      <c r="C213" s="484" t="s">
        <v>1170</v>
      </c>
      <c r="D213" s="487" t="s">
        <v>319</v>
      </c>
      <c r="E213" s="70">
        <f>'CANT. DE OBRA HOSPITAL GENERAL'!K53</f>
        <v>8</v>
      </c>
      <c r="F213" s="485"/>
      <c r="G213" s="486"/>
      <c r="H213" s="202"/>
    </row>
    <row r="214" spans="2:8" x14ac:dyDescent="0.15">
      <c r="B214" s="370" t="s">
        <v>1174</v>
      </c>
      <c r="C214" s="484" t="s">
        <v>1171</v>
      </c>
      <c r="D214" s="487" t="s">
        <v>319</v>
      </c>
      <c r="E214" s="70">
        <f>'CANT. DE OBRA HOSPITAL GENERAL'!K61</f>
        <v>1</v>
      </c>
      <c r="F214" s="485"/>
      <c r="G214" s="486"/>
      <c r="H214" s="202"/>
    </row>
    <row r="215" spans="2:8" x14ac:dyDescent="0.15">
      <c r="B215" s="370" t="s">
        <v>1177</v>
      </c>
      <c r="C215" s="484" t="s">
        <v>1435</v>
      </c>
      <c r="D215" s="487" t="s">
        <v>319</v>
      </c>
      <c r="E215" s="70">
        <f>'CANT. DE OBRA HOSPITAL GENERAL'!K69</f>
        <v>1</v>
      </c>
      <c r="F215" s="485"/>
      <c r="G215" s="486"/>
      <c r="H215" s="202"/>
    </row>
    <row r="216" spans="2:8" x14ac:dyDescent="0.15">
      <c r="B216" s="370" t="s">
        <v>1436</v>
      </c>
      <c r="C216" s="484" t="s">
        <v>494</v>
      </c>
      <c r="D216" s="487" t="s">
        <v>6</v>
      </c>
      <c r="E216" s="70">
        <f>'CANT. DE OBRA HOSPITAL GENERAL'!K79</f>
        <v>26.082550000000001</v>
      </c>
      <c r="F216" s="485"/>
      <c r="G216" s="486"/>
      <c r="H216" s="202"/>
    </row>
    <row r="217" spans="2:8" ht="16.5" customHeight="1" x14ac:dyDescent="0.15">
      <c r="B217" s="370"/>
      <c r="C217" s="731" t="s">
        <v>11</v>
      </c>
      <c r="D217" s="732"/>
      <c r="E217" s="732"/>
      <c r="F217" s="733"/>
      <c r="G217" s="234"/>
      <c r="H217" s="203"/>
    </row>
    <row r="218" spans="2:8" ht="8.25" customHeight="1" x14ac:dyDescent="0.15">
      <c r="B218" s="719"/>
      <c r="C218" s="720"/>
      <c r="D218" s="720"/>
      <c r="E218" s="720"/>
      <c r="F218" s="720"/>
      <c r="G218" s="721"/>
      <c r="H218" s="200"/>
    </row>
    <row r="219" spans="2:8" x14ac:dyDescent="0.15">
      <c r="B219" s="370">
        <v>2</v>
      </c>
      <c r="C219" s="736" t="s">
        <v>115</v>
      </c>
      <c r="D219" s="736"/>
      <c r="E219" s="736"/>
      <c r="F219" s="736"/>
      <c r="G219" s="737"/>
      <c r="H219" s="201"/>
    </row>
    <row r="220" spans="2:8" x14ac:dyDescent="0.15">
      <c r="B220" s="370" t="s">
        <v>216</v>
      </c>
      <c r="C220" s="484" t="s">
        <v>890</v>
      </c>
      <c r="D220" s="487" t="s">
        <v>6</v>
      </c>
      <c r="E220" s="70">
        <f>'CANT. DE OBRA HOSPITAL GENERAL'!K92</f>
        <v>5.8447500000000003</v>
      </c>
      <c r="F220" s="485"/>
      <c r="G220" s="486"/>
      <c r="H220" s="202"/>
    </row>
    <row r="221" spans="2:8" x14ac:dyDescent="0.15">
      <c r="B221" s="370" t="s">
        <v>217</v>
      </c>
      <c r="C221" s="484" t="s">
        <v>491</v>
      </c>
      <c r="D221" s="487" t="s">
        <v>6</v>
      </c>
      <c r="E221" s="70">
        <f>'CANT. DE OBRA HOSPITAL GENERAL'!K100</f>
        <v>0.54600000000000026</v>
      </c>
      <c r="F221" s="485"/>
      <c r="G221" s="486"/>
      <c r="H221" s="202"/>
    </row>
    <row r="222" spans="2:8" ht="26" x14ac:dyDescent="0.15">
      <c r="B222" s="370" t="s">
        <v>218</v>
      </c>
      <c r="C222" s="484" t="s">
        <v>1004</v>
      </c>
      <c r="D222" s="487" t="s">
        <v>6</v>
      </c>
      <c r="E222" s="70">
        <f>'CANT. DE OBRA HOSPITAL GENERAL'!L108</f>
        <v>0.22400000000000006</v>
      </c>
      <c r="F222" s="485"/>
      <c r="G222" s="486"/>
      <c r="H222" s="202"/>
    </row>
    <row r="223" spans="2:8" x14ac:dyDescent="0.15">
      <c r="B223" s="370" t="s">
        <v>219</v>
      </c>
      <c r="C223" s="484" t="s">
        <v>494</v>
      </c>
      <c r="D223" s="487" t="s">
        <v>6</v>
      </c>
      <c r="E223" s="70">
        <f>'CANT. DE OBRA HOSPITAL GENERAL'!K115</f>
        <v>6.8883749999999999</v>
      </c>
      <c r="F223" s="485"/>
      <c r="G223" s="486"/>
      <c r="H223" s="202"/>
    </row>
    <row r="224" spans="2:8" ht="16.5" customHeight="1" x14ac:dyDescent="0.15">
      <c r="B224" s="370"/>
      <c r="C224" s="731" t="s">
        <v>10</v>
      </c>
      <c r="D224" s="732"/>
      <c r="E224" s="732"/>
      <c r="F224" s="733"/>
      <c r="G224" s="234"/>
      <c r="H224" s="203"/>
    </row>
    <row r="225" spans="2:8" ht="8.25" customHeight="1" x14ac:dyDescent="0.15">
      <c r="B225" s="728"/>
      <c r="C225" s="729"/>
      <c r="D225" s="729"/>
      <c r="E225" s="729"/>
      <c r="F225" s="729"/>
      <c r="G225" s="730"/>
      <c r="H225" s="200"/>
    </row>
    <row r="226" spans="2:8" x14ac:dyDescent="0.15">
      <c r="B226" s="176">
        <v>3</v>
      </c>
      <c r="C226" s="726" t="s">
        <v>18</v>
      </c>
      <c r="D226" s="726"/>
      <c r="E226" s="726"/>
      <c r="F226" s="726"/>
      <c r="G226" s="727"/>
      <c r="H226" s="204"/>
    </row>
    <row r="227" spans="2:8" x14ac:dyDescent="0.15">
      <c r="B227" s="370" t="s">
        <v>210</v>
      </c>
      <c r="C227" s="484" t="s">
        <v>568</v>
      </c>
      <c r="D227" s="487" t="s">
        <v>6</v>
      </c>
      <c r="E227" s="70">
        <f>'CANT. DE OBRA HOSPITAL GENERAL'!K123</f>
        <v>0.11200000000000003</v>
      </c>
      <c r="F227" s="485"/>
      <c r="G227" s="486"/>
      <c r="H227" s="202"/>
    </row>
    <row r="228" spans="2:8" ht="41.25" customHeight="1" x14ac:dyDescent="0.15">
      <c r="B228" s="370" t="s">
        <v>213</v>
      </c>
      <c r="C228" s="484" t="s">
        <v>1534</v>
      </c>
      <c r="D228" s="487" t="s">
        <v>319</v>
      </c>
      <c r="E228" s="70">
        <f>'CANT. DE OBRA HOSPITAL GENERAL'!K131</f>
        <v>14</v>
      </c>
      <c r="F228" s="485"/>
      <c r="G228" s="486"/>
      <c r="H228" s="202"/>
    </row>
    <row r="229" spans="2:8" ht="41.25" customHeight="1" x14ac:dyDescent="0.15">
      <c r="B229" s="370" t="s">
        <v>601</v>
      </c>
      <c r="C229" s="484" t="s">
        <v>1519</v>
      </c>
      <c r="D229" s="487" t="s">
        <v>7</v>
      </c>
      <c r="E229" s="70">
        <f>'CANT. DE OBRA HOSPITAL GENERAL'!K143</f>
        <v>61.26</v>
      </c>
      <c r="F229" s="485"/>
      <c r="G229" s="486"/>
      <c r="H229" s="202"/>
    </row>
    <row r="230" spans="2:8" ht="41.25" customHeight="1" x14ac:dyDescent="0.15">
      <c r="B230" s="370" t="s">
        <v>228</v>
      </c>
      <c r="C230" s="484" t="s">
        <v>1520</v>
      </c>
      <c r="D230" s="487" t="s">
        <v>7</v>
      </c>
      <c r="E230" s="70">
        <f>'CANT. DE OBRA HOSPITAL GENERAL'!K151</f>
        <v>35</v>
      </c>
      <c r="F230" s="485"/>
      <c r="G230" s="486"/>
      <c r="H230" s="202"/>
    </row>
    <row r="231" spans="2:8" ht="26" x14ac:dyDescent="0.15">
      <c r="B231" s="370" t="s">
        <v>229</v>
      </c>
      <c r="C231" s="484" t="s">
        <v>1584</v>
      </c>
      <c r="D231" s="487" t="s">
        <v>7</v>
      </c>
      <c r="E231" s="70">
        <f>'CANT. DE OBRA HOSPITAL GENERAL'!K161</f>
        <v>55.26</v>
      </c>
      <c r="F231" s="485"/>
      <c r="G231" s="486"/>
      <c r="H231" s="202"/>
    </row>
    <row r="232" spans="2:8" ht="16.5" customHeight="1" x14ac:dyDescent="0.15">
      <c r="B232" s="370"/>
      <c r="C232" s="738" t="s">
        <v>13</v>
      </c>
      <c r="D232" s="739"/>
      <c r="E232" s="739"/>
      <c r="F232" s="740"/>
      <c r="G232" s="234"/>
      <c r="H232" s="203"/>
    </row>
    <row r="233" spans="2:8" ht="8.25" customHeight="1" x14ac:dyDescent="0.15">
      <c r="B233" s="728"/>
      <c r="C233" s="729"/>
      <c r="D233" s="729"/>
      <c r="E233" s="729"/>
      <c r="F233" s="729"/>
      <c r="G233" s="730"/>
      <c r="H233" s="200"/>
    </row>
    <row r="234" spans="2:8" x14ac:dyDescent="0.15">
      <c r="B234" s="176">
        <v>4</v>
      </c>
      <c r="C234" s="726" t="s">
        <v>80</v>
      </c>
      <c r="D234" s="726"/>
      <c r="E234" s="726"/>
      <c r="F234" s="726"/>
      <c r="G234" s="727"/>
      <c r="H234" s="201"/>
    </row>
    <row r="235" spans="2:8" x14ac:dyDescent="0.15">
      <c r="B235" s="370" t="s">
        <v>265</v>
      </c>
      <c r="C235" s="484" t="s">
        <v>167</v>
      </c>
      <c r="D235" s="487" t="s">
        <v>5</v>
      </c>
      <c r="E235" s="70">
        <f>'CANT. DE OBRA HOSPITAL GENERAL'!K173</f>
        <v>177.36</v>
      </c>
      <c r="F235" s="485"/>
      <c r="G235" s="486"/>
      <c r="H235" s="202"/>
    </row>
    <row r="236" spans="2:8" x14ac:dyDescent="0.15">
      <c r="B236" s="370" t="s">
        <v>266</v>
      </c>
      <c r="C236" s="484" t="s">
        <v>1025</v>
      </c>
      <c r="D236" s="487" t="s">
        <v>5</v>
      </c>
      <c r="E236" s="70">
        <f>'CANT. DE OBRA HOSPITAL GENERAL'!K186</f>
        <v>359.72</v>
      </c>
      <c r="F236" s="485"/>
      <c r="G236" s="486"/>
      <c r="H236" s="202"/>
    </row>
    <row r="237" spans="2:8" x14ac:dyDescent="0.15">
      <c r="B237" s="370" t="s">
        <v>267</v>
      </c>
      <c r="C237" s="484" t="s">
        <v>1078</v>
      </c>
      <c r="D237" s="487" t="s">
        <v>7</v>
      </c>
      <c r="E237" s="70">
        <f>'CANT. DE OBRA HOSPITAL GENERAL'!K197</f>
        <v>38.294400000000003</v>
      </c>
      <c r="F237" s="485"/>
      <c r="G237" s="486"/>
      <c r="H237" s="202"/>
    </row>
    <row r="238" spans="2:8" ht="16.5" customHeight="1" x14ac:dyDescent="0.15">
      <c r="B238" s="370"/>
      <c r="C238" s="731" t="s">
        <v>14</v>
      </c>
      <c r="D238" s="732"/>
      <c r="E238" s="732"/>
      <c r="F238" s="733"/>
      <c r="G238" s="234"/>
      <c r="H238" s="203"/>
    </row>
    <row r="239" spans="2:8" ht="8.25" customHeight="1" x14ac:dyDescent="0.15">
      <c r="B239" s="728"/>
      <c r="C239" s="729"/>
      <c r="D239" s="729"/>
      <c r="E239" s="729"/>
      <c r="F239" s="729"/>
      <c r="G239" s="730"/>
      <c r="H239" s="200"/>
    </row>
    <row r="240" spans="2:8" x14ac:dyDescent="0.15">
      <c r="B240" s="176">
        <v>5</v>
      </c>
      <c r="C240" s="726" t="s">
        <v>9</v>
      </c>
      <c r="D240" s="726"/>
      <c r="E240" s="726"/>
      <c r="F240" s="726"/>
      <c r="G240" s="727"/>
      <c r="H240" s="201"/>
    </row>
    <row r="241" spans="2:8" x14ac:dyDescent="0.15">
      <c r="B241" s="370" t="s">
        <v>231</v>
      </c>
      <c r="C241" s="484" t="s">
        <v>184</v>
      </c>
      <c r="D241" s="487" t="s">
        <v>5</v>
      </c>
      <c r="E241" s="70">
        <f>'CANT. DE OBRA HOSPITAL GENERAL'!K207</f>
        <v>198.88</v>
      </c>
      <c r="F241" s="485"/>
      <c r="G241" s="486"/>
      <c r="H241" s="202"/>
    </row>
    <row r="242" spans="2:8" x14ac:dyDescent="0.15">
      <c r="B242" s="370" t="s">
        <v>232</v>
      </c>
      <c r="C242" s="484" t="s">
        <v>854</v>
      </c>
      <c r="D242" s="487" t="s">
        <v>5</v>
      </c>
      <c r="E242" s="70">
        <f>'CANT. DE OBRA HOSPITAL GENERAL'!K238</f>
        <v>795.48000000000013</v>
      </c>
      <c r="F242" s="485"/>
      <c r="G242" s="486"/>
      <c r="H242" s="202"/>
    </row>
    <row r="243" spans="2:8" x14ac:dyDescent="0.15">
      <c r="B243" s="370" t="s">
        <v>243</v>
      </c>
      <c r="C243" s="484" t="s">
        <v>870</v>
      </c>
      <c r="D243" s="487" t="s">
        <v>7</v>
      </c>
      <c r="E243" s="70">
        <f>'CANT. DE OBRA HOSPITAL GENERAL'!K246</f>
        <v>778.5</v>
      </c>
      <c r="F243" s="485"/>
      <c r="G243" s="486"/>
      <c r="H243" s="202"/>
    </row>
    <row r="244" spans="2:8" x14ac:dyDescent="0.15">
      <c r="B244" s="370" t="s">
        <v>672</v>
      </c>
      <c r="C244" s="484" t="s">
        <v>851</v>
      </c>
      <c r="D244" s="487" t="s">
        <v>5</v>
      </c>
      <c r="E244" s="70">
        <f>'CANT. DE OBRA HOSPITAL GENERAL'!K260</f>
        <v>72.509999999999991</v>
      </c>
      <c r="F244" s="485"/>
      <c r="G244" s="486"/>
      <c r="H244" s="202"/>
    </row>
    <row r="245" spans="2:8" x14ac:dyDescent="0.15">
      <c r="B245" s="370" t="s">
        <v>673</v>
      </c>
      <c r="C245" s="484" t="s">
        <v>852</v>
      </c>
      <c r="D245" s="487" t="s">
        <v>5</v>
      </c>
      <c r="E245" s="70">
        <f>'CANT. DE OBRA HOSPITAL GENERAL'!K283</f>
        <v>167.9</v>
      </c>
      <c r="F245" s="485"/>
      <c r="G245" s="486"/>
      <c r="H245" s="202"/>
    </row>
    <row r="246" spans="2:8" x14ac:dyDescent="0.15">
      <c r="B246" s="370" t="s">
        <v>898</v>
      </c>
      <c r="C246" s="484" t="s">
        <v>913</v>
      </c>
      <c r="D246" s="487" t="s">
        <v>7</v>
      </c>
      <c r="E246" s="70">
        <f>'CANT. DE OBRA HOSPITAL GENERAL'!K291</f>
        <v>40</v>
      </c>
      <c r="F246" s="485"/>
      <c r="G246" s="486"/>
      <c r="H246" s="202"/>
    </row>
    <row r="247" spans="2:8" x14ac:dyDescent="0.15">
      <c r="B247" s="370" t="s">
        <v>1103</v>
      </c>
      <c r="C247" s="484" t="s">
        <v>1079</v>
      </c>
      <c r="D247" s="487" t="s">
        <v>5</v>
      </c>
      <c r="E247" s="70">
        <f>'CANT. DE OBRA HOSPITAL GENERAL'!K304</f>
        <v>213.7424</v>
      </c>
      <c r="F247" s="485"/>
      <c r="G247" s="486"/>
      <c r="H247" s="202"/>
    </row>
    <row r="248" spans="2:8" x14ac:dyDescent="0.15">
      <c r="B248" s="370" t="s">
        <v>1277</v>
      </c>
      <c r="C248" s="484" t="s">
        <v>1274</v>
      </c>
      <c r="D248" s="487" t="s">
        <v>5</v>
      </c>
      <c r="E248" s="70">
        <f>'CANT. DE OBRA HOSPITAL GENERAL'!K312</f>
        <v>10.5</v>
      </c>
      <c r="F248" s="485"/>
      <c r="G248" s="486"/>
      <c r="H248" s="202"/>
    </row>
    <row r="249" spans="2:8" x14ac:dyDescent="0.15">
      <c r="B249" s="370" t="s">
        <v>1278</v>
      </c>
      <c r="C249" s="484" t="s">
        <v>1275</v>
      </c>
      <c r="D249" s="487" t="s">
        <v>5</v>
      </c>
      <c r="E249" s="70">
        <f>'CANT. DE OBRA HOSPITAL GENERAL'!K326</f>
        <v>81.849999999999994</v>
      </c>
      <c r="F249" s="485"/>
      <c r="G249" s="486"/>
      <c r="H249" s="202"/>
    </row>
    <row r="250" spans="2:8" x14ac:dyDescent="0.15">
      <c r="B250" s="176"/>
      <c r="C250" s="716" t="s">
        <v>15</v>
      </c>
      <c r="D250" s="716"/>
      <c r="E250" s="716"/>
      <c r="F250" s="716"/>
      <c r="G250" s="234"/>
      <c r="H250" s="203"/>
    </row>
    <row r="251" spans="2:8" ht="8.25" customHeight="1" x14ac:dyDescent="0.15">
      <c r="B251" s="728"/>
      <c r="C251" s="729"/>
      <c r="D251" s="729"/>
      <c r="E251" s="729"/>
      <c r="F251" s="729"/>
      <c r="G251" s="730"/>
    </row>
    <row r="252" spans="2:8" x14ac:dyDescent="0.15">
      <c r="B252" s="176">
        <v>6</v>
      </c>
      <c r="C252" s="726" t="s">
        <v>684</v>
      </c>
      <c r="D252" s="726"/>
      <c r="E252" s="726"/>
      <c r="F252" s="726"/>
      <c r="G252" s="727"/>
    </row>
    <row r="253" spans="2:8" x14ac:dyDescent="0.15">
      <c r="B253" s="370" t="s">
        <v>593</v>
      </c>
      <c r="C253" s="484" t="s">
        <v>1288</v>
      </c>
      <c r="D253" s="487" t="s">
        <v>319</v>
      </c>
      <c r="E253" s="70">
        <f>'CANT. DE OBRA HOSPITAL GENERAL'!K334</f>
        <v>9</v>
      </c>
      <c r="F253" s="485"/>
      <c r="G253" s="486"/>
      <c r="H253" s="202"/>
    </row>
    <row r="254" spans="2:8" x14ac:dyDescent="0.15">
      <c r="B254" s="176"/>
      <c r="C254" s="716" t="s">
        <v>594</v>
      </c>
      <c r="D254" s="716"/>
      <c r="E254" s="716"/>
      <c r="F254" s="716"/>
      <c r="G254" s="234"/>
    </row>
    <row r="255" spans="2:8" ht="8.25" customHeight="1" x14ac:dyDescent="0.15">
      <c r="B255" s="728"/>
      <c r="C255" s="729"/>
      <c r="D255" s="729"/>
      <c r="E255" s="729"/>
      <c r="F255" s="729"/>
      <c r="G255" s="730"/>
    </row>
    <row r="256" spans="2:8" x14ac:dyDescent="0.15">
      <c r="B256" s="176">
        <v>7</v>
      </c>
      <c r="C256" s="726" t="s">
        <v>499</v>
      </c>
      <c r="D256" s="726"/>
      <c r="E256" s="726"/>
      <c r="F256" s="726"/>
      <c r="G256" s="727"/>
    </row>
    <row r="257" spans="2:8" x14ac:dyDescent="0.15">
      <c r="B257" s="370" t="s">
        <v>235</v>
      </c>
      <c r="C257" s="484" t="s">
        <v>916</v>
      </c>
      <c r="D257" s="487" t="s">
        <v>319</v>
      </c>
      <c r="E257" s="70">
        <f>'CANT. DE OBRA HOSPITAL GENERAL'!K342</f>
        <v>1</v>
      </c>
      <c r="F257" s="485"/>
      <c r="G257" s="486"/>
      <c r="H257" s="202"/>
    </row>
    <row r="258" spans="2:8" x14ac:dyDescent="0.15">
      <c r="B258" s="704" t="s">
        <v>1141</v>
      </c>
      <c r="C258" s="484" t="s">
        <v>1140</v>
      </c>
      <c r="D258" s="487" t="s">
        <v>319</v>
      </c>
      <c r="E258" s="70">
        <f>'CANT. DE OBRA HOSPITAL GENERAL'!K350</f>
        <v>2</v>
      </c>
      <c r="F258" s="485"/>
      <c r="G258" s="486"/>
    </row>
    <row r="259" spans="2:8" x14ac:dyDescent="0.15">
      <c r="B259" s="370" t="s">
        <v>1492</v>
      </c>
      <c r="C259" s="484" t="s">
        <v>1491</v>
      </c>
      <c r="D259" s="487" t="s">
        <v>319</v>
      </c>
      <c r="E259" s="70">
        <f>'CANT. DE OBRA HOSPITAL GENERAL'!K358</f>
        <v>1</v>
      </c>
      <c r="F259" s="485"/>
      <c r="G259" s="486"/>
      <c r="H259" s="202"/>
    </row>
    <row r="260" spans="2:8" x14ac:dyDescent="0.15">
      <c r="B260" s="176"/>
      <c r="C260" s="716" t="s">
        <v>16</v>
      </c>
      <c r="D260" s="716"/>
      <c r="E260" s="716"/>
      <c r="F260" s="716"/>
      <c r="G260" s="234"/>
    </row>
    <row r="261" spans="2:8" ht="8.25" customHeight="1" x14ac:dyDescent="0.15">
      <c r="B261" s="728"/>
      <c r="C261" s="729"/>
      <c r="D261" s="729"/>
      <c r="E261" s="729"/>
      <c r="F261" s="729"/>
      <c r="G261" s="730"/>
      <c r="H261" s="200"/>
    </row>
    <row r="262" spans="2:8" x14ac:dyDescent="0.15">
      <c r="B262" s="176">
        <v>9</v>
      </c>
      <c r="C262" s="726" t="s">
        <v>107</v>
      </c>
      <c r="D262" s="726"/>
      <c r="E262" s="726"/>
      <c r="F262" s="726"/>
      <c r="G262" s="727"/>
      <c r="H262" s="201"/>
    </row>
    <row r="263" spans="2:8" x14ac:dyDescent="0.15">
      <c r="B263" s="704" t="s">
        <v>708</v>
      </c>
      <c r="C263" s="484" t="s">
        <v>1378</v>
      </c>
      <c r="D263" s="487" t="s">
        <v>5</v>
      </c>
      <c r="E263" s="70">
        <f>'CANT. DE OBRA HOSPITAL GENERAL'!K371</f>
        <v>17.100000000000001</v>
      </c>
      <c r="F263" s="485"/>
      <c r="G263" s="486"/>
      <c r="H263" s="202"/>
    </row>
    <row r="264" spans="2:8" x14ac:dyDescent="0.15">
      <c r="B264" s="176"/>
      <c r="C264" s="716" t="s">
        <v>95</v>
      </c>
      <c r="D264" s="716"/>
      <c r="E264" s="716"/>
      <c r="F264" s="716"/>
      <c r="G264" s="234"/>
      <c r="H264" s="203"/>
    </row>
    <row r="265" spans="2:8" x14ac:dyDescent="0.15">
      <c r="B265" s="712"/>
      <c r="C265" s="713"/>
      <c r="D265" s="713"/>
      <c r="E265" s="713"/>
      <c r="F265" s="713"/>
      <c r="G265" s="714"/>
      <c r="H265" s="205"/>
    </row>
    <row r="266" spans="2:8" x14ac:dyDescent="0.15">
      <c r="B266" s="176">
        <v>10</v>
      </c>
      <c r="C266" s="726" t="s">
        <v>234</v>
      </c>
      <c r="D266" s="726"/>
      <c r="E266" s="726"/>
      <c r="F266" s="726"/>
      <c r="G266" s="727"/>
      <c r="H266" s="201"/>
    </row>
    <row r="267" spans="2:8" x14ac:dyDescent="0.15">
      <c r="B267" s="704" t="s">
        <v>721</v>
      </c>
      <c r="C267" s="484" t="s">
        <v>855</v>
      </c>
      <c r="D267" s="487" t="s">
        <v>5</v>
      </c>
      <c r="E267" s="70">
        <f>'CANT. DE OBRA HOSPITAL GENERAL'!K387</f>
        <v>23.4</v>
      </c>
      <c r="F267" s="485"/>
      <c r="G267" s="486"/>
      <c r="H267" s="202"/>
    </row>
    <row r="268" spans="2:8" x14ac:dyDescent="0.15">
      <c r="B268" s="176"/>
      <c r="C268" s="716" t="s">
        <v>253</v>
      </c>
      <c r="D268" s="716"/>
      <c r="E268" s="716"/>
      <c r="F268" s="716"/>
      <c r="G268" s="234"/>
      <c r="H268" s="203"/>
    </row>
    <row r="269" spans="2:8" ht="8.25" customHeight="1" x14ac:dyDescent="0.15">
      <c r="B269" s="728"/>
      <c r="C269" s="729"/>
      <c r="D269" s="729"/>
      <c r="E269" s="729"/>
      <c r="F269" s="729"/>
      <c r="G269" s="730"/>
      <c r="H269" s="200"/>
    </row>
    <row r="270" spans="2:8" x14ac:dyDescent="0.15">
      <c r="B270" s="176">
        <v>12</v>
      </c>
      <c r="C270" s="726" t="s">
        <v>871</v>
      </c>
      <c r="D270" s="726"/>
      <c r="E270" s="726"/>
      <c r="F270" s="726"/>
      <c r="G270" s="727"/>
      <c r="H270" s="201"/>
    </row>
    <row r="271" spans="2:8" x14ac:dyDescent="0.15">
      <c r="B271" s="704" t="s">
        <v>724</v>
      </c>
      <c r="C271" s="484" t="s">
        <v>873</v>
      </c>
      <c r="D271" s="487" t="s">
        <v>19</v>
      </c>
      <c r="E271" s="70">
        <f>'CANT. DE OBRA HOSPITAL GENERAL'!K394</f>
        <v>1</v>
      </c>
      <c r="F271" s="485"/>
      <c r="G271" s="486"/>
      <c r="H271" s="202"/>
    </row>
    <row r="272" spans="2:8" x14ac:dyDescent="0.15">
      <c r="B272" s="176"/>
      <c r="C272" s="716" t="s">
        <v>726</v>
      </c>
      <c r="D272" s="716"/>
      <c r="E272" s="716"/>
      <c r="F272" s="716"/>
      <c r="G272" s="417"/>
      <c r="H272" s="203"/>
    </row>
    <row r="273" spans="2:8" x14ac:dyDescent="0.15">
      <c r="B273" s="715"/>
      <c r="C273" s="716"/>
      <c r="D273" s="716"/>
      <c r="E273" s="716"/>
      <c r="F273" s="716"/>
      <c r="G273" s="717"/>
      <c r="H273" s="201"/>
    </row>
    <row r="274" spans="2:8" ht="24.75" customHeight="1" x14ac:dyDescent="0.15">
      <c r="B274" s="691"/>
      <c r="C274" s="785" t="s">
        <v>1500</v>
      </c>
      <c r="D274" s="786"/>
      <c r="E274" s="786"/>
      <c r="F274" s="787"/>
      <c r="G274" s="695"/>
      <c r="H274" s="203"/>
    </row>
    <row r="275" spans="2:8" x14ac:dyDescent="0.15">
      <c r="B275" s="722"/>
      <c r="C275" s="723"/>
      <c r="D275" s="723"/>
      <c r="E275" s="723"/>
      <c r="F275" s="723"/>
      <c r="G275" s="724"/>
      <c r="H275" s="201"/>
    </row>
    <row r="276" spans="2:8" ht="21" customHeight="1" x14ac:dyDescent="0.15">
      <c r="B276" s="699"/>
      <c r="C276" s="725" t="s">
        <v>1389</v>
      </c>
      <c r="D276" s="725"/>
      <c r="E276" s="725"/>
      <c r="F276" s="725"/>
      <c r="G276" s="698"/>
      <c r="H276" s="203"/>
    </row>
    <row r="277" spans="2:8" x14ac:dyDescent="0.15">
      <c r="B277" s="712"/>
      <c r="C277" s="713"/>
      <c r="D277" s="713"/>
      <c r="E277" s="713"/>
      <c r="F277" s="713"/>
      <c r="G277" s="714"/>
      <c r="H277" s="205"/>
    </row>
    <row r="278" spans="2:8" ht="18" customHeight="1" x14ac:dyDescent="0.15">
      <c r="B278" s="663" t="s">
        <v>247</v>
      </c>
      <c r="C278" s="759" t="s">
        <v>837</v>
      </c>
      <c r="D278" s="759"/>
      <c r="E278" s="759"/>
      <c r="F278" s="759"/>
      <c r="G278" s="760"/>
      <c r="H278" s="201"/>
    </row>
    <row r="279" spans="2:8" x14ac:dyDescent="0.15">
      <c r="B279" s="370">
        <v>1</v>
      </c>
      <c r="C279" s="736" t="s">
        <v>12</v>
      </c>
      <c r="D279" s="736"/>
      <c r="E279" s="736"/>
      <c r="F279" s="736"/>
      <c r="G279" s="737"/>
      <c r="H279" s="201"/>
    </row>
    <row r="280" spans="2:8" x14ac:dyDescent="0.15">
      <c r="B280" s="370" t="s">
        <v>220</v>
      </c>
      <c r="C280" s="484" t="s">
        <v>46</v>
      </c>
      <c r="D280" s="487" t="s">
        <v>5</v>
      </c>
      <c r="E280" s="70">
        <f>'CANT. DE OBRA PALENQUITO '!K15</f>
        <v>63.233099999999993</v>
      </c>
      <c r="F280" s="485"/>
      <c r="G280" s="486"/>
      <c r="H280" s="202"/>
    </row>
    <row r="281" spans="2:8" x14ac:dyDescent="0.15">
      <c r="B281" s="370" t="s">
        <v>221</v>
      </c>
      <c r="C281" s="484" t="s">
        <v>844</v>
      </c>
      <c r="D281" s="487" t="s">
        <v>5</v>
      </c>
      <c r="E281" s="70">
        <f>'CANT. DE OBRA PALENQUITO '!K22</f>
        <v>252</v>
      </c>
      <c r="F281" s="485"/>
      <c r="G281" s="486"/>
      <c r="H281" s="202"/>
    </row>
    <row r="282" spans="2:8" x14ac:dyDescent="0.15">
      <c r="B282" s="370" t="s">
        <v>489</v>
      </c>
      <c r="C282" s="484" t="s">
        <v>846</v>
      </c>
      <c r="D282" s="487" t="s">
        <v>5</v>
      </c>
      <c r="E282" s="70">
        <f>'CANT. DE OBRA PALENQUITO '!K29</f>
        <v>214.27350000000001</v>
      </c>
      <c r="F282" s="485"/>
      <c r="G282" s="486"/>
      <c r="H282" s="202"/>
    </row>
    <row r="283" spans="2:8" x14ac:dyDescent="0.15">
      <c r="B283" s="370" t="s">
        <v>492</v>
      </c>
      <c r="C283" s="484" t="s">
        <v>845</v>
      </c>
      <c r="D283" s="487" t="s">
        <v>7</v>
      </c>
      <c r="E283" s="70">
        <f>'CANT. DE OBRA PALENQUITO '!K36</f>
        <v>171.99995999999999</v>
      </c>
      <c r="F283" s="485"/>
      <c r="G283" s="486"/>
      <c r="H283" s="202"/>
    </row>
    <row r="284" spans="2:8" x14ac:dyDescent="0.15">
      <c r="B284" s="370" t="s">
        <v>622</v>
      </c>
      <c r="C284" s="484" t="s">
        <v>847</v>
      </c>
      <c r="D284" s="487" t="s">
        <v>19</v>
      </c>
      <c r="E284" s="70">
        <f>'CANT. DE OBRA PALENQUITO '!K43</f>
        <v>1</v>
      </c>
      <c r="F284" s="485"/>
      <c r="G284" s="486"/>
      <c r="H284" s="202"/>
    </row>
    <row r="285" spans="2:8" x14ac:dyDescent="0.15">
      <c r="B285" s="370" t="s">
        <v>838</v>
      </c>
      <c r="C285" s="484" t="s">
        <v>848</v>
      </c>
      <c r="D285" s="487" t="s">
        <v>319</v>
      </c>
      <c r="E285" s="70">
        <f>'CANT. DE OBRA PALENQUITO '!K50</f>
        <v>1</v>
      </c>
      <c r="F285" s="485"/>
      <c r="G285" s="486"/>
      <c r="H285" s="202"/>
    </row>
    <row r="286" spans="2:8" x14ac:dyDescent="0.15">
      <c r="B286" s="370" t="s">
        <v>839</v>
      </c>
      <c r="C286" s="484" t="s">
        <v>849</v>
      </c>
      <c r="D286" s="487" t="s">
        <v>319</v>
      </c>
      <c r="E286" s="70">
        <f>'CANT. DE OBRA PALENQUITO '!K57</f>
        <v>1</v>
      </c>
      <c r="F286" s="485"/>
      <c r="G286" s="486"/>
      <c r="H286" s="202"/>
    </row>
    <row r="287" spans="2:8" x14ac:dyDescent="0.15">
      <c r="B287" s="370" t="s">
        <v>840</v>
      </c>
      <c r="C287" s="484" t="s">
        <v>850</v>
      </c>
      <c r="D287" s="487" t="s">
        <v>5</v>
      </c>
      <c r="E287" s="70">
        <f>'CANT. DE OBRA PALENQUITO '!K64</f>
        <v>29.674999999999997</v>
      </c>
      <c r="F287" s="485"/>
      <c r="G287" s="486"/>
      <c r="H287" s="202"/>
    </row>
    <row r="288" spans="2:8" x14ac:dyDescent="0.15">
      <c r="B288" s="370" t="s">
        <v>841</v>
      </c>
      <c r="C288" s="484" t="s">
        <v>886</v>
      </c>
      <c r="D288" s="487" t="s">
        <v>5</v>
      </c>
      <c r="E288" s="70">
        <f>'CANT. DE OBRA PALENQUITO '!K73</f>
        <v>49.673199999999994</v>
      </c>
      <c r="F288" s="485"/>
      <c r="G288" s="486"/>
      <c r="H288" s="202"/>
    </row>
    <row r="289" spans="2:8" x14ac:dyDescent="0.15">
      <c r="B289" s="370" t="s">
        <v>842</v>
      </c>
      <c r="C289" s="484" t="s">
        <v>986</v>
      </c>
      <c r="D289" s="487" t="s">
        <v>193</v>
      </c>
      <c r="E289" s="70">
        <f>'CANT. DE OBRA PALENQUITO '!K80</f>
        <v>10.5</v>
      </c>
      <c r="F289" s="485"/>
      <c r="G289" s="486"/>
      <c r="H289" s="202"/>
    </row>
    <row r="290" spans="2:8" x14ac:dyDescent="0.15">
      <c r="B290" s="370" t="s">
        <v>878</v>
      </c>
      <c r="C290" s="484" t="s">
        <v>888</v>
      </c>
      <c r="D290" s="487" t="s">
        <v>5</v>
      </c>
      <c r="E290" s="70">
        <f>'CANT. DE OBRA PALENQUITO '!K89</f>
        <v>63.233099999999993</v>
      </c>
      <c r="F290" s="485"/>
      <c r="G290" s="486"/>
      <c r="H290" s="202"/>
    </row>
    <row r="291" spans="2:8" x14ac:dyDescent="0.15">
      <c r="B291" s="370" t="s">
        <v>889</v>
      </c>
      <c r="C291" s="484" t="s">
        <v>843</v>
      </c>
      <c r="D291" s="487" t="s">
        <v>5</v>
      </c>
      <c r="E291" s="70">
        <f>'CANT. DE OBRA PALENQUITO '!K96</f>
        <v>391.69799999999992</v>
      </c>
      <c r="F291" s="485"/>
      <c r="G291" s="486"/>
      <c r="H291" s="202"/>
    </row>
    <row r="292" spans="2:8" x14ac:dyDescent="0.15">
      <c r="B292" s="370" t="s">
        <v>1174</v>
      </c>
      <c r="C292" s="484" t="s">
        <v>494</v>
      </c>
      <c r="D292" s="487" t="s">
        <v>6</v>
      </c>
      <c r="E292" s="70">
        <f>'CANT. DE OBRA PALENQUITO '!K107</f>
        <v>49.44285450000001</v>
      </c>
      <c r="F292" s="485"/>
      <c r="G292" s="486"/>
      <c r="H292" s="202"/>
    </row>
    <row r="293" spans="2:8" ht="16.5" customHeight="1" x14ac:dyDescent="0.15">
      <c r="B293" s="370"/>
      <c r="C293" s="731" t="s">
        <v>11</v>
      </c>
      <c r="D293" s="732"/>
      <c r="E293" s="732"/>
      <c r="F293" s="733"/>
      <c r="G293" s="234"/>
      <c r="H293" s="203"/>
    </row>
    <row r="294" spans="2:8" ht="8.25" customHeight="1" x14ac:dyDescent="0.15">
      <c r="B294" s="719"/>
      <c r="C294" s="720"/>
      <c r="D294" s="720"/>
      <c r="E294" s="720"/>
      <c r="F294" s="720"/>
      <c r="G294" s="721"/>
      <c r="H294" s="200"/>
    </row>
    <row r="295" spans="2:8" x14ac:dyDescent="0.15">
      <c r="B295" s="370">
        <v>2</v>
      </c>
      <c r="C295" s="736" t="s">
        <v>115</v>
      </c>
      <c r="D295" s="736"/>
      <c r="E295" s="736"/>
      <c r="F295" s="736"/>
      <c r="G295" s="737"/>
      <c r="H295" s="201"/>
    </row>
    <row r="296" spans="2:8" x14ac:dyDescent="0.15">
      <c r="B296" s="370" t="s">
        <v>216</v>
      </c>
      <c r="C296" s="484" t="s">
        <v>890</v>
      </c>
      <c r="D296" s="487" t="s">
        <v>6</v>
      </c>
      <c r="E296" s="70">
        <f>'CANT. DE OBRA PALENQUITO '!K121</f>
        <v>11.477499999999999</v>
      </c>
      <c r="F296" s="485"/>
      <c r="G296" s="486"/>
      <c r="H296" s="202"/>
    </row>
    <row r="297" spans="2:8" x14ac:dyDescent="0.15">
      <c r="B297" s="370" t="s">
        <v>217</v>
      </c>
      <c r="C297" s="484" t="s">
        <v>491</v>
      </c>
      <c r="D297" s="487" t="s">
        <v>6</v>
      </c>
      <c r="E297" s="70">
        <f>'CANT. DE OBRA PALENQUITO '!K130</f>
        <v>1.1409999999999998</v>
      </c>
      <c r="F297" s="485"/>
      <c r="G297" s="486"/>
      <c r="H297" s="202"/>
    </row>
    <row r="298" spans="2:8" ht="26" x14ac:dyDescent="0.15">
      <c r="B298" s="370" t="s">
        <v>218</v>
      </c>
      <c r="C298" s="484" t="s">
        <v>1004</v>
      </c>
      <c r="D298" s="487" t="s">
        <v>6</v>
      </c>
      <c r="E298" s="70">
        <f>'CANT. DE OBRA PALENQUITO '!L144</f>
        <v>67.172280000000001</v>
      </c>
      <c r="F298" s="485"/>
      <c r="G298" s="486"/>
      <c r="H298" s="202"/>
    </row>
    <row r="299" spans="2:8" ht="27.75" customHeight="1" x14ac:dyDescent="0.15">
      <c r="B299" s="370" t="s">
        <v>219</v>
      </c>
      <c r="C299" s="484" t="s">
        <v>494</v>
      </c>
      <c r="D299" s="487" t="s">
        <v>6</v>
      </c>
      <c r="E299" s="70">
        <f>'CANT. DE OBRA PALENQUITO '!K153</f>
        <v>13.43745</v>
      </c>
      <c r="F299" s="485"/>
      <c r="G299" s="486"/>
      <c r="H299" s="202"/>
    </row>
    <row r="300" spans="2:8" ht="16.5" customHeight="1" x14ac:dyDescent="0.15">
      <c r="B300" s="370"/>
      <c r="C300" s="731" t="s">
        <v>10</v>
      </c>
      <c r="D300" s="732"/>
      <c r="E300" s="732"/>
      <c r="F300" s="733"/>
      <c r="G300" s="234"/>
      <c r="H300" s="203"/>
    </row>
    <row r="301" spans="2:8" ht="8.25" customHeight="1" x14ac:dyDescent="0.15">
      <c r="B301" s="728"/>
      <c r="C301" s="729"/>
      <c r="D301" s="729"/>
      <c r="E301" s="729"/>
      <c r="F301" s="729"/>
      <c r="G301" s="730"/>
      <c r="H301" s="200"/>
    </row>
    <row r="302" spans="2:8" x14ac:dyDescent="0.15">
      <c r="B302" s="176">
        <v>3</v>
      </c>
      <c r="C302" s="726" t="s">
        <v>18</v>
      </c>
      <c r="D302" s="726"/>
      <c r="E302" s="726"/>
      <c r="F302" s="726"/>
      <c r="G302" s="727"/>
      <c r="H302" s="204"/>
    </row>
    <row r="303" spans="2:8" x14ac:dyDescent="0.15">
      <c r="B303" s="370" t="s">
        <v>210</v>
      </c>
      <c r="C303" s="484" t="s">
        <v>568</v>
      </c>
      <c r="D303" s="487" t="s">
        <v>6</v>
      </c>
      <c r="E303" s="70">
        <f>'CANT. DE OBRA PALENQUITO '!K163</f>
        <v>0.32750000000000001</v>
      </c>
      <c r="F303" s="485"/>
      <c r="G303" s="486"/>
      <c r="H303" s="202"/>
    </row>
    <row r="304" spans="2:8" ht="40.5" customHeight="1" x14ac:dyDescent="0.15">
      <c r="B304" s="370" t="s">
        <v>211</v>
      </c>
      <c r="C304" s="484" t="s">
        <v>629</v>
      </c>
      <c r="D304" s="487" t="s">
        <v>319</v>
      </c>
      <c r="E304" s="70">
        <f>'CANT. DE OBRA PALENQUITO '!K170</f>
        <v>1</v>
      </c>
      <c r="F304" s="485"/>
      <c r="G304" s="486"/>
      <c r="H304" s="202"/>
    </row>
    <row r="305" spans="2:8" ht="40.5" customHeight="1" x14ac:dyDescent="0.15">
      <c r="B305" s="370" t="s">
        <v>212</v>
      </c>
      <c r="C305" s="484" t="s">
        <v>1546</v>
      </c>
      <c r="D305" s="487" t="s">
        <v>319</v>
      </c>
      <c r="E305" s="70">
        <f>'CANT. DE OBRA PALENQUITO '!K178</f>
        <v>5</v>
      </c>
      <c r="F305" s="485"/>
      <c r="G305" s="486"/>
      <c r="H305" s="202"/>
    </row>
    <row r="306" spans="2:8" ht="40.5" customHeight="1" x14ac:dyDescent="0.15">
      <c r="B306" s="370" t="s">
        <v>601</v>
      </c>
      <c r="C306" s="484" t="s">
        <v>1519</v>
      </c>
      <c r="D306" s="487" t="s">
        <v>7</v>
      </c>
      <c r="E306" s="70">
        <f>'CANT. DE OBRA PALENQUITO '!K188</f>
        <v>62.429999999999993</v>
      </c>
      <c r="F306" s="485"/>
      <c r="G306" s="486"/>
      <c r="H306" s="202"/>
    </row>
    <row r="307" spans="2:8" ht="40.5" customHeight="1" x14ac:dyDescent="0.15">
      <c r="B307" s="370" t="s">
        <v>215</v>
      </c>
      <c r="C307" s="484" t="s">
        <v>1585</v>
      </c>
      <c r="D307" s="487" t="s">
        <v>7</v>
      </c>
      <c r="E307" s="70">
        <f>'CANT. DE OBRA PALENQUITO '!K195</f>
        <v>1.5</v>
      </c>
      <c r="F307" s="485"/>
      <c r="G307" s="486"/>
      <c r="H307" s="202"/>
    </row>
    <row r="308" spans="2:8" ht="40.5" customHeight="1" x14ac:dyDescent="0.15">
      <c r="B308" s="370" t="s">
        <v>226</v>
      </c>
      <c r="C308" s="484" t="s">
        <v>1549</v>
      </c>
      <c r="D308" s="487" t="s">
        <v>7</v>
      </c>
      <c r="E308" s="70">
        <f>'CANT. DE OBRA PALENQUITO '!K202</f>
        <v>4</v>
      </c>
      <c r="F308" s="485"/>
      <c r="G308" s="486"/>
      <c r="H308" s="202"/>
    </row>
    <row r="309" spans="2:8" ht="40.5" customHeight="1" x14ac:dyDescent="0.15">
      <c r="B309" s="370" t="s">
        <v>228</v>
      </c>
      <c r="C309" s="484" t="s">
        <v>1520</v>
      </c>
      <c r="D309" s="487" t="s">
        <v>7</v>
      </c>
      <c r="E309" s="70">
        <f>'CANT. DE OBRA PALENQUITO '!K210</f>
        <v>22.5</v>
      </c>
      <c r="F309" s="485"/>
      <c r="G309" s="486"/>
      <c r="H309" s="202"/>
    </row>
    <row r="310" spans="2:8" ht="26" x14ac:dyDescent="0.15">
      <c r="B310" s="370" t="s">
        <v>229</v>
      </c>
      <c r="C310" s="484" t="s">
        <v>1550</v>
      </c>
      <c r="D310" s="487" t="s">
        <v>7</v>
      </c>
      <c r="E310" s="70">
        <f>'CANT. DE OBRA PALENQUITO '!K218</f>
        <v>19.909999999999997</v>
      </c>
      <c r="F310" s="485"/>
      <c r="G310" s="486"/>
      <c r="H310" s="202"/>
    </row>
    <row r="311" spans="2:8" ht="26" x14ac:dyDescent="0.15">
      <c r="B311" s="370" t="s">
        <v>230</v>
      </c>
      <c r="C311" s="484" t="s">
        <v>1521</v>
      </c>
      <c r="D311" s="487" t="s">
        <v>7</v>
      </c>
      <c r="E311" s="70">
        <f>'CANT. DE OBRA PALENQUITO '!K226</f>
        <v>19.909999999999997</v>
      </c>
      <c r="F311" s="485"/>
      <c r="G311" s="486"/>
      <c r="H311" s="202"/>
    </row>
    <row r="312" spans="2:8" ht="26" x14ac:dyDescent="0.15">
      <c r="B312" s="370" t="s">
        <v>602</v>
      </c>
      <c r="C312" s="484" t="s">
        <v>1581</v>
      </c>
      <c r="D312" s="487" t="s">
        <v>5</v>
      </c>
      <c r="E312" s="70">
        <f>'CANT. DE OBRA PALENQUITO '!K235</f>
        <v>25.823999999999998</v>
      </c>
      <c r="F312" s="485"/>
      <c r="G312" s="486"/>
      <c r="H312" s="202"/>
    </row>
    <row r="313" spans="2:8" ht="26" x14ac:dyDescent="0.15">
      <c r="B313" s="370" t="s">
        <v>631</v>
      </c>
      <c r="C313" s="484" t="s">
        <v>1522</v>
      </c>
      <c r="D313" s="487" t="s">
        <v>5</v>
      </c>
      <c r="E313" s="70">
        <f>'CANT. DE OBRA PALENQUITO '!K242</f>
        <v>1.44</v>
      </c>
      <c r="F313" s="485"/>
      <c r="G313" s="486"/>
      <c r="H313" s="202"/>
    </row>
    <row r="314" spans="2:8" ht="27" customHeight="1" x14ac:dyDescent="0.15">
      <c r="B314" s="370" t="s">
        <v>632</v>
      </c>
      <c r="C314" s="484" t="s">
        <v>1531</v>
      </c>
      <c r="D314" s="487" t="s">
        <v>5</v>
      </c>
      <c r="E314" s="70">
        <f>'CANT. DE OBRA PALENQUITO '!K252</f>
        <v>85.045799999999986</v>
      </c>
      <c r="F314" s="485"/>
      <c r="G314" s="486"/>
      <c r="H314" s="202"/>
    </row>
    <row r="315" spans="2:8" ht="26" x14ac:dyDescent="0.15">
      <c r="B315" s="370" t="s">
        <v>661</v>
      </c>
      <c r="C315" s="484" t="s">
        <v>895</v>
      </c>
      <c r="D315" s="487" t="s">
        <v>5</v>
      </c>
      <c r="E315" s="70">
        <f>'CANT. DE OBRA PALENQUITO '!K260</f>
        <v>28.262499999999996</v>
      </c>
      <c r="F315" s="485"/>
      <c r="G315" s="486"/>
      <c r="H315" s="202"/>
    </row>
    <row r="316" spans="2:8" ht="16.5" customHeight="1" x14ac:dyDescent="0.15">
      <c r="B316" s="370"/>
      <c r="C316" s="731" t="s">
        <v>13</v>
      </c>
      <c r="D316" s="732"/>
      <c r="E316" s="732"/>
      <c r="F316" s="733"/>
      <c r="G316" s="234"/>
      <c r="H316" s="203"/>
    </row>
    <row r="317" spans="2:8" ht="8.25" customHeight="1" x14ac:dyDescent="0.15">
      <c r="B317" s="728"/>
      <c r="C317" s="729"/>
      <c r="D317" s="729"/>
      <c r="E317" s="729"/>
      <c r="F317" s="729"/>
      <c r="G317" s="730"/>
      <c r="H317" s="200"/>
    </row>
    <row r="318" spans="2:8" x14ac:dyDescent="0.15">
      <c r="B318" s="176">
        <v>4</v>
      </c>
      <c r="C318" s="726" t="s">
        <v>80</v>
      </c>
      <c r="D318" s="726"/>
      <c r="E318" s="726"/>
      <c r="F318" s="726"/>
      <c r="G318" s="727"/>
      <c r="H318" s="201"/>
    </row>
    <row r="319" spans="2:8" x14ac:dyDescent="0.15">
      <c r="B319" s="370" t="s">
        <v>265</v>
      </c>
      <c r="C319" s="484" t="s">
        <v>167</v>
      </c>
      <c r="D319" s="487" t="s">
        <v>5</v>
      </c>
      <c r="E319" s="70">
        <f>'CANT. DE OBRA PALENQUITO '!K269</f>
        <v>74.1845</v>
      </c>
      <c r="F319" s="485"/>
      <c r="G319" s="486"/>
      <c r="H319" s="202"/>
    </row>
    <row r="320" spans="2:8" ht="15" customHeight="1" x14ac:dyDescent="0.15">
      <c r="B320" s="370" t="s">
        <v>266</v>
      </c>
      <c r="C320" s="484" t="s">
        <v>1025</v>
      </c>
      <c r="D320" s="487" t="s">
        <v>5</v>
      </c>
      <c r="E320" s="70">
        <f>'CANT. DE OBRA PALENQUITO '!K278</f>
        <v>148.369</v>
      </c>
      <c r="F320" s="485"/>
      <c r="G320" s="486"/>
      <c r="H320" s="202"/>
    </row>
    <row r="321" spans="2:8" ht="16.5" customHeight="1" x14ac:dyDescent="0.15">
      <c r="B321" s="370"/>
      <c r="C321" s="731" t="s">
        <v>14</v>
      </c>
      <c r="D321" s="732"/>
      <c r="E321" s="732"/>
      <c r="F321" s="733"/>
      <c r="G321" s="234"/>
      <c r="H321" s="203"/>
    </row>
    <row r="322" spans="2:8" ht="8.25" customHeight="1" x14ac:dyDescent="0.15">
      <c r="B322" s="728"/>
      <c r="C322" s="729"/>
      <c r="D322" s="729"/>
      <c r="E322" s="729"/>
      <c r="F322" s="729"/>
      <c r="G322" s="730"/>
      <c r="H322" s="200"/>
    </row>
    <row r="323" spans="2:8" x14ac:dyDescent="0.15">
      <c r="B323" s="176">
        <v>5</v>
      </c>
      <c r="C323" s="726" t="s">
        <v>9</v>
      </c>
      <c r="D323" s="726"/>
      <c r="E323" s="726"/>
      <c r="F323" s="726"/>
      <c r="G323" s="727"/>
      <c r="H323" s="201"/>
    </row>
    <row r="324" spans="2:8" x14ac:dyDescent="0.15">
      <c r="B324" s="370" t="s">
        <v>231</v>
      </c>
      <c r="C324" s="484" t="s">
        <v>184</v>
      </c>
      <c r="D324" s="487" t="s">
        <v>5</v>
      </c>
      <c r="E324" s="70">
        <f>'CANT. DE OBRA PALENQUITO '!K288</f>
        <v>169.96899999999999</v>
      </c>
      <c r="F324" s="485"/>
      <c r="G324" s="486"/>
      <c r="H324" s="202"/>
    </row>
    <row r="325" spans="2:8" x14ac:dyDescent="0.15">
      <c r="B325" s="370" t="s">
        <v>232</v>
      </c>
      <c r="C325" s="484" t="s">
        <v>854</v>
      </c>
      <c r="D325" s="487" t="s">
        <v>5</v>
      </c>
      <c r="E325" s="70">
        <f>'CANT. DE OBRA PALENQUITO '!K296</f>
        <v>663.62999999999988</v>
      </c>
      <c r="F325" s="485"/>
      <c r="G325" s="486"/>
      <c r="H325" s="202"/>
    </row>
    <row r="326" spans="2:8" x14ac:dyDescent="0.15">
      <c r="B326" s="370" t="s">
        <v>243</v>
      </c>
      <c r="C326" s="484" t="s">
        <v>870</v>
      </c>
      <c r="D326" s="487" t="s">
        <v>7</v>
      </c>
      <c r="E326" s="70">
        <f>'CANT. DE OBRA PALENQUITO '!K303</f>
        <v>164.02</v>
      </c>
      <c r="F326" s="485"/>
      <c r="G326" s="486"/>
      <c r="H326" s="202"/>
    </row>
    <row r="327" spans="2:8" x14ac:dyDescent="0.15">
      <c r="B327" s="370" t="s">
        <v>672</v>
      </c>
      <c r="C327" s="484" t="s">
        <v>851</v>
      </c>
      <c r="D327" s="487" t="s">
        <v>5</v>
      </c>
      <c r="E327" s="70">
        <f>'CANT. DE OBRA PALENQUITO '!K310</f>
        <v>214.27350000000001</v>
      </c>
      <c r="F327" s="485"/>
      <c r="G327" s="486"/>
      <c r="H327" s="202"/>
    </row>
    <row r="328" spans="2:8" x14ac:dyDescent="0.15">
      <c r="B328" s="370" t="s">
        <v>673</v>
      </c>
      <c r="C328" s="484" t="s">
        <v>852</v>
      </c>
      <c r="D328" s="487" t="s">
        <v>5</v>
      </c>
      <c r="E328" s="70">
        <f>'CANT. DE OBRA PALENQUITO '!K320</f>
        <v>85.045799999999986</v>
      </c>
      <c r="F328" s="485"/>
      <c r="G328" s="486"/>
      <c r="H328" s="202"/>
    </row>
    <row r="329" spans="2:8" x14ac:dyDescent="0.15">
      <c r="B329" s="370" t="s">
        <v>898</v>
      </c>
      <c r="C329" s="484" t="s">
        <v>913</v>
      </c>
      <c r="D329" s="487" t="s">
        <v>7</v>
      </c>
      <c r="E329" s="70">
        <f>'CANT. DE OBRA PALENQUITO '!K330</f>
        <v>53.589999999999996</v>
      </c>
      <c r="F329" s="485"/>
      <c r="G329" s="486"/>
      <c r="H329" s="202"/>
    </row>
    <row r="330" spans="2:8" x14ac:dyDescent="0.15">
      <c r="B330" s="176"/>
      <c r="C330" s="716" t="s">
        <v>15</v>
      </c>
      <c r="D330" s="716"/>
      <c r="E330" s="716"/>
      <c r="F330" s="716"/>
      <c r="G330" s="234"/>
      <c r="H330" s="203"/>
    </row>
    <row r="331" spans="2:8" ht="8.25" customHeight="1" x14ac:dyDescent="0.15">
      <c r="B331" s="728"/>
      <c r="C331" s="729"/>
      <c r="D331" s="729"/>
      <c r="E331" s="729"/>
      <c r="F331" s="729"/>
      <c r="G331" s="730"/>
    </row>
    <row r="332" spans="2:8" x14ac:dyDescent="0.15">
      <c r="B332" s="176">
        <v>6</v>
      </c>
      <c r="C332" s="726" t="s">
        <v>684</v>
      </c>
      <c r="D332" s="726"/>
      <c r="E332" s="726"/>
      <c r="F332" s="726"/>
      <c r="G332" s="727"/>
    </row>
    <row r="333" spans="2:8" x14ac:dyDescent="0.15">
      <c r="B333" s="370" t="s">
        <v>591</v>
      </c>
      <c r="C333" s="484" t="s">
        <v>915</v>
      </c>
      <c r="D333" s="487" t="s">
        <v>19</v>
      </c>
      <c r="E333" s="70">
        <f>'CANT. DE OBRA PALENQUITO '!K337</f>
        <v>1</v>
      </c>
      <c r="F333" s="485"/>
      <c r="G333" s="486"/>
    </row>
    <row r="334" spans="2:8" ht="42" customHeight="1" x14ac:dyDescent="0.15">
      <c r="B334" s="370" t="s">
        <v>592</v>
      </c>
      <c r="C334" s="484" t="s">
        <v>859</v>
      </c>
      <c r="D334" s="694" t="s">
        <v>319</v>
      </c>
      <c r="E334" s="70">
        <f>'CANT. DE OBRA PALENQUITO '!K344</f>
        <v>1</v>
      </c>
      <c r="F334" s="485"/>
      <c r="G334" s="486"/>
    </row>
    <row r="335" spans="2:8" ht="12.75" customHeight="1" x14ac:dyDescent="0.15">
      <c r="B335" s="176"/>
      <c r="C335" s="726" t="s">
        <v>692</v>
      </c>
      <c r="D335" s="726"/>
      <c r="E335" s="726"/>
      <c r="F335" s="726"/>
      <c r="G335" s="480"/>
    </row>
    <row r="336" spans="2:8" x14ac:dyDescent="0.15">
      <c r="B336" s="709">
        <v>6.5</v>
      </c>
      <c r="C336" s="484" t="s">
        <v>693</v>
      </c>
      <c r="D336" s="694" t="s">
        <v>319</v>
      </c>
      <c r="E336" s="70">
        <f>'CANT. DE OBRA PALENQUITO '!K351</f>
        <v>1</v>
      </c>
      <c r="F336" s="485"/>
      <c r="G336" s="486"/>
    </row>
    <row r="337" spans="2:8" x14ac:dyDescent="0.15">
      <c r="B337" s="176"/>
      <c r="C337" s="716" t="s">
        <v>594</v>
      </c>
      <c r="D337" s="716"/>
      <c r="E337" s="716"/>
      <c r="F337" s="716"/>
      <c r="G337" s="234"/>
    </row>
    <row r="338" spans="2:8" ht="8.25" customHeight="1" x14ac:dyDescent="0.15">
      <c r="B338" s="728"/>
      <c r="C338" s="729"/>
      <c r="D338" s="729"/>
      <c r="E338" s="729"/>
      <c r="F338" s="729"/>
      <c r="G338" s="730"/>
    </row>
    <row r="339" spans="2:8" x14ac:dyDescent="0.15">
      <c r="B339" s="176">
        <v>7</v>
      </c>
      <c r="C339" s="726" t="s">
        <v>499</v>
      </c>
      <c r="D339" s="726"/>
      <c r="E339" s="726"/>
      <c r="F339" s="726"/>
      <c r="G339" s="727"/>
    </row>
    <row r="340" spans="2:8" x14ac:dyDescent="0.15">
      <c r="B340" s="370" t="s">
        <v>235</v>
      </c>
      <c r="C340" s="484" t="s">
        <v>916</v>
      </c>
      <c r="D340" s="487" t="s">
        <v>19</v>
      </c>
      <c r="E340" s="70">
        <f>'CANT. DE OBRA PALENQUITO '!K358</f>
        <v>1</v>
      </c>
      <c r="F340" s="485"/>
      <c r="G340" s="486"/>
    </row>
    <row r="341" spans="2:8" x14ac:dyDescent="0.15">
      <c r="B341" s="370" t="s">
        <v>236</v>
      </c>
      <c r="C341" s="484" t="s">
        <v>857</v>
      </c>
      <c r="D341" s="487" t="s">
        <v>319</v>
      </c>
      <c r="E341" s="70">
        <f>'CANT. DE OBRA PALENQUITO '!K365</f>
        <v>1</v>
      </c>
      <c r="F341" s="485"/>
      <c r="G341" s="486"/>
    </row>
    <row r="342" spans="2:8" ht="27" customHeight="1" x14ac:dyDescent="0.15">
      <c r="B342" s="370" t="s">
        <v>244</v>
      </c>
      <c r="C342" s="484" t="s">
        <v>858</v>
      </c>
      <c r="D342" s="487" t="s">
        <v>319</v>
      </c>
      <c r="E342" s="70">
        <f>'CANT. DE OBRA PALENQUITO '!K372</f>
        <v>1</v>
      </c>
      <c r="F342" s="485"/>
      <c r="G342" s="486"/>
    </row>
    <row r="343" spans="2:8" x14ac:dyDescent="0.15">
      <c r="B343" s="176"/>
      <c r="C343" s="716" t="s">
        <v>16</v>
      </c>
      <c r="D343" s="716"/>
      <c r="E343" s="716"/>
      <c r="F343" s="716"/>
      <c r="G343" s="234"/>
    </row>
    <row r="344" spans="2:8" ht="8.25" customHeight="1" x14ac:dyDescent="0.15">
      <c r="B344" s="728"/>
      <c r="C344" s="729"/>
      <c r="D344" s="729"/>
      <c r="E344" s="729"/>
      <c r="F344" s="729"/>
      <c r="G344" s="730"/>
      <c r="H344" s="200"/>
    </row>
    <row r="345" spans="2:8" x14ac:dyDescent="0.15">
      <c r="B345" s="176">
        <v>8</v>
      </c>
      <c r="C345" s="726" t="s">
        <v>500</v>
      </c>
      <c r="D345" s="726"/>
      <c r="E345" s="726"/>
      <c r="F345" s="726"/>
      <c r="G345" s="727"/>
      <c r="H345" s="201"/>
    </row>
    <row r="346" spans="2:8" x14ac:dyDescent="0.15">
      <c r="B346" s="370" t="s">
        <v>237</v>
      </c>
      <c r="C346" s="484" t="s">
        <v>860</v>
      </c>
      <c r="D346" s="487" t="s">
        <v>7</v>
      </c>
      <c r="E346" s="70">
        <f>'CANT. DE OBRA PALENQUITO '!K379</f>
        <v>80</v>
      </c>
      <c r="F346" s="485"/>
      <c r="G346" s="486"/>
      <c r="H346" s="202"/>
    </row>
    <row r="347" spans="2:8" x14ac:dyDescent="0.15">
      <c r="B347" s="370" t="s">
        <v>238</v>
      </c>
      <c r="C347" s="484" t="s">
        <v>865</v>
      </c>
      <c r="D347" s="487" t="s">
        <v>319</v>
      </c>
      <c r="E347" s="70">
        <f>'CANT. DE OBRA PALENQUITO '!K386</f>
        <v>1</v>
      </c>
      <c r="F347" s="485"/>
      <c r="G347" s="486"/>
      <c r="H347" s="202"/>
    </row>
    <row r="348" spans="2:8" x14ac:dyDescent="0.15">
      <c r="B348" s="370" t="s">
        <v>239</v>
      </c>
      <c r="C348" s="484" t="s">
        <v>866</v>
      </c>
      <c r="D348" s="487" t="s">
        <v>319</v>
      </c>
      <c r="E348" s="70">
        <f>'CANT. DE OBRA PALENQUITO '!K395</f>
        <v>63</v>
      </c>
      <c r="F348" s="485"/>
      <c r="G348" s="486"/>
      <c r="H348" s="202"/>
    </row>
    <row r="349" spans="2:8" x14ac:dyDescent="0.15">
      <c r="B349" s="370" t="s">
        <v>240</v>
      </c>
      <c r="C349" s="484" t="s">
        <v>862</v>
      </c>
      <c r="D349" s="487" t="s">
        <v>319</v>
      </c>
      <c r="E349" s="70">
        <f>'CANT. DE OBRA PALENQUITO '!K402</f>
        <v>25</v>
      </c>
      <c r="F349" s="485"/>
      <c r="G349" s="486"/>
      <c r="H349" s="202"/>
    </row>
    <row r="350" spans="2:8" x14ac:dyDescent="0.15">
      <c r="B350" s="370" t="s">
        <v>257</v>
      </c>
      <c r="C350" s="484" t="s">
        <v>863</v>
      </c>
      <c r="D350" s="487" t="s">
        <v>319</v>
      </c>
      <c r="E350" s="70">
        <f>'CANT. DE OBRA PALENQUITO '!K409</f>
        <v>15</v>
      </c>
      <c r="F350" s="485"/>
      <c r="G350" s="486"/>
      <c r="H350" s="202"/>
    </row>
    <row r="351" spans="2:8" x14ac:dyDescent="0.15">
      <c r="B351" s="370" t="s">
        <v>258</v>
      </c>
      <c r="C351" s="484" t="s">
        <v>864</v>
      </c>
      <c r="D351" s="487" t="s">
        <v>319</v>
      </c>
      <c r="E351" s="70">
        <f>'CANT. DE OBRA PALENQUITO '!K416</f>
        <v>23</v>
      </c>
      <c r="F351" s="485"/>
      <c r="G351" s="486"/>
      <c r="H351" s="202"/>
    </row>
    <row r="352" spans="2:8" x14ac:dyDescent="0.15">
      <c r="B352" s="370" t="s">
        <v>259</v>
      </c>
      <c r="C352" s="484" t="s">
        <v>861</v>
      </c>
      <c r="D352" s="487" t="s">
        <v>319</v>
      </c>
      <c r="E352" s="70">
        <f>'CANT. DE OBRA PALENQUITO '!K423</f>
        <v>12</v>
      </c>
      <c r="F352" s="485"/>
      <c r="G352" s="486"/>
      <c r="H352" s="202"/>
    </row>
    <row r="353" spans="2:8" x14ac:dyDescent="0.15">
      <c r="B353" s="176"/>
      <c r="C353" s="716" t="s">
        <v>17</v>
      </c>
      <c r="D353" s="716"/>
      <c r="E353" s="716"/>
      <c r="F353" s="716"/>
      <c r="G353" s="234"/>
      <c r="H353" s="203"/>
    </row>
    <row r="354" spans="2:8" ht="8.25" customHeight="1" x14ac:dyDescent="0.15">
      <c r="B354" s="728"/>
      <c r="C354" s="729"/>
      <c r="D354" s="729"/>
      <c r="E354" s="729"/>
      <c r="F354" s="729"/>
      <c r="G354" s="730"/>
      <c r="H354" s="200"/>
    </row>
    <row r="355" spans="2:8" x14ac:dyDescent="0.15">
      <c r="B355" s="176">
        <v>9</v>
      </c>
      <c r="C355" s="726" t="s">
        <v>107</v>
      </c>
      <c r="D355" s="726"/>
      <c r="E355" s="726"/>
      <c r="F355" s="726"/>
      <c r="G355" s="727"/>
      <c r="H355" s="201"/>
    </row>
    <row r="356" spans="2:8" ht="26" x14ac:dyDescent="0.15">
      <c r="B356" s="370" t="s">
        <v>249</v>
      </c>
      <c r="C356" s="484" t="s">
        <v>867</v>
      </c>
      <c r="D356" s="487" t="s">
        <v>7</v>
      </c>
      <c r="E356" s="70">
        <f>'CANT. DE OBRA PALENQUITO '!K430</f>
        <v>171.99995999999999</v>
      </c>
      <c r="F356" s="485"/>
      <c r="G356" s="486"/>
      <c r="H356" s="202"/>
    </row>
    <row r="357" spans="2:8" x14ac:dyDescent="0.15">
      <c r="B357" s="370" t="s">
        <v>250</v>
      </c>
      <c r="C357" s="484" t="s">
        <v>869</v>
      </c>
      <c r="D357" s="487" t="s">
        <v>7</v>
      </c>
      <c r="E357" s="70">
        <f>'CANT. DE OBRA PALENQUITO '!K437</f>
        <v>171.99995999999999</v>
      </c>
      <c r="F357" s="485"/>
      <c r="G357" s="486"/>
      <c r="H357" s="202"/>
    </row>
    <row r="358" spans="2:8" x14ac:dyDescent="0.15">
      <c r="B358" s="370" t="s">
        <v>251</v>
      </c>
      <c r="C358" s="484" t="s">
        <v>868</v>
      </c>
      <c r="D358" s="487" t="s">
        <v>5</v>
      </c>
      <c r="E358" s="70">
        <f>'CANT. DE OBRA PALENQUITO '!K444</f>
        <v>252</v>
      </c>
      <c r="F358" s="485"/>
      <c r="G358" s="486"/>
      <c r="H358" s="202"/>
    </row>
    <row r="359" spans="2:8" x14ac:dyDescent="0.15">
      <c r="B359" s="176"/>
      <c r="C359" s="716" t="s">
        <v>95</v>
      </c>
      <c r="D359" s="716"/>
      <c r="E359" s="716"/>
      <c r="F359" s="716"/>
      <c r="G359" s="234"/>
      <c r="H359" s="203"/>
    </row>
    <row r="360" spans="2:8" x14ac:dyDescent="0.15">
      <c r="B360" s="712"/>
      <c r="C360" s="713"/>
      <c r="D360" s="713"/>
      <c r="E360" s="713"/>
      <c r="F360" s="713"/>
      <c r="G360" s="714"/>
      <c r="H360" s="205"/>
    </row>
    <row r="361" spans="2:8" x14ac:dyDescent="0.15">
      <c r="B361" s="176">
        <v>10</v>
      </c>
      <c r="C361" s="726" t="s">
        <v>234</v>
      </c>
      <c r="D361" s="726"/>
      <c r="E361" s="726"/>
      <c r="F361" s="726"/>
      <c r="G361" s="727"/>
      <c r="H361" s="201"/>
    </row>
    <row r="362" spans="2:8" ht="26" x14ac:dyDescent="0.15">
      <c r="B362" s="370" t="s">
        <v>252</v>
      </c>
      <c r="C362" s="484" t="s">
        <v>853</v>
      </c>
      <c r="D362" s="487" t="s">
        <v>5</v>
      </c>
      <c r="E362" s="70">
        <f>'CANT. DE OBRA PALENQUITO '!K451</f>
        <v>29.674999999999997</v>
      </c>
      <c r="F362" s="485"/>
      <c r="G362" s="486"/>
      <c r="H362" s="202"/>
    </row>
    <row r="363" spans="2:8" x14ac:dyDescent="0.15">
      <c r="B363" s="370" t="s">
        <v>643</v>
      </c>
      <c r="C363" s="484" t="s">
        <v>856</v>
      </c>
      <c r="D363" s="487" t="s">
        <v>5</v>
      </c>
      <c r="E363" s="70">
        <f>'CANT. DE OBRA PALENQUITO '!K458</f>
        <v>29.674999999999997</v>
      </c>
      <c r="F363" s="485"/>
      <c r="G363" s="486"/>
      <c r="H363" s="202"/>
    </row>
    <row r="364" spans="2:8" x14ac:dyDescent="0.15">
      <c r="B364" s="370" t="s">
        <v>721</v>
      </c>
      <c r="C364" s="484" t="s">
        <v>855</v>
      </c>
      <c r="D364" s="487" t="s">
        <v>5</v>
      </c>
      <c r="E364" s="70">
        <f>'CANT. DE OBRA PALENQUITO '!K465</f>
        <v>11.399999999999999</v>
      </c>
      <c r="F364" s="485"/>
      <c r="G364" s="486"/>
      <c r="H364" s="202"/>
    </row>
    <row r="365" spans="2:8" x14ac:dyDescent="0.15">
      <c r="B365" s="176"/>
      <c r="C365" s="716" t="s">
        <v>253</v>
      </c>
      <c r="D365" s="716"/>
      <c r="E365" s="716"/>
      <c r="F365" s="716"/>
      <c r="G365" s="234"/>
      <c r="H365" s="203"/>
    </row>
    <row r="366" spans="2:8" ht="8.25" customHeight="1" x14ac:dyDescent="0.15">
      <c r="B366" s="728"/>
      <c r="C366" s="729"/>
      <c r="D366" s="729"/>
      <c r="E366" s="729"/>
      <c r="F366" s="729"/>
      <c r="G366" s="730"/>
      <c r="H366" s="200"/>
    </row>
    <row r="367" spans="2:8" x14ac:dyDescent="0.15">
      <c r="B367" s="176">
        <v>11</v>
      </c>
      <c r="C367" s="726" t="s">
        <v>521</v>
      </c>
      <c r="D367" s="726"/>
      <c r="E367" s="726"/>
      <c r="F367" s="726"/>
      <c r="G367" s="727"/>
      <c r="H367" s="201"/>
    </row>
    <row r="368" spans="2:8" x14ac:dyDescent="0.15">
      <c r="B368" s="370" t="s">
        <v>646</v>
      </c>
      <c r="C368" s="484" t="s">
        <v>959</v>
      </c>
      <c r="D368" s="487" t="s">
        <v>319</v>
      </c>
      <c r="E368" s="70">
        <f>'CANT. DE OBRA PALENQUITO '!K472</f>
        <v>5</v>
      </c>
      <c r="F368" s="485"/>
      <c r="G368" s="486"/>
      <c r="H368" s="202"/>
    </row>
    <row r="369" spans="2:8" x14ac:dyDescent="0.15">
      <c r="B369" s="370" t="s">
        <v>648</v>
      </c>
      <c r="C369" s="484" t="s">
        <v>1072</v>
      </c>
      <c r="D369" s="487" t="s">
        <v>5</v>
      </c>
      <c r="E369" s="70">
        <f>'CANT. DE OBRA PALENQUITO '!K480</f>
        <v>15.479999999999997</v>
      </c>
      <c r="F369" s="485"/>
      <c r="G369" s="486"/>
      <c r="H369" s="202"/>
    </row>
    <row r="370" spans="2:8" x14ac:dyDescent="0.15">
      <c r="B370" s="370"/>
      <c r="C370" s="716" t="s">
        <v>652</v>
      </c>
      <c r="D370" s="716"/>
      <c r="E370" s="716"/>
      <c r="F370" s="716"/>
      <c r="G370" s="234"/>
      <c r="H370" s="203"/>
    </row>
    <row r="371" spans="2:8" ht="8.25" customHeight="1" x14ac:dyDescent="0.15">
      <c r="B371" s="728"/>
      <c r="C371" s="729"/>
      <c r="D371" s="729"/>
      <c r="E371" s="729"/>
      <c r="F371" s="729"/>
      <c r="G371" s="730"/>
      <c r="H371" s="200"/>
    </row>
    <row r="372" spans="2:8" x14ac:dyDescent="0.15">
      <c r="B372" s="176">
        <v>12</v>
      </c>
      <c r="C372" s="726" t="s">
        <v>871</v>
      </c>
      <c r="D372" s="726"/>
      <c r="E372" s="726"/>
      <c r="F372" s="726"/>
      <c r="G372" s="727"/>
      <c r="H372" s="201"/>
    </row>
    <row r="373" spans="2:8" x14ac:dyDescent="0.15">
      <c r="B373" s="370" t="s">
        <v>723</v>
      </c>
      <c r="C373" s="484" t="s">
        <v>872</v>
      </c>
      <c r="D373" s="487" t="s">
        <v>19</v>
      </c>
      <c r="E373" s="70">
        <f>'CANT. DE OBRA PALENQUITO '!K488</f>
        <v>1</v>
      </c>
      <c r="F373" s="485"/>
      <c r="G373" s="486"/>
      <c r="H373" s="202"/>
    </row>
    <row r="374" spans="2:8" x14ac:dyDescent="0.15">
      <c r="B374" s="370" t="s">
        <v>724</v>
      </c>
      <c r="C374" s="484" t="s">
        <v>873</v>
      </c>
      <c r="D374" s="487" t="s">
        <v>19</v>
      </c>
      <c r="E374" s="70">
        <f>'CANT. DE OBRA PALENQUITO '!K495</f>
        <v>1</v>
      </c>
      <c r="F374" s="485"/>
      <c r="G374" s="486"/>
      <c r="H374" s="202"/>
    </row>
    <row r="375" spans="2:8" x14ac:dyDescent="0.15">
      <c r="B375" s="176"/>
      <c r="C375" s="716" t="s">
        <v>726</v>
      </c>
      <c r="D375" s="716"/>
      <c r="E375" s="716"/>
      <c r="F375" s="716"/>
      <c r="G375" s="417"/>
      <c r="H375" s="203"/>
    </row>
    <row r="376" spans="2:8" x14ac:dyDescent="0.15">
      <c r="B376" s="715"/>
      <c r="C376" s="716"/>
      <c r="D376" s="716"/>
      <c r="E376" s="716"/>
      <c r="F376" s="716"/>
      <c r="G376" s="717"/>
      <c r="H376" s="201"/>
    </row>
    <row r="377" spans="2:8" ht="26.25" customHeight="1" x14ac:dyDescent="0.15">
      <c r="B377" s="700"/>
      <c r="C377" s="775" t="s">
        <v>1137</v>
      </c>
      <c r="D377" s="775"/>
      <c r="E377" s="775"/>
      <c r="F377" s="775"/>
      <c r="G377" s="701"/>
      <c r="H377" s="203"/>
    </row>
    <row r="378" spans="2:8" ht="12" customHeight="1" x14ac:dyDescent="0.15">
      <c r="B378" s="719"/>
      <c r="C378" s="720"/>
      <c r="D378" s="720"/>
      <c r="E378" s="720"/>
      <c r="F378" s="720"/>
      <c r="G378" s="721"/>
      <c r="H378" s="200"/>
    </row>
    <row r="379" spans="2:8" ht="18" customHeight="1" x14ac:dyDescent="0.15">
      <c r="B379" s="670" t="s">
        <v>270</v>
      </c>
      <c r="C379" s="776" t="s">
        <v>1077</v>
      </c>
      <c r="D379" s="776"/>
      <c r="E379" s="776"/>
      <c r="F379" s="776"/>
      <c r="G379" s="777"/>
      <c r="H379" s="201"/>
    </row>
    <row r="380" spans="2:8" x14ac:dyDescent="0.15">
      <c r="B380" s="370">
        <v>1</v>
      </c>
      <c r="C380" s="736" t="s">
        <v>12</v>
      </c>
      <c r="D380" s="736"/>
      <c r="E380" s="736"/>
      <c r="F380" s="736"/>
      <c r="G380" s="737"/>
      <c r="H380" s="201"/>
    </row>
    <row r="381" spans="2:8" x14ac:dyDescent="0.15">
      <c r="B381" s="370" t="s">
        <v>220</v>
      </c>
      <c r="C381" s="484" t="s">
        <v>46</v>
      </c>
      <c r="D381" s="487" t="s">
        <v>5</v>
      </c>
      <c r="E381" s="70">
        <f>'CANT. DE OBRA CONCHITAS'!K13</f>
        <v>50.244999999999997</v>
      </c>
      <c r="F381" s="485"/>
      <c r="G381" s="486"/>
      <c r="H381" s="202"/>
    </row>
    <row r="382" spans="2:8" x14ac:dyDescent="0.15">
      <c r="B382" s="370" t="s">
        <v>221</v>
      </c>
      <c r="C382" s="484" t="s">
        <v>844</v>
      </c>
      <c r="D382" s="487" t="s">
        <v>5</v>
      </c>
      <c r="E382" s="70">
        <f>'CANT. DE OBRA CONCHITAS'!K20</f>
        <v>114.43</v>
      </c>
      <c r="F382" s="485"/>
      <c r="G382" s="486"/>
      <c r="H382" s="202"/>
    </row>
    <row r="383" spans="2:8" x14ac:dyDescent="0.15">
      <c r="B383" s="370" t="s">
        <v>489</v>
      </c>
      <c r="C383" s="484" t="s">
        <v>846</v>
      </c>
      <c r="D383" s="487" t="s">
        <v>5</v>
      </c>
      <c r="E383" s="70">
        <f>'CANT. DE OBRA CONCHITAS'!K27</f>
        <v>86.52</v>
      </c>
      <c r="F383" s="485"/>
      <c r="G383" s="486"/>
      <c r="H383" s="202"/>
    </row>
    <row r="384" spans="2:8" x14ac:dyDescent="0.15">
      <c r="B384" s="370" t="s">
        <v>492</v>
      </c>
      <c r="C384" s="484" t="s">
        <v>845</v>
      </c>
      <c r="D384" s="487" t="s">
        <v>7</v>
      </c>
      <c r="E384" s="70">
        <f>'CANT. DE OBRA CONCHITAS'!K35</f>
        <v>111.89999999999999</v>
      </c>
      <c r="F384" s="485"/>
      <c r="G384" s="486"/>
      <c r="H384" s="202"/>
    </row>
    <row r="385" spans="2:8" x14ac:dyDescent="0.15">
      <c r="B385" s="370" t="s">
        <v>622</v>
      </c>
      <c r="C385" s="484" t="s">
        <v>847</v>
      </c>
      <c r="D385" s="487" t="s">
        <v>19</v>
      </c>
      <c r="E385" s="70">
        <f>'CANT. DE OBRA CONCHITAS'!K42</f>
        <v>1</v>
      </c>
      <c r="F385" s="485"/>
      <c r="G385" s="486"/>
      <c r="H385" s="202"/>
    </row>
    <row r="386" spans="2:8" x14ac:dyDescent="0.15">
      <c r="B386" s="370" t="s">
        <v>889</v>
      </c>
      <c r="C386" s="484" t="s">
        <v>843</v>
      </c>
      <c r="D386" s="487" t="s">
        <v>5</v>
      </c>
      <c r="E386" s="70">
        <f>'CANT. DE OBRA CONCHITAS'!K49</f>
        <v>267.60000000000002</v>
      </c>
      <c r="F386" s="485"/>
      <c r="G386" s="486"/>
      <c r="H386" s="202"/>
    </row>
    <row r="387" spans="2:8" x14ac:dyDescent="0.15">
      <c r="B387" s="370" t="s">
        <v>994</v>
      </c>
      <c r="C387" s="484" t="s">
        <v>1068</v>
      </c>
      <c r="D387" s="487" t="s">
        <v>319</v>
      </c>
      <c r="E387" s="70">
        <f>'CANT. DE OBRA CONCHITAS'!K56</f>
        <v>6</v>
      </c>
      <c r="F387" s="485"/>
      <c r="G387" s="486"/>
      <c r="H387" s="202"/>
    </row>
    <row r="388" spans="2:8" ht="27.75" customHeight="1" x14ac:dyDescent="0.15">
      <c r="B388" s="710">
        <v>1.2</v>
      </c>
      <c r="C388" s="484" t="s">
        <v>494</v>
      </c>
      <c r="D388" s="487" t="s">
        <v>6</v>
      </c>
      <c r="E388" s="70">
        <f>'CANT. DE OBRA CONCHITAS'!K65</f>
        <v>13.06175</v>
      </c>
      <c r="F388" s="485"/>
      <c r="G388" s="486"/>
      <c r="H388" s="202"/>
    </row>
    <row r="389" spans="2:8" ht="16.5" customHeight="1" x14ac:dyDescent="0.15">
      <c r="B389" s="370"/>
      <c r="C389" s="731" t="s">
        <v>11</v>
      </c>
      <c r="D389" s="732"/>
      <c r="E389" s="732"/>
      <c r="F389" s="733"/>
      <c r="G389" s="234"/>
      <c r="H389" s="203"/>
    </row>
    <row r="390" spans="2:8" ht="8.25" customHeight="1" x14ac:dyDescent="0.15">
      <c r="B390" s="719"/>
      <c r="C390" s="720"/>
      <c r="D390" s="720"/>
      <c r="E390" s="720"/>
      <c r="F390" s="720"/>
      <c r="G390" s="721"/>
      <c r="H390" s="200"/>
    </row>
    <row r="391" spans="2:8" x14ac:dyDescent="0.15">
      <c r="B391" s="370">
        <v>2</v>
      </c>
      <c r="C391" s="736" t="s">
        <v>115</v>
      </c>
      <c r="D391" s="736"/>
      <c r="E391" s="736"/>
      <c r="F391" s="736"/>
      <c r="G391" s="737"/>
      <c r="H391" s="201"/>
    </row>
    <row r="392" spans="2:8" x14ac:dyDescent="0.15">
      <c r="B392" s="370" t="s">
        <v>216</v>
      </c>
      <c r="C392" s="484" t="s">
        <v>890</v>
      </c>
      <c r="D392" s="487" t="s">
        <v>6</v>
      </c>
      <c r="E392" s="70">
        <f>'CANT. DE OBRA CONCHITAS'!K75</f>
        <v>17.032625000000003</v>
      </c>
      <c r="F392" s="485"/>
      <c r="G392" s="486"/>
      <c r="H392" s="202"/>
    </row>
    <row r="393" spans="2:8" x14ac:dyDescent="0.15">
      <c r="B393" s="370" t="s">
        <v>217</v>
      </c>
      <c r="C393" s="484" t="s">
        <v>491</v>
      </c>
      <c r="D393" s="487" t="s">
        <v>6</v>
      </c>
      <c r="E393" s="70">
        <f>'CANT. DE OBRA CONCHITAS'!K82</f>
        <v>1.2870000000000004</v>
      </c>
      <c r="F393" s="485"/>
      <c r="G393" s="486"/>
      <c r="H393" s="202"/>
    </row>
    <row r="394" spans="2:8" ht="26" x14ac:dyDescent="0.15">
      <c r="B394" s="370" t="s">
        <v>218</v>
      </c>
      <c r="C394" s="484" t="s">
        <v>1004</v>
      </c>
      <c r="D394" s="487" t="s">
        <v>6</v>
      </c>
      <c r="E394" s="70">
        <f>'CANT. DE OBRA CONCHITAS'!L91</f>
        <v>6.5235000000000003</v>
      </c>
      <c r="F394" s="485"/>
      <c r="G394" s="486"/>
      <c r="H394" s="202"/>
    </row>
    <row r="395" spans="2:8" ht="27.75" customHeight="1" x14ac:dyDescent="0.15">
      <c r="B395" s="370" t="s">
        <v>219</v>
      </c>
      <c r="C395" s="484" t="s">
        <v>494</v>
      </c>
      <c r="D395" s="487" t="s">
        <v>6</v>
      </c>
      <c r="E395" s="70">
        <f>'CANT. DE OBRA CONCHITAS'!K98</f>
        <v>20.469312500000004</v>
      </c>
      <c r="F395" s="485"/>
      <c r="G395" s="486"/>
      <c r="H395" s="202"/>
    </row>
    <row r="396" spans="2:8" ht="16.5" customHeight="1" x14ac:dyDescent="0.15">
      <c r="B396" s="370"/>
      <c r="C396" s="731" t="s">
        <v>10</v>
      </c>
      <c r="D396" s="732"/>
      <c r="E396" s="732"/>
      <c r="F396" s="733"/>
      <c r="G396" s="234"/>
      <c r="H396" s="203"/>
    </row>
    <row r="397" spans="2:8" ht="8.25" customHeight="1" x14ac:dyDescent="0.15">
      <c r="B397" s="728"/>
      <c r="C397" s="729"/>
      <c r="D397" s="729"/>
      <c r="E397" s="729"/>
      <c r="F397" s="729"/>
      <c r="G397" s="730"/>
      <c r="H397" s="200"/>
    </row>
    <row r="398" spans="2:8" x14ac:dyDescent="0.15">
      <c r="B398" s="176">
        <v>3</v>
      </c>
      <c r="C398" s="726" t="s">
        <v>18</v>
      </c>
      <c r="D398" s="726"/>
      <c r="E398" s="726"/>
      <c r="F398" s="726"/>
      <c r="G398" s="727"/>
      <c r="H398" s="204"/>
    </row>
    <row r="399" spans="2:8" x14ac:dyDescent="0.15">
      <c r="B399" s="370" t="s">
        <v>210</v>
      </c>
      <c r="C399" s="484" t="s">
        <v>568</v>
      </c>
      <c r="D399" s="487" t="s">
        <v>6</v>
      </c>
      <c r="E399" s="70">
        <f>'CANT. DE OBRA CONCHITAS'!K107</f>
        <v>0.45150000000000007</v>
      </c>
      <c r="F399" s="485"/>
      <c r="G399" s="486"/>
      <c r="H399" s="202"/>
    </row>
    <row r="400" spans="2:8" ht="40.5" customHeight="1" x14ac:dyDescent="0.15">
      <c r="B400" s="370" t="s">
        <v>213</v>
      </c>
      <c r="C400" s="484" t="s">
        <v>1553</v>
      </c>
      <c r="D400" s="487" t="s">
        <v>319</v>
      </c>
      <c r="E400" s="70">
        <f>'CANT. DE OBRA CONCHITAS'!K114</f>
        <v>33</v>
      </c>
      <c r="F400" s="485"/>
      <c r="G400" s="486"/>
      <c r="H400" s="202"/>
    </row>
    <row r="401" spans="2:8" ht="40.5" customHeight="1" x14ac:dyDescent="0.15">
      <c r="B401" s="370" t="s">
        <v>601</v>
      </c>
      <c r="C401" s="484" t="s">
        <v>1519</v>
      </c>
      <c r="D401" s="487" t="s">
        <v>7</v>
      </c>
      <c r="E401" s="70">
        <f>'CANT. DE OBRA CONCHITAS'!K121</f>
        <v>100.49</v>
      </c>
      <c r="F401" s="485"/>
      <c r="G401" s="486"/>
      <c r="H401" s="202"/>
    </row>
    <row r="402" spans="2:8" ht="40.5" customHeight="1" x14ac:dyDescent="0.15">
      <c r="B402" s="370" t="s">
        <v>228</v>
      </c>
      <c r="C402" s="484" t="s">
        <v>1520</v>
      </c>
      <c r="D402" s="487" t="s">
        <v>7</v>
      </c>
      <c r="E402" s="70">
        <f>'CANT. DE OBRA CONCHITAS'!K128</f>
        <v>82.5</v>
      </c>
      <c r="F402" s="485"/>
      <c r="G402" s="486"/>
      <c r="H402" s="202"/>
    </row>
    <row r="403" spans="2:8" ht="26" x14ac:dyDescent="0.15">
      <c r="B403" s="370" t="s">
        <v>230</v>
      </c>
      <c r="C403" s="484" t="s">
        <v>1521</v>
      </c>
      <c r="D403" s="487" t="s">
        <v>7</v>
      </c>
      <c r="E403" s="70">
        <f>'CANT. DE OBRA CONCHITAS'!K135</f>
        <v>100.49</v>
      </c>
      <c r="F403" s="485"/>
      <c r="G403" s="486"/>
      <c r="H403" s="202"/>
    </row>
    <row r="404" spans="2:8" ht="26" x14ac:dyDescent="0.15">
      <c r="B404" s="370" t="s">
        <v>661</v>
      </c>
      <c r="C404" s="484" t="s">
        <v>895</v>
      </c>
      <c r="D404" s="487" t="s">
        <v>5</v>
      </c>
      <c r="E404" s="70">
        <f>'CANT. DE OBRA CONCHITAS'!K144</f>
        <v>32.1</v>
      </c>
      <c r="F404" s="485"/>
      <c r="G404" s="486"/>
      <c r="H404" s="202"/>
    </row>
    <row r="405" spans="2:8" ht="16.5" customHeight="1" x14ac:dyDescent="0.15">
      <c r="B405" s="370"/>
      <c r="C405" s="731" t="s">
        <v>13</v>
      </c>
      <c r="D405" s="732"/>
      <c r="E405" s="732"/>
      <c r="F405" s="733"/>
      <c r="G405" s="234"/>
      <c r="H405" s="203"/>
    </row>
    <row r="406" spans="2:8" ht="8.25" customHeight="1" x14ac:dyDescent="0.15">
      <c r="B406" s="728"/>
      <c r="C406" s="729"/>
      <c r="D406" s="729"/>
      <c r="E406" s="729"/>
      <c r="F406" s="729"/>
      <c r="G406" s="730"/>
      <c r="H406" s="200"/>
    </row>
    <row r="407" spans="2:8" x14ac:dyDescent="0.15">
      <c r="B407" s="176">
        <v>4</v>
      </c>
      <c r="C407" s="726" t="s">
        <v>80</v>
      </c>
      <c r="D407" s="726"/>
      <c r="E407" s="726"/>
      <c r="F407" s="726"/>
      <c r="G407" s="727"/>
      <c r="H407" s="201"/>
    </row>
    <row r="408" spans="2:8" x14ac:dyDescent="0.15">
      <c r="B408" s="370" t="s">
        <v>265</v>
      </c>
      <c r="C408" s="484" t="s">
        <v>167</v>
      </c>
      <c r="D408" s="487" t="s">
        <v>5</v>
      </c>
      <c r="E408" s="70">
        <f>'CANT. DE OBRA CONCHITAS'!K151</f>
        <v>184.48</v>
      </c>
      <c r="F408" s="485"/>
      <c r="G408" s="486"/>
      <c r="H408" s="202"/>
    </row>
    <row r="409" spans="2:8" ht="15" customHeight="1" x14ac:dyDescent="0.15">
      <c r="B409" s="370" t="s">
        <v>266</v>
      </c>
      <c r="C409" s="484" t="s">
        <v>1025</v>
      </c>
      <c r="D409" s="487" t="s">
        <v>5</v>
      </c>
      <c r="E409" s="70">
        <f>'CANT. DE OBRA CONCHITAS'!K161</f>
        <v>482.35199999999998</v>
      </c>
      <c r="F409" s="485"/>
      <c r="G409" s="486"/>
      <c r="H409" s="202"/>
    </row>
    <row r="410" spans="2:8" ht="15" customHeight="1" x14ac:dyDescent="0.15">
      <c r="B410" s="370" t="s">
        <v>267</v>
      </c>
      <c r="C410" s="484" t="s">
        <v>1078</v>
      </c>
      <c r="D410" s="487" t="s">
        <v>7</v>
      </c>
      <c r="E410" s="70">
        <f>'CANT. DE OBRA CONCHITAS'!K169</f>
        <v>234</v>
      </c>
      <c r="F410" s="485"/>
      <c r="G410" s="486"/>
      <c r="H410" s="202"/>
    </row>
    <row r="411" spans="2:8" ht="16.5" customHeight="1" x14ac:dyDescent="0.15">
      <c r="B411" s="370"/>
      <c r="C411" s="731" t="s">
        <v>14</v>
      </c>
      <c r="D411" s="732"/>
      <c r="E411" s="732"/>
      <c r="F411" s="733"/>
      <c r="G411" s="234"/>
      <c r="H411" s="203"/>
    </row>
    <row r="412" spans="2:8" ht="8.25" customHeight="1" x14ac:dyDescent="0.15">
      <c r="B412" s="728"/>
      <c r="C412" s="729"/>
      <c r="D412" s="729"/>
      <c r="E412" s="729"/>
      <c r="F412" s="729"/>
      <c r="G412" s="730"/>
      <c r="H412" s="200"/>
    </row>
    <row r="413" spans="2:8" x14ac:dyDescent="0.15">
      <c r="B413" s="176">
        <v>5</v>
      </c>
      <c r="C413" s="726" t="s">
        <v>9</v>
      </c>
      <c r="D413" s="726"/>
      <c r="E413" s="726"/>
      <c r="F413" s="726"/>
      <c r="G413" s="727"/>
      <c r="H413" s="201"/>
    </row>
    <row r="414" spans="2:8" x14ac:dyDescent="0.15">
      <c r="B414" s="370" t="s">
        <v>232</v>
      </c>
      <c r="C414" s="484" t="s">
        <v>854</v>
      </c>
      <c r="D414" s="487" t="s">
        <v>5</v>
      </c>
      <c r="E414" s="70">
        <f>'CANT. DE OBRA CONCHITAS'!K176</f>
        <v>619.71</v>
      </c>
      <c r="F414" s="485"/>
      <c r="G414" s="486"/>
      <c r="H414" s="202"/>
    </row>
    <row r="415" spans="2:8" x14ac:dyDescent="0.15">
      <c r="B415" s="370" t="s">
        <v>243</v>
      </c>
      <c r="C415" s="484" t="s">
        <v>870</v>
      </c>
      <c r="D415" s="487" t="s">
        <v>7</v>
      </c>
      <c r="E415" s="70">
        <f>'CANT. DE OBRA CONCHITAS'!K183</f>
        <v>84.14</v>
      </c>
      <c r="F415" s="485"/>
      <c r="G415" s="486"/>
      <c r="H415" s="202"/>
    </row>
    <row r="416" spans="2:8" x14ac:dyDescent="0.15">
      <c r="B416" s="370" t="s">
        <v>672</v>
      </c>
      <c r="C416" s="484" t="s">
        <v>851</v>
      </c>
      <c r="D416" s="487" t="s">
        <v>5</v>
      </c>
      <c r="E416" s="70">
        <f>'CANT. DE OBRA CONCHITAS'!K190</f>
        <v>86.52</v>
      </c>
      <c r="F416" s="485"/>
      <c r="G416" s="486"/>
      <c r="H416" s="202"/>
    </row>
    <row r="417" spans="2:8" x14ac:dyDescent="0.15">
      <c r="B417" s="370" t="s">
        <v>1103</v>
      </c>
      <c r="C417" s="484" t="s">
        <v>1079</v>
      </c>
      <c r="D417" s="487" t="s">
        <v>5</v>
      </c>
      <c r="E417" s="70">
        <f>'CANT. DE OBRA CONCHITAS'!K202</f>
        <v>492.13199999999995</v>
      </c>
      <c r="F417" s="485"/>
      <c r="G417" s="486"/>
      <c r="H417" s="202"/>
    </row>
    <row r="418" spans="2:8" x14ac:dyDescent="0.15">
      <c r="B418" s="176"/>
      <c r="C418" s="716" t="s">
        <v>15</v>
      </c>
      <c r="D418" s="716"/>
      <c r="E418" s="716"/>
      <c r="F418" s="716"/>
      <c r="G418" s="234"/>
      <c r="H418" s="203"/>
    </row>
    <row r="419" spans="2:8" ht="8.25" customHeight="1" x14ac:dyDescent="0.15">
      <c r="B419" s="728"/>
      <c r="C419" s="729"/>
      <c r="D419" s="729"/>
      <c r="E419" s="729"/>
      <c r="F419" s="729"/>
      <c r="G419" s="730"/>
    </row>
    <row r="420" spans="2:8" x14ac:dyDescent="0.15">
      <c r="B420" s="176">
        <v>6</v>
      </c>
      <c r="C420" s="726" t="s">
        <v>684</v>
      </c>
      <c r="D420" s="726"/>
      <c r="E420" s="726"/>
      <c r="F420" s="726"/>
      <c r="G420" s="727"/>
    </row>
    <row r="421" spans="2:8" x14ac:dyDescent="0.15">
      <c r="B421" s="370" t="s">
        <v>591</v>
      </c>
      <c r="C421" s="484" t="s">
        <v>915</v>
      </c>
      <c r="D421" s="487" t="s">
        <v>19</v>
      </c>
      <c r="E421" s="70">
        <v>1</v>
      </c>
      <c r="F421" s="485"/>
      <c r="G421" s="486"/>
    </row>
    <row r="422" spans="2:8" ht="12.75" customHeight="1" x14ac:dyDescent="0.15">
      <c r="B422" s="176"/>
      <c r="C422" s="726" t="s">
        <v>692</v>
      </c>
      <c r="D422" s="726"/>
      <c r="E422" s="726"/>
      <c r="F422" s="726"/>
      <c r="G422" s="480"/>
    </row>
    <row r="423" spans="2:8" x14ac:dyDescent="0.15">
      <c r="B423" s="704">
        <v>6.3</v>
      </c>
      <c r="C423" s="484" t="s">
        <v>693</v>
      </c>
      <c r="D423" s="487" t="s">
        <v>319</v>
      </c>
      <c r="E423" s="70">
        <v>1</v>
      </c>
      <c r="F423" s="485"/>
      <c r="G423" s="486"/>
    </row>
    <row r="424" spans="2:8" x14ac:dyDescent="0.15">
      <c r="B424" s="176"/>
      <c r="C424" s="716" t="s">
        <v>594</v>
      </c>
      <c r="D424" s="716"/>
      <c r="E424" s="716"/>
      <c r="F424" s="716"/>
      <c r="G424" s="234"/>
    </row>
    <row r="425" spans="2:8" ht="8.25" customHeight="1" x14ac:dyDescent="0.15">
      <c r="B425" s="728"/>
      <c r="C425" s="729"/>
      <c r="D425" s="729"/>
      <c r="E425" s="729"/>
      <c r="F425" s="729"/>
      <c r="G425" s="730"/>
    </row>
    <row r="426" spans="2:8" x14ac:dyDescent="0.15">
      <c r="B426" s="176">
        <v>7</v>
      </c>
      <c r="C426" s="726" t="s">
        <v>499</v>
      </c>
      <c r="D426" s="726"/>
      <c r="E426" s="726"/>
      <c r="F426" s="726"/>
      <c r="G426" s="727"/>
    </row>
    <row r="427" spans="2:8" x14ac:dyDescent="0.15">
      <c r="B427" s="370" t="s">
        <v>235</v>
      </c>
      <c r="C427" s="484" t="s">
        <v>916</v>
      </c>
      <c r="D427" s="487" t="s">
        <v>19</v>
      </c>
      <c r="E427" s="70">
        <f>'CANT. DE OBRA CONCHITAS'!K223</f>
        <v>1</v>
      </c>
      <c r="F427" s="485"/>
      <c r="G427" s="486"/>
    </row>
    <row r="428" spans="2:8" x14ac:dyDescent="0.15">
      <c r="B428" s="370" t="s">
        <v>236</v>
      </c>
      <c r="C428" s="484" t="s">
        <v>857</v>
      </c>
      <c r="D428" s="487" t="s">
        <v>319</v>
      </c>
      <c r="E428" s="70">
        <f>'CANT. DE OBRA CONCHITAS'!K230</f>
        <v>1</v>
      </c>
      <c r="F428" s="485"/>
      <c r="G428" s="486"/>
    </row>
    <row r="429" spans="2:8" ht="27" customHeight="1" x14ac:dyDescent="0.15">
      <c r="B429" s="370" t="s">
        <v>244</v>
      </c>
      <c r="C429" s="484" t="s">
        <v>858</v>
      </c>
      <c r="D429" s="487" t="s">
        <v>319</v>
      </c>
      <c r="E429" s="70">
        <f>'CANT. DE OBRA CONCHITAS'!K237</f>
        <v>1</v>
      </c>
      <c r="F429" s="485"/>
      <c r="G429" s="486"/>
    </row>
    <row r="430" spans="2:8" x14ac:dyDescent="0.15">
      <c r="B430" s="176"/>
      <c r="C430" s="716" t="s">
        <v>16</v>
      </c>
      <c r="D430" s="716"/>
      <c r="E430" s="716"/>
      <c r="F430" s="716"/>
      <c r="G430" s="234"/>
    </row>
    <row r="431" spans="2:8" ht="8.25" customHeight="1" x14ac:dyDescent="0.15">
      <c r="B431" s="728"/>
      <c r="C431" s="729"/>
      <c r="D431" s="729"/>
      <c r="E431" s="729"/>
      <c r="F431" s="729"/>
      <c r="G431" s="730"/>
      <c r="H431" s="200"/>
    </row>
    <row r="432" spans="2:8" x14ac:dyDescent="0.15">
      <c r="B432" s="176">
        <v>8</v>
      </c>
      <c r="C432" s="726" t="s">
        <v>500</v>
      </c>
      <c r="D432" s="726"/>
      <c r="E432" s="726"/>
      <c r="F432" s="726"/>
      <c r="G432" s="727"/>
      <c r="H432" s="201"/>
    </row>
    <row r="433" spans="2:8" x14ac:dyDescent="0.15">
      <c r="B433" s="370" t="s">
        <v>237</v>
      </c>
      <c r="C433" s="484" t="s">
        <v>860</v>
      </c>
      <c r="D433" s="487" t="s">
        <v>193</v>
      </c>
      <c r="E433" s="70">
        <f>'CANT. DE OBRA CONCHITAS'!K244</f>
        <v>105</v>
      </c>
      <c r="F433" s="485"/>
      <c r="G433" s="486"/>
      <c r="H433" s="202"/>
    </row>
    <row r="434" spans="2:8" x14ac:dyDescent="0.15">
      <c r="B434" s="370" t="s">
        <v>239</v>
      </c>
      <c r="C434" s="484" t="s">
        <v>866</v>
      </c>
      <c r="D434" s="487" t="s">
        <v>319</v>
      </c>
      <c r="E434" s="70">
        <f>'CANT. DE OBRA CONCHITAS'!K251</f>
        <v>15</v>
      </c>
      <c r="F434" s="485"/>
      <c r="G434" s="486"/>
      <c r="H434" s="202"/>
    </row>
    <row r="435" spans="2:8" x14ac:dyDescent="0.15">
      <c r="B435" s="370" t="s">
        <v>258</v>
      </c>
      <c r="C435" s="484" t="s">
        <v>864</v>
      </c>
      <c r="D435" s="487" t="s">
        <v>319</v>
      </c>
      <c r="E435" s="70">
        <f>'CANT. DE OBRA CONCHITAS'!K258</f>
        <v>15</v>
      </c>
      <c r="F435" s="485"/>
      <c r="G435" s="486"/>
      <c r="H435" s="202"/>
    </row>
    <row r="436" spans="2:8" x14ac:dyDescent="0.15">
      <c r="B436" s="370" t="s">
        <v>259</v>
      </c>
      <c r="C436" s="484" t="s">
        <v>861</v>
      </c>
      <c r="D436" s="487" t="s">
        <v>319</v>
      </c>
      <c r="E436" s="70">
        <f>'CANT. DE OBRA CONCHITAS'!K265</f>
        <v>8</v>
      </c>
      <c r="F436" s="485"/>
      <c r="G436" s="486"/>
      <c r="H436" s="202"/>
    </row>
    <row r="437" spans="2:8" x14ac:dyDescent="0.15">
      <c r="B437" s="176"/>
      <c r="C437" s="716" t="s">
        <v>17</v>
      </c>
      <c r="D437" s="716"/>
      <c r="E437" s="716"/>
      <c r="F437" s="716"/>
      <c r="G437" s="234"/>
      <c r="H437" s="203"/>
    </row>
    <row r="438" spans="2:8" ht="8.25" customHeight="1" x14ac:dyDescent="0.15">
      <c r="B438" s="728"/>
      <c r="C438" s="729"/>
      <c r="D438" s="729"/>
      <c r="E438" s="729"/>
      <c r="F438" s="729"/>
      <c r="G438" s="730"/>
      <c r="H438" s="200"/>
    </row>
    <row r="439" spans="2:8" x14ac:dyDescent="0.15">
      <c r="B439" s="176">
        <v>9</v>
      </c>
      <c r="C439" s="726" t="s">
        <v>107</v>
      </c>
      <c r="D439" s="726"/>
      <c r="E439" s="726"/>
      <c r="F439" s="726"/>
      <c r="G439" s="727"/>
      <c r="H439" s="201"/>
    </row>
    <row r="440" spans="2:8" ht="26" x14ac:dyDescent="0.15">
      <c r="B440" s="370" t="s">
        <v>249</v>
      </c>
      <c r="C440" s="484" t="s">
        <v>867</v>
      </c>
      <c r="D440" s="487" t="s">
        <v>7</v>
      </c>
      <c r="E440" s="70">
        <f>'CANT. DE OBRA CONCHITAS'!K273</f>
        <v>111.89999999999999</v>
      </c>
      <c r="F440" s="485"/>
      <c r="G440" s="486"/>
      <c r="H440" s="202"/>
    </row>
    <row r="441" spans="2:8" x14ac:dyDescent="0.15">
      <c r="B441" s="370" t="s">
        <v>250</v>
      </c>
      <c r="C441" s="484" t="s">
        <v>869</v>
      </c>
      <c r="D441" s="487" t="s">
        <v>7</v>
      </c>
      <c r="E441" s="70">
        <f>'CANT. DE OBRA CONCHITAS'!K281</f>
        <v>111.89999999999999</v>
      </c>
      <c r="F441" s="485"/>
      <c r="G441" s="486"/>
      <c r="H441" s="202"/>
    </row>
    <row r="442" spans="2:8" x14ac:dyDescent="0.15">
      <c r="B442" s="370" t="s">
        <v>251</v>
      </c>
      <c r="C442" s="484" t="s">
        <v>868</v>
      </c>
      <c r="D442" s="487" t="s">
        <v>5</v>
      </c>
      <c r="E442" s="70">
        <f>'CANT. DE OBRA CONCHITAS'!K288</f>
        <v>114.43</v>
      </c>
      <c r="F442" s="485"/>
      <c r="G442" s="486"/>
      <c r="H442" s="202"/>
    </row>
    <row r="443" spans="2:8" x14ac:dyDescent="0.15">
      <c r="B443" s="370" t="s">
        <v>708</v>
      </c>
      <c r="C443" s="484" t="s">
        <v>1378</v>
      </c>
      <c r="D443" s="487" t="s">
        <v>5</v>
      </c>
      <c r="E443" s="70">
        <f>'CANT. DE OBRA CONCHITAS'!K295</f>
        <v>12.4</v>
      </c>
      <c r="F443" s="485"/>
      <c r="G443" s="486"/>
      <c r="H443" s="202"/>
    </row>
    <row r="444" spans="2:8" x14ac:dyDescent="0.15">
      <c r="B444" s="176"/>
      <c r="C444" s="716" t="s">
        <v>95</v>
      </c>
      <c r="D444" s="716"/>
      <c r="E444" s="716"/>
      <c r="F444" s="716"/>
      <c r="G444" s="234"/>
      <c r="H444" s="203"/>
    </row>
    <row r="445" spans="2:8" x14ac:dyDescent="0.15">
      <c r="B445" s="712"/>
      <c r="C445" s="713"/>
      <c r="D445" s="713"/>
      <c r="E445" s="713"/>
      <c r="F445" s="713"/>
      <c r="G445" s="714"/>
      <c r="H445" s="205"/>
    </row>
    <row r="446" spans="2:8" x14ac:dyDescent="0.15">
      <c r="B446" s="176">
        <v>10</v>
      </c>
      <c r="C446" s="726" t="s">
        <v>234</v>
      </c>
      <c r="D446" s="726"/>
      <c r="E446" s="726"/>
      <c r="F446" s="726"/>
      <c r="G446" s="727"/>
      <c r="H446" s="201"/>
    </row>
    <row r="447" spans="2:8" ht="26" x14ac:dyDescent="0.15">
      <c r="B447" s="370" t="s">
        <v>1074</v>
      </c>
      <c r="C447" s="484" t="s">
        <v>1069</v>
      </c>
      <c r="D447" s="487" t="s">
        <v>319</v>
      </c>
      <c r="E447" s="70">
        <f>'CANT. DE OBRA CONCHITAS'!K302</f>
        <v>6</v>
      </c>
      <c r="F447" s="485"/>
      <c r="G447" s="486"/>
      <c r="H447" s="202"/>
    </row>
    <row r="448" spans="2:8" x14ac:dyDescent="0.15">
      <c r="B448" s="370" t="s">
        <v>1075</v>
      </c>
      <c r="C448" s="484" t="s">
        <v>1070</v>
      </c>
      <c r="D448" s="487" t="s">
        <v>319</v>
      </c>
      <c r="E448" s="70">
        <f>'CANT. DE OBRA CONCHITAS'!K309</f>
        <v>6</v>
      </c>
      <c r="F448" s="485"/>
      <c r="G448" s="486"/>
      <c r="H448" s="202"/>
    </row>
    <row r="449" spans="2:8" x14ac:dyDescent="0.15">
      <c r="B449" s="370" t="s">
        <v>1076</v>
      </c>
      <c r="C449" s="484" t="s">
        <v>1116</v>
      </c>
      <c r="D449" s="487" t="s">
        <v>319</v>
      </c>
      <c r="E449" s="70">
        <f>'CANT. DE OBRA CONCHITAS'!K316</f>
        <v>2</v>
      </c>
      <c r="F449" s="485"/>
      <c r="G449" s="486"/>
      <c r="H449" s="202"/>
    </row>
    <row r="450" spans="2:8" x14ac:dyDescent="0.15">
      <c r="B450" s="370" t="s">
        <v>1112</v>
      </c>
      <c r="C450" s="484" t="s">
        <v>1081</v>
      </c>
      <c r="D450" s="487" t="s">
        <v>319</v>
      </c>
      <c r="E450" s="70">
        <f>'CANT. DE OBRA CONCHITAS'!K323</f>
        <v>10</v>
      </c>
      <c r="F450" s="485"/>
      <c r="G450" s="486"/>
      <c r="H450" s="202"/>
    </row>
    <row r="451" spans="2:8" x14ac:dyDescent="0.15">
      <c r="B451" s="370" t="s">
        <v>1113</v>
      </c>
      <c r="C451" s="484" t="s">
        <v>1071</v>
      </c>
      <c r="D451" s="487" t="s">
        <v>319</v>
      </c>
      <c r="E451" s="70">
        <f>'CANT. DE OBRA CONCHITAS'!K330</f>
        <v>6</v>
      </c>
      <c r="F451" s="485"/>
      <c r="G451" s="486"/>
      <c r="H451" s="202"/>
    </row>
    <row r="452" spans="2:8" x14ac:dyDescent="0.15">
      <c r="B452" s="370" t="s">
        <v>1114</v>
      </c>
      <c r="C452" s="484" t="s">
        <v>1080</v>
      </c>
      <c r="D452" s="487" t="s">
        <v>319</v>
      </c>
      <c r="E452" s="70">
        <f>'CANT. DE OBRA CONCHITAS'!K337</f>
        <v>2.6</v>
      </c>
      <c r="F452" s="485"/>
      <c r="G452" s="486"/>
      <c r="H452" s="202"/>
    </row>
    <row r="453" spans="2:8" x14ac:dyDescent="0.15">
      <c r="B453" s="370" t="s">
        <v>1159</v>
      </c>
      <c r="C453" s="484" t="s">
        <v>1632</v>
      </c>
      <c r="D453" s="487" t="s">
        <v>5</v>
      </c>
      <c r="E453" s="70">
        <f>'CANT. DE OBRA CONCHITAS'!K344</f>
        <v>8.4239999999999995</v>
      </c>
      <c r="F453" s="485"/>
      <c r="G453" s="486"/>
      <c r="H453" s="202"/>
    </row>
    <row r="454" spans="2:8" x14ac:dyDescent="0.15">
      <c r="B454" s="370" t="s">
        <v>1630</v>
      </c>
      <c r="C454" s="484" t="s">
        <v>1073</v>
      </c>
      <c r="D454" s="487" t="s">
        <v>319</v>
      </c>
      <c r="E454" s="70">
        <f>'CANT. DE OBRA CONCHITAS'!K351</f>
        <v>1</v>
      </c>
      <c r="F454" s="485"/>
      <c r="G454" s="486"/>
      <c r="H454" s="202"/>
    </row>
    <row r="455" spans="2:8" x14ac:dyDescent="0.15">
      <c r="B455" s="370" t="s">
        <v>1218</v>
      </c>
      <c r="C455" s="484" t="s">
        <v>1162</v>
      </c>
      <c r="D455" s="487" t="s">
        <v>319</v>
      </c>
      <c r="E455" s="70">
        <f>'CANT. DE OBRA CONCHITAS'!K358</f>
        <v>1</v>
      </c>
      <c r="F455" s="485"/>
      <c r="G455" s="486"/>
      <c r="H455" s="202"/>
    </row>
    <row r="456" spans="2:8" x14ac:dyDescent="0.15">
      <c r="B456" s="176"/>
      <c r="C456" s="716" t="s">
        <v>253</v>
      </c>
      <c r="D456" s="716"/>
      <c r="E456" s="716"/>
      <c r="F456" s="716"/>
      <c r="G456" s="234"/>
      <c r="H456" s="203"/>
    </row>
    <row r="457" spans="2:8" ht="8.25" customHeight="1" x14ac:dyDescent="0.15">
      <c r="B457" s="728"/>
      <c r="C457" s="729"/>
      <c r="D457" s="729"/>
      <c r="E457" s="729"/>
      <c r="F457" s="729"/>
      <c r="G457" s="730"/>
      <c r="H457" s="200"/>
    </row>
    <row r="458" spans="2:8" x14ac:dyDescent="0.15">
      <c r="B458" s="176">
        <v>11</v>
      </c>
      <c r="C458" s="726" t="s">
        <v>521</v>
      </c>
      <c r="D458" s="726"/>
      <c r="E458" s="726"/>
      <c r="F458" s="726"/>
      <c r="G458" s="727"/>
      <c r="H458" s="201"/>
    </row>
    <row r="459" spans="2:8" x14ac:dyDescent="0.15">
      <c r="B459" s="370" t="s">
        <v>646</v>
      </c>
      <c r="C459" s="484" t="s">
        <v>959</v>
      </c>
      <c r="D459" s="487" t="s">
        <v>319</v>
      </c>
      <c r="E459" s="70">
        <f>'CANT. DE OBRA CONCHITAS'!K365</f>
        <v>4</v>
      </c>
      <c r="F459" s="485"/>
      <c r="G459" s="486"/>
      <c r="H459" s="202"/>
    </row>
    <row r="460" spans="2:8" x14ac:dyDescent="0.15">
      <c r="B460" s="370" t="s">
        <v>648</v>
      </c>
      <c r="C460" s="484" t="s">
        <v>1072</v>
      </c>
      <c r="D460" s="487" t="s">
        <v>5</v>
      </c>
      <c r="E460" s="70">
        <f>'CANT. DE OBRA CONCHITAS'!K373</f>
        <v>19.8</v>
      </c>
      <c r="F460" s="485"/>
      <c r="G460" s="486"/>
      <c r="H460" s="202"/>
    </row>
    <row r="461" spans="2:8" x14ac:dyDescent="0.15">
      <c r="B461" s="370"/>
      <c r="C461" s="716" t="s">
        <v>652</v>
      </c>
      <c r="D461" s="716"/>
      <c r="E461" s="716"/>
      <c r="F461" s="716"/>
      <c r="G461" s="234"/>
      <c r="H461" s="203"/>
    </row>
    <row r="462" spans="2:8" ht="8.25" customHeight="1" x14ac:dyDescent="0.15">
      <c r="B462" s="728"/>
      <c r="C462" s="729"/>
      <c r="D462" s="729"/>
      <c r="E462" s="729"/>
      <c r="F462" s="729"/>
      <c r="G462" s="730"/>
      <c r="H462" s="200"/>
    </row>
    <row r="463" spans="2:8" x14ac:dyDescent="0.15">
      <c r="B463" s="176">
        <v>12</v>
      </c>
      <c r="C463" s="726" t="s">
        <v>871</v>
      </c>
      <c r="D463" s="726"/>
      <c r="E463" s="726"/>
      <c r="F463" s="726"/>
      <c r="G463" s="727"/>
      <c r="H463" s="201"/>
    </row>
    <row r="464" spans="2:8" x14ac:dyDescent="0.15">
      <c r="B464" s="370" t="s">
        <v>723</v>
      </c>
      <c r="C464" s="484" t="s">
        <v>872</v>
      </c>
      <c r="D464" s="487" t="s">
        <v>19</v>
      </c>
      <c r="E464" s="70">
        <f>'CANT. DE OBRA CONCHITAS'!K381</f>
        <v>1</v>
      </c>
      <c r="F464" s="485"/>
      <c r="G464" s="486"/>
      <c r="H464" s="202"/>
    </row>
    <row r="465" spans="2:8" x14ac:dyDescent="0.15">
      <c r="B465" s="370" t="s">
        <v>724</v>
      </c>
      <c r="C465" s="484" t="s">
        <v>873</v>
      </c>
      <c r="D465" s="487" t="s">
        <v>19</v>
      </c>
      <c r="E465" s="70">
        <f>'CANT. DE OBRA CONCHITAS'!K388</f>
        <v>1</v>
      </c>
      <c r="F465" s="485"/>
      <c r="G465" s="486"/>
      <c r="H465" s="202"/>
    </row>
    <row r="466" spans="2:8" x14ac:dyDescent="0.15">
      <c r="B466" s="176"/>
      <c r="C466" s="716" t="s">
        <v>726</v>
      </c>
      <c r="D466" s="716"/>
      <c r="E466" s="716"/>
      <c r="F466" s="716"/>
      <c r="G466" s="417"/>
      <c r="H466" s="203"/>
    </row>
    <row r="467" spans="2:8" x14ac:dyDescent="0.15">
      <c r="B467" s="715"/>
      <c r="C467" s="716"/>
      <c r="D467" s="716"/>
      <c r="E467" s="716"/>
      <c r="F467" s="716"/>
      <c r="G467" s="717"/>
      <c r="H467" s="201"/>
    </row>
    <row r="468" spans="2:8" ht="19.5" customHeight="1" x14ac:dyDescent="0.15">
      <c r="B468" s="702"/>
      <c r="C468" s="778" t="s">
        <v>1067</v>
      </c>
      <c r="D468" s="778"/>
      <c r="E468" s="778"/>
      <c r="F468" s="778"/>
      <c r="G468" s="703"/>
      <c r="H468" s="203"/>
    </row>
    <row r="469" spans="2:8" ht="12" customHeight="1" x14ac:dyDescent="0.15">
      <c r="B469" s="719"/>
      <c r="C469" s="720"/>
      <c r="D469" s="720"/>
      <c r="E469" s="720"/>
      <c r="F469" s="720"/>
      <c r="G469" s="721"/>
      <c r="H469" s="200"/>
    </row>
    <row r="470" spans="2:8" ht="18" customHeight="1" x14ac:dyDescent="0.15">
      <c r="B470" s="674" t="s">
        <v>271</v>
      </c>
      <c r="C470" s="779" t="s">
        <v>1138</v>
      </c>
      <c r="D470" s="779"/>
      <c r="E470" s="779"/>
      <c r="F470" s="779"/>
      <c r="G470" s="780"/>
      <c r="H470" s="201"/>
    </row>
    <row r="471" spans="2:8" x14ac:dyDescent="0.15">
      <c r="B471" s="370">
        <v>1</v>
      </c>
      <c r="C471" s="736" t="s">
        <v>12</v>
      </c>
      <c r="D471" s="736"/>
      <c r="E471" s="736"/>
      <c r="F471" s="736"/>
      <c r="G471" s="737"/>
      <c r="H471" s="201"/>
    </row>
    <row r="472" spans="2:8" x14ac:dyDescent="0.15">
      <c r="B472" s="370" t="s">
        <v>220</v>
      </c>
      <c r="C472" s="484" t="s">
        <v>46</v>
      </c>
      <c r="D472" s="487" t="s">
        <v>5</v>
      </c>
      <c r="E472" s="70">
        <f>'CANT. DE OBRA PUERTO LOPEZ'!K14</f>
        <v>26.664999999999999</v>
      </c>
      <c r="F472" s="485"/>
      <c r="G472" s="486"/>
      <c r="H472" s="202"/>
    </row>
    <row r="473" spans="2:8" x14ac:dyDescent="0.15">
      <c r="B473" s="370" t="s">
        <v>221</v>
      </c>
      <c r="C473" s="484" t="s">
        <v>844</v>
      </c>
      <c r="D473" s="487" t="s">
        <v>5</v>
      </c>
      <c r="E473" s="70">
        <f>'CANT. DE OBRA PUERTO LOPEZ'!K21</f>
        <v>105.9</v>
      </c>
      <c r="F473" s="485"/>
      <c r="G473" s="486"/>
      <c r="H473" s="202"/>
    </row>
    <row r="474" spans="2:8" x14ac:dyDescent="0.15">
      <c r="B474" s="370" t="s">
        <v>489</v>
      </c>
      <c r="C474" s="484" t="s">
        <v>846</v>
      </c>
      <c r="D474" s="487" t="s">
        <v>5</v>
      </c>
      <c r="E474" s="70">
        <f>'CANT. DE OBRA PUERTO LOPEZ'!K28</f>
        <v>71.180000000000007</v>
      </c>
      <c r="F474" s="485"/>
      <c r="G474" s="486"/>
      <c r="H474" s="202"/>
    </row>
    <row r="475" spans="2:8" x14ac:dyDescent="0.15">
      <c r="B475" s="370" t="s">
        <v>492</v>
      </c>
      <c r="C475" s="484" t="s">
        <v>845</v>
      </c>
      <c r="D475" s="487" t="s">
        <v>7</v>
      </c>
      <c r="E475" s="70">
        <f>'CANT. DE OBRA PUERTO LOPEZ'!K35</f>
        <v>123.19999999999999</v>
      </c>
      <c r="F475" s="485"/>
      <c r="G475" s="486"/>
      <c r="H475" s="202"/>
    </row>
    <row r="476" spans="2:8" x14ac:dyDescent="0.15">
      <c r="B476" s="370" t="s">
        <v>622</v>
      </c>
      <c r="C476" s="484" t="s">
        <v>847</v>
      </c>
      <c r="D476" s="487" t="s">
        <v>19</v>
      </c>
      <c r="E476" s="70">
        <f>'CANT. DE OBRA PUERTO LOPEZ'!K42</f>
        <v>1</v>
      </c>
      <c r="F476" s="485"/>
      <c r="G476" s="486"/>
      <c r="H476" s="202"/>
    </row>
    <row r="477" spans="2:8" x14ac:dyDescent="0.15">
      <c r="B477" s="370" t="s">
        <v>889</v>
      </c>
      <c r="C477" s="484" t="s">
        <v>843</v>
      </c>
      <c r="D477" s="487" t="s">
        <v>5</v>
      </c>
      <c r="E477" s="70">
        <f>'CANT. DE OBRA PUERTO LOPEZ'!K49</f>
        <v>239.2</v>
      </c>
      <c r="F477" s="485"/>
      <c r="G477" s="486"/>
      <c r="H477" s="202"/>
    </row>
    <row r="478" spans="2:8" x14ac:dyDescent="0.15">
      <c r="B478" s="370" t="s">
        <v>1087</v>
      </c>
      <c r="C478" s="484" t="s">
        <v>1143</v>
      </c>
      <c r="D478" s="487" t="s">
        <v>5</v>
      </c>
      <c r="E478" s="70">
        <f>'CANT. DE OBRA PUERTO LOPEZ'!K56</f>
        <v>55.600000000000009</v>
      </c>
      <c r="F478" s="485"/>
      <c r="G478" s="486"/>
      <c r="H478" s="202"/>
    </row>
    <row r="479" spans="2:8" ht="27.75" customHeight="1" x14ac:dyDescent="0.15">
      <c r="B479" s="710">
        <v>1.2</v>
      </c>
      <c r="C479" s="484" t="s">
        <v>494</v>
      </c>
      <c r="D479" s="487" t="s">
        <v>6</v>
      </c>
      <c r="E479" s="70">
        <f>'CANT. DE OBRA PUERTO LOPEZ'!K65</f>
        <v>22.352200000000003</v>
      </c>
      <c r="F479" s="485"/>
      <c r="G479" s="486"/>
      <c r="H479" s="202"/>
    </row>
    <row r="480" spans="2:8" ht="16.5" customHeight="1" x14ac:dyDescent="0.15">
      <c r="B480" s="370"/>
      <c r="C480" s="731" t="s">
        <v>11</v>
      </c>
      <c r="D480" s="732"/>
      <c r="E480" s="732"/>
      <c r="F480" s="733"/>
      <c r="G480" s="234"/>
      <c r="H480" s="203"/>
    </row>
    <row r="481" spans="2:8" ht="8.25" customHeight="1" x14ac:dyDescent="0.15">
      <c r="B481" s="719"/>
      <c r="C481" s="720"/>
      <c r="D481" s="720"/>
      <c r="E481" s="720"/>
      <c r="F481" s="720"/>
      <c r="G481" s="721"/>
      <c r="H481" s="200"/>
    </row>
    <row r="482" spans="2:8" x14ac:dyDescent="0.15">
      <c r="B482" s="370">
        <v>2</v>
      </c>
      <c r="C482" s="736" t="s">
        <v>115</v>
      </c>
      <c r="D482" s="736"/>
      <c r="E482" s="736"/>
      <c r="F482" s="736"/>
      <c r="G482" s="737"/>
      <c r="H482" s="201"/>
    </row>
    <row r="483" spans="2:8" x14ac:dyDescent="0.15">
      <c r="B483" s="370" t="s">
        <v>216</v>
      </c>
      <c r="C483" s="484" t="s">
        <v>890</v>
      </c>
      <c r="D483" s="487" t="s">
        <v>6</v>
      </c>
      <c r="E483" s="70">
        <f>'CANT. DE OBRA PUERTO LOPEZ'!K74</f>
        <v>3.8026250000000004</v>
      </c>
      <c r="F483" s="485"/>
      <c r="G483" s="486"/>
      <c r="H483" s="202"/>
    </row>
    <row r="484" spans="2:8" x14ac:dyDescent="0.15">
      <c r="B484" s="370" t="s">
        <v>217</v>
      </c>
      <c r="C484" s="484" t="s">
        <v>491</v>
      </c>
      <c r="D484" s="487" t="s">
        <v>6</v>
      </c>
      <c r="E484" s="70">
        <f>'CANT. DE OBRA PUERTO LOPEZ'!K82</f>
        <v>1.3905000000000001</v>
      </c>
      <c r="F484" s="485"/>
      <c r="G484" s="486"/>
      <c r="H484" s="202"/>
    </row>
    <row r="485" spans="2:8" ht="26" x14ac:dyDescent="0.15">
      <c r="B485" s="370" t="s">
        <v>218</v>
      </c>
      <c r="C485" s="484" t="s">
        <v>1004</v>
      </c>
      <c r="D485" s="487" t="s">
        <v>6</v>
      </c>
      <c r="E485" s="70">
        <f>'CANT. DE OBRA PUERTO LOPEZ'!L91</f>
        <v>3.24</v>
      </c>
      <c r="F485" s="485"/>
      <c r="G485" s="486"/>
      <c r="H485" s="202"/>
    </row>
    <row r="486" spans="2:8" ht="27.75" customHeight="1" x14ac:dyDescent="0.15">
      <c r="B486" s="370" t="s">
        <v>219</v>
      </c>
      <c r="C486" s="484" t="s">
        <v>494</v>
      </c>
      <c r="D486" s="487" t="s">
        <v>6</v>
      </c>
      <c r="E486" s="70">
        <f>'CANT. DE OBRA PUERTO LOPEZ'!K100</f>
        <v>3.1357625000000007</v>
      </c>
      <c r="F486" s="485"/>
      <c r="G486" s="486"/>
      <c r="H486" s="202"/>
    </row>
    <row r="487" spans="2:8" ht="16.5" customHeight="1" x14ac:dyDescent="0.15">
      <c r="B487" s="370"/>
      <c r="C487" s="731" t="s">
        <v>10</v>
      </c>
      <c r="D487" s="732"/>
      <c r="E487" s="732"/>
      <c r="F487" s="733"/>
      <c r="G487" s="234"/>
      <c r="H487" s="203"/>
    </row>
    <row r="488" spans="2:8" ht="8.25" customHeight="1" x14ac:dyDescent="0.15">
      <c r="B488" s="728"/>
      <c r="C488" s="729"/>
      <c r="D488" s="729"/>
      <c r="E488" s="729"/>
      <c r="F488" s="729"/>
      <c r="G488" s="730"/>
      <c r="H488" s="200"/>
    </row>
    <row r="489" spans="2:8" x14ac:dyDescent="0.15">
      <c r="B489" s="176">
        <v>3</v>
      </c>
      <c r="C489" s="726" t="s">
        <v>18</v>
      </c>
      <c r="D489" s="726"/>
      <c r="E489" s="726"/>
      <c r="F489" s="726"/>
      <c r="G489" s="727"/>
      <c r="H489" s="204"/>
    </row>
    <row r="490" spans="2:8" x14ac:dyDescent="0.15">
      <c r="B490" s="370" t="s">
        <v>210</v>
      </c>
      <c r="C490" s="484" t="s">
        <v>568</v>
      </c>
      <c r="D490" s="487" t="s">
        <v>6</v>
      </c>
      <c r="E490" s="70">
        <f>'CANT. DE OBRA PUERTO LOPEZ'!K109</f>
        <v>0.11400000000000002</v>
      </c>
      <c r="F490" s="485"/>
      <c r="G490" s="486"/>
      <c r="H490" s="202"/>
    </row>
    <row r="491" spans="2:8" ht="40.5" customHeight="1" x14ac:dyDescent="0.15">
      <c r="B491" s="370" t="s">
        <v>211</v>
      </c>
      <c r="C491" s="484" t="s">
        <v>629</v>
      </c>
      <c r="D491" s="487" t="s">
        <v>319</v>
      </c>
      <c r="E491" s="70">
        <f>'CANT. DE OBRA PUERTO LOPEZ'!K116</f>
        <v>1</v>
      </c>
      <c r="F491" s="485"/>
      <c r="G491" s="486"/>
      <c r="H491" s="202"/>
    </row>
    <row r="492" spans="2:8" ht="40.5" customHeight="1" x14ac:dyDescent="0.15">
      <c r="B492" s="370" t="s">
        <v>213</v>
      </c>
      <c r="C492" s="484" t="s">
        <v>1553</v>
      </c>
      <c r="D492" s="487" t="s">
        <v>319</v>
      </c>
      <c r="E492" s="70">
        <f>'CANT. DE OBRA PUERTO LOPEZ'!K123</f>
        <v>8</v>
      </c>
      <c r="F492" s="485"/>
      <c r="G492" s="486"/>
      <c r="H492" s="202"/>
    </row>
    <row r="493" spans="2:8" ht="40.5" customHeight="1" x14ac:dyDescent="0.15">
      <c r="B493" s="370" t="s">
        <v>601</v>
      </c>
      <c r="C493" s="484" t="s">
        <v>1519</v>
      </c>
      <c r="D493" s="487" t="s">
        <v>7</v>
      </c>
      <c r="E493" s="70">
        <f>'CANT. DE OBRA PUERTO LOPEZ'!K130</f>
        <v>23.21</v>
      </c>
      <c r="F493" s="485"/>
      <c r="G493" s="486"/>
      <c r="H493" s="202"/>
    </row>
    <row r="494" spans="2:8" ht="40.5" customHeight="1" x14ac:dyDescent="0.15">
      <c r="B494" s="370" t="s">
        <v>215</v>
      </c>
      <c r="C494" s="484" t="s">
        <v>1585</v>
      </c>
      <c r="D494" s="487" t="s">
        <v>7</v>
      </c>
      <c r="E494" s="70">
        <f>'CANT. DE OBRA PUERTO LOPEZ'!K137</f>
        <v>1.5</v>
      </c>
      <c r="F494" s="485"/>
      <c r="G494" s="486"/>
      <c r="H494" s="202"/>
    </row>
    <row r="495" spans="2:8" ht="40.5" customHeight="1" x14ac:dyDescent="0.15">
      <c r="B495" s="370" t="s">
        <v>226</v>
      </c>
      <c r="C495" s="484" t="s">
        <v>1549</v>
      </c>
      <c r="D495" s="487" t="s">
        <v>7</v>
      </c>
      <c r="E495" s="70">
        <f>'CANT. DE OBRA PUERTO LOPEZ'!K144</f>
        <v>4</v>
      </c>
      <c r="F495" s="485"/>
      <c r="G495" s="486"/>
      <c r="H495" s="202"/>
    </row>
    <row r="496" spans="2:8" ht="40.5" customHeight="1" x14ac:dyDescent="0.15">
      <c r="B496" s="370" t="s">
        <v>228</v>
      </c>
      <c r="C496" s="484" t="s">
        <v>1520</v>
      </c>
      <c r="D496" s="487" t="s">
        <v>7</v>
      </c>
      <c r="E496" s="70">
        <f>'CANT. DE OBRA PUERTO LOPEZ'!K151</f>
        <v>20</v>
      </c>
      <c r="F496" s="485"/>
      <c r="G496" s="486"/>
      <c r="H496" s="202"/>
    </row>
    <row r="497" spans="2:8" ht="26" x14ac:dyDescent="0.15">
      <c r="B497" s="370" t="s">
        <v>230</v>
      </c>
      <c r="C497" s="484" t="s">
        <v>1521</v>
      </c>
      <c r="D497" s="487" t="s">
        <v>7</v>
      </c>
      <c r="E497" s="70">
        <f>'CANT. DE OBRA PUERTO LOPEZ'!K158</f>
        <v>23.21</v>
      </c>
      <c r="F497" s="485"/>
      <c r="G497" s="486"/>
      <c r="H497" s="202"/>
    </row>
    <row r="498" spans="2:8" ht="26" x14ac:dyDescent="0.15">
      <c r="B498" s="370" t="s">
        <v>631</v>
      </c>
      <c r="C498" s="484" t="s">
        <v>1522</v>
      </c>
      <c r="D498" s="487" t="s">
        <v>5</v>
      </c>
      <c r="E498" s="70">
        <f>'CANT. DE OBRA PUERTO LOPEZ'!K165</f>
        <v>1.44</v>
      </c>
      <c r="F498" s="485"/>
      <c r="G498" s="486"/>
      <c r="H498" s="202"/>
    </row>
    <row r="499" spans="2:8" ht="26" x14ac:dyDescent="0.15">
      <c r="B499" s="370" t="s">
        <v>661</v>
      </c>
      <c r="C499" s="484" t="s">
        <v>895</v>
      </c>
      <c r="D499" s="487" t="s">
        <v>5</v>
      </c>
      <c r="E499" s="70">
        <f>'CANT. DE OBRA PUERTO LOPEZ'!K173</f>
        <v>11.3</v>
      </c>
      <c r="F499" s="485"/>
      <c r="G499" s="486"/>
      <c r="H499" s="202"/>
    </row>
    <row r="500" spans="2:8" ht="16.5" customHeight="1" x14ac:dyDescent="0.15">
      <c r="B500" s="370"/>
      <c r="C500" s="731" t="s">
        <v>13</v>
      </c>
      <c r="D500" s="732"/>
      <c r="E500" s="732"/>
      <c r="F500" s="733"/>
      <c r="G500" s="234"/>
      <c r="H500" s="203"/>
    </row>
    <row r="501" spans="2:8" ht="8.25" customHeight="1" x14ac:dyDescent="0.15">
      <c r="B501" s="728"/>
      <c r="C501" s="729"/>
      <c r="D501" s="729"/>
      <c r="E501" s="729"/>
      <c r="F501" s="729"/>
      <c r="G501" s="730"/>
      <c r="H501" s="200"/>
    </row>
    <row r="502" spans="2:8" x14ac:dyDescent="0.15">
      <c r="B502" s="176">
        <v>4</v>
      </c>
      <c r="C502" s="726" t="s">
        <v>80</v>
      </c>
      <c r="D502" s="726"/>
      <c r="E502" s="726"/>
      <c r="F502" s="726"/>
      <c r="G502" s="727"/>
      <c r="H502" s="201"/>
    </row>
    <row r="503" spans="2:8" x14ac:dyDescent="0.15">
      <c r="B503" s="370" t="s">
        <v>265</v>
      </c>
      <c r="C503" s="484" t="s">
        <v>167</v>
      </c>
      <c r="D503" s="487" t="s">
        <v>5</v>
      </c>
      <c r="E503" s="70">
        <f>'CANT. DE OBRA PUERTO LOPEZ'!K180</f>
        <v>42.42</v>
      </c>
      <c r="F503" s="485"/>
      <c r="G503" s="486"/>
      <c r="H503" s="202"/>
    </row>
    <row r="504" spans="2:8" ht="15" customHeight="1" x14ac:dyDescent="0.15">
      <c r="B504" s="370" t="s">
        <v>266</v>
      </c>
      <c r="C504" s="484" t="s">
        <v>1025</v>
      </c>
      <c r="D504" s="487" t="s">
        <v>5</v>
      </c>
      <c r="E504" s="70">
        <f>'CANT. DE OBRA PUERTO LOPEZ'!K190</f>
        <v>109.80800000000001</v>
      </c>
      <c r="F504" s="485"/>
      <c r="G504" s="486"/>
      <c r="H504" s="202"/>
    </row>
    <row r="505" spans="2:8" ht="15" customHeight="1" x14ac:dyDescent="0.15">
      <c r="B505" s="370" t="s">
        <v>267</v>
      </c>
      <c r="C505" s="484" t="s">
        <v>1078</v>
      </c>
      <c r="D505" s="487" t="s">
        <v>7</v>
      </c>
      <c r="E505" s="70">
        <f>'CANT. DE OBRA PUERTO LOPEZ'!K197</f>
        <v>59.92</v>
      </c>
      <c r="F505" s="485"/>
      <c r="G505" s="486"/>
      <c r="H505" s="202"/>
    </row>
    <row r="506" spans="2:8" ht="16.5" customHeight="1" x14ac:dyDescent="0.15">
      <c r="B506" s="370"/>
      <c r="C506" s="731" t="s">
        <v>14</v>
      </c>
      <c r="D506" s="732"/>
      <c r="E506" s="732"/>
      <c r="F506" s="733"/>
      <c r="G506" s="234"/>
      <c r="H506" s="203"/>
    </row>
    <row r="507" spans="2:8" ht="8.25" customHeight="1" x14ac:dyDescent="0.15">
      <c r="B507" s="728"/>
      <c r="C507" s="729"/>
      <c r="D507" s="729"/>
      <c r="E507" s="729"/>
      <c r="F507" s="729"/>
      <c r="G507" s="730"/>
      <c r="H507" s="200"/>
    </row>
    <row r="508" spans="2:8" x14ac:dyDescent="0.15">
      <c r="B508" s="176">
        <v>5</v>
      </c>
      <c r="C508" s="726" t="s">
        <v>9</v>
      </c>
      <c r="D508" s="726"/>
      <c r="E508" s="726"/>
      <c r="F508" s="726"/>
      <c r="G508" s="727"/>
      <c r="H508" s="201"/>
    </row>
    <row r="509" spans="2:8" x14ac:dyDescent="0.15">
      <c r="B509" s="370" t="s">
        <v>232</v>
      </c>
      <c r="C509" s="484" t="s">
        <v>854</v>
      </c>
      <c r="D509" s="487" t="s">
        <v>5</v>
      </c>
      <c r="E509" s="70">
        <f>'CANT. DE OBRA PUERTO LOPEZ'!K204</f>
        <v>588.55999999999995</v>
      </c>
      <c r="F509" s="485"/>
      <c r="G509" s="486"/>
      <c r="H509" s="202"/>
    </row>
    <row r="510" spans="2:8" x14ac:dyDescent="0.15">
      <c r="B510" s="370" t="s">
        <v>243</v>
      </c>
      <c r="C510" s="484" t="s">
        <v>870</v>
      </c>
      <c r="D510" s="487" t="s">
        <v>7</v>
      </c>
      <c r="E510" s="70">
        <f>'CANT. DE OBRA PUERTO LOPEZ'!K211</f>
        <v>83.31</v>
      </c>
      <c r="F510" s="485"/>
      <c r="G510" s="486"/>
      <c r="H510" s="202"/>
    </row>
    <row r="511" spans="2:8" x14ac:dyDescent="0.15">
      <c r="B511" s="370" t="s">
        <v>672</v>
      </c>
      <c r="C511" s="484" t="s">
        <v>851</v>
      </c>
      <c r="D511" s="487" t="s">
        <v>5</v>
      </c>
      <c r="E511" s="70">
        <f>'CANT. DE OBRA PUERTO LOPEZ'!K218</f>
        <v>104.86</v>
      </c>
      <c r="F511" s="485"/>
      <c r="G511" s="486"/>
      <c r="H511" s="202"/>
    </row>
    <row r="512" spans="2:8" x14ac:dyDescent="0.15">
      <c r="B512" s="370" t="s">
        <v>673</v>
      </c>
      <c r="C512" s="484" t="s">
        <v>852</v>
      </c>
      <c r="D512" s="487" t="s">
        <v>5</v>
      </c>
      <c r="E512" s="70">
        <f>'CANT. DE OBRA PUERTO LOPEZ'!K226</f>
        <v>17.086399999999998</v>
      </c>
      <c r="F512" s="485"/>
      <c r="G512" s="486"/>
      <c r="H512" s="202"/>
    </row>
    <row r="513" spans="2:8" x14ac:dyDescent="0.15">
      <c r="B513" s="370" t="s">
        <v>898</v>
      </c>
      <c r="C513" s="484" t="s">
        <v>913</v>
      </c>
      <c r="D513" s="487" t="s">
        <v>7</v>
      </c>
      <c r="E513" s="70">
        <f>'CANT. DE OBRA PUERTO LOPEZ'!K233</f>
        <v>13</v>
      </c>
      <c r="F513" s="485"/>
      <c r="G513" s="486"/>
      <c r="H513" s="202"/>
    </row>
    <row r="514" spans="2:8" x14ac:dyDescent="0.15">
      <c r="B514" s="370" t="s">
        <v>1103</v>
      </c>
      <c r="C514" s="484" t="s">
        <v>1079</v>
      </c>
      <c r="D514" s="487" t="s">
        <v>5</v>
      </c>
      <c r="E514" s="70">
        <f>'CANT. DE OBRA PUERTO LOPEZ'!K244</f>
        <v>115.2274</v>
      </c>
      <c r="F514" s="485"/>
      <c r="G514" s="486"/>
      <c r="H514" s="202"/>
    </row>
    <row r="515" spans="2:8" x14ac:dyDescent="0.15">
      <c r="B515" s="176"/>
      <c r="C515" s="716" t="s">
        <v>15</v>
      </c>
      <c r="D515" s="716"/>
      <c r="E515" s="716"/>
      <c r="F515" s="716"/>
      <c r="G515" s="234"/>
      <c r="H515" s="203"/>
    </row>
    <row r="516" spans="2:8" ht="8.25" customHeight="1" x14ac:dyDescent="0.15">
      <c r="B516" s="728"/>
      <c r="C516" s="729"/>
      <c r="D516" s="729"/>
      <c r="E516" s="729"/>
      <c r="F516" s="729"/>
      <c r="G516" s="730"/>
    </row>
    <row r="517" spans="2:8" x14ac:dyDescent="0.15">
      <c r="B517" s="176">
        <v>6</v>
      </c>
      <c r="C517" s="726" t="s">
        <v>684</v>
      </c>
      <c r="D517" s="726"/>
      <c r="E517" s="726"/>
      <c r="F517" s="726"/>
      <c r="G517" s="727"/>
    </row>
    <row r="518" spans="2:8" x14ac:dyDescent="0.15">
      <c r="B518" s="370" t="s">
        <v>591</v>
      </c>
      <c r="C518" s="484" t="s">
        <v>915</v>
      </c>
      <c r="D518" s="487" t="s">
        <v>19</v>
      </c>
      <c r="E518" s="70">
        <f>'CANT. DE OBRA PUERTO LOPEZ'!K251</f>
        <v>1</v>
      </c>
      <c r="F518" s="485"/>
      <c r="G518" s="486"/>
    </row>
    <row r="519" spans="2:8" ht="42" customHeight="1" x14ac:dyDescent="0.15">
      <c r="B519" s="370" t="s">
        <v>592</v>
      </c>
      <c r="C519" s="484" t="s">
        <v>859</v>
      </c>
      <c r="D519" s="694" t="s">
        <v>319</v>
      </c>
      <c r="E519" s="70">
        <f>'CANT. DE OBRA PUERTO LOPEZ'!K258</f>
        <v>1</v>
      </c>
      <c r="F519" s="485"/>
      <c r="G519" s="486"/>
    </row>
    <row r="520" spans="2:8" ht="12.75" customHeight="1" x14ac:dyDescent="0.15">
      <c r="B520" s="176"/>
      <c r="C520" s="726" t="s">
        <v>692</v>
      </c>
      <c r="D520" s="726"/>
      <c r="E520" s="726"/>
      <c r="F520" s="726"/>
      <c r="G520" s="480"/>
    </row>
    <row r="521" spans="2:8" x14ac:dyDescent="0.15">
      <c r="B521" s="704">
        <v>6.3</v>
      </c>
      <c r="C521" s="484" t="s">
        <v>693</v>
      </c>
      <c r="D521" s="487" t="s">
        <v>319</v>
      </c>
      <c r="E521" s="70">
        <f>'CANT. DE OBRA PUERTO LOPEZ'!K265</f>
        <v>1</v>
      </c>
      <c r="F521" s="485"/>
      <c r="G521" s="486"/>
    </row>
    <row r="522" spans="2:8" x14ac:dyDescent="0.15">
      <c r="B522" s="176"/>
      <c r="C522" s="716" t="s">
        <v>594</v>
      </c>
      <c r="D522" s="716"/>
      <c r="E522" s="716"/>
      <c r="F522" s="716"/>
      <c r="G522" s="234"/>
    </row>
    <row r="523" spans="2:8" ht="8.25" customHeight="1" x14ac:dyDescent="0.15">
      <c r="B523" s="728"/>
      <c r="C523" s="729"/>
      <c r="D523" s="729"/>
      <c r="E523" s="729"/>
      <c r="F523" s="729"/>
      <c r="G523" s="730"/>
    </row>
    <row r="524" spans="2:8" x14ac:dyDescent="0.15">
      <c r="B524" s="176">
        <v>7</v>
      </c>
      <c r="C524" s="726" t="s">
        <v>499</v>
      </c>
      <c r="D524" s="726"/>
      <c r="E524" s="726"/>
      <c r="F524" s="726"/>
      <c r="G524" s="727"/>
    </row>
    <row r="525" spans="2:8" x14ac:dyDescent="0.15">
      <c r="B525" s="370" t="s">
        <v>235</v>
      </c>
      <c r="C525" s="484" t="s">
        <v>916</v>
      </c>
      <c r="D525" s="487" t="s">
        <v>19</v>
      </c>
      <c r="E525" s="70">
        <f>'CANT. DE OBRA PUERTO LOPEZ'!K272</f>
        <v>1</v>
      </c>
      <c r="F525" s="485"/>
      <c r="G525" s="486"/>
    </row>
    <row r="526" spans="2:8" x14ac:dyDescent="0.15">
      <c r="B526" s="370" t="s">
        <v>236</v>
      </c>
      <c r="C526" s="484" t="s">
        <v>857</v>
      </c>
      <c r="D526" s="487" t="s">
        <v>319</v>
      </c>
      <c r="E526" s="70">
        <f>'CANT. DE OBRA PUERTO LOPEZ'!K279</f>
        <v>1</v>
      </c>
      <c r="F526" s="485"/>
      <c r="G526" s="486"/>
    </row>
    <row r="527" spans="2:8" x14ac:dyDescent="0.15">
      <c r="B527" s="704" t="s">
        <v>1141</v>
      </c>
      <c r="C527" s="484" t="s">
        <v>1140</v>
      </c>
      <c r="D527" s="487" t="s">
        <v>319</v>
      </c>
      <c r="E527" s="70">
        <f>'CANT. DE OBRA PUERTO LOPEZ'!K286</f>
        <v>1</v>
      </c>
      <c r="F527" s="485"/>
      <c r="G527" s="486"/>
    </row>
    <row r="528" spans="2:8" x14ac:dyDescent="0.15">
      <c r="B528" s="176"/>
      <c r="C528" s="716" t="s">
        <v>16</v>
      </c>
      <c r="D528" s="716"/>
      <c r="E528" s="716"/>
      <c r="F528" s="716"/>
      <c r="G528" s="234"/>
    </row>
    <row r="529" spans="2:8" ht="8.25" customHeight="1" x14ac:dyDescent="0.15">
      <c r="B529" s="728"/>
      <c r="C529" s="729"/>
      <c r="D529" s="729"/>
      <c r="E529" s="729"/>
      <c r="F529" s="729"/>
      <c r="G529" s="730"/>
      <c r="H529" s="200"/>
    </row>
    <row r="530" spans="2:8" x14ac:dyDescent="0.15">
      <c r="B530" s="176">
        <v>8</v>
      </c>
      <c r="C530" s="726" t="s">
        <v>500</v>
      </c>
      <c r="D530" s="726"/>
      <c r="E530" s="726"/>
      <c r="F530" s="726"/>
      <c r="G530" s="727"/>
      <c r="H530" s="201"/>
    </row>
    <row r="531" spans="2:8" x14ac:dyDescent="0.15">
      <c r="B531" s="370" t="s">
        <v>237</v>
      </c>
      <c r="C531" s="484" t="s">
        <v>860</v>
      </c>
      <c r="D531" s="487" t="s">
        <v>7</v>
      </c>
      <c r="E531" s="70">
        <f>'CANT. DE OBRA PUERTO LOPEZ'!K293</f>
        <v>80</v>
      </c>
      <c r="F531" s="485"/>
      <c r="G531" s="486"/>
      <c r="H531" s="202"/>
    </row>
    <row r="532" spans="2:8" x14ac:dyDescent="0.15">
      <c r="B532" s="370" t="s">
        <v>238</v>
      </c>
      <c r="C532" s="484" t="s">
        <v>865</v>
      </c>
      <c r="D532" s="487" t="s">
        <v>319</v>
      </c>
      <c r="E532" s="70">
        <f>'CANT. DE OBRA PUERTO LOPEZ'!K300</f>
        <v>1</v>
      </c>
      <c r="F532" s="485"/>
      <c r="G532" s="486"/>
      <c r="H532" s="202"/>
    </row>
    <row r="533" spans="2:8" x14ac:dyDescent="0.15">
      <c r="B533" s="370" t="s">
        <v>239</v>
      </c>
      <c r="C533" s="484" t="s">
        <v>866</v>
      </c>
      <c r="D533" s="487" t="s">
        <v>319</v>
      </c>
      <c r="E533" s="70">
        <f>'CANT. DE OBRA PUERTO LOPEZ'!K307</f>
        <v>15</v>
      </c>
      <c r="F533" s="485"/>
      <c r="G533" s="486"/>
      <c r="H533" s="202"/>
    </row>
    <row r="534" spans="2:8" x14ac:dyDescent="0.15">
      <c r="B534" s="370" t="s">
        <v>258</v>
      </c>
      <c r="C534" s="484" t="s">
        <v>864</v>
      </c>
      <c r="D534" s="487" t="s">
        <v>319</v>
      </c>
      <c r="E534" s="70">
        <f>'CANT. DE OBRA PUERTO LOPEZ'!K314</f>
        <v>15</v>
      </c>
      <c r="F534" s="485"/>
      <c r="G534" s="486"/>
      <c r="H534" s="202"/>
    </row>
    <row r="535" spans="2:8" x14ac:dyDescent="0.15">
      <c r="B535" s="370" t="s">
        <v>259</v>
      </c>
      <c r="C535" s="484" t="s">
        <v>861</v>
      </c>
      <c r="D535" s="487" t="s">
        <v>319</v>
      </c>
      <c r="E535" s="70">
        <f>'CANT. DE OBRA PUERTO LOPEZ'!K321</f>
        <v>6</v>
      </c>
      <c r="F535" s="485"/>
      <c r="G535" s="486"/>
      <c r="H535" s="202"/>
    </row>
    <row r="536" spans="2:8" x14ac:dyDescent="0.15">
      <c r="B536" s="176"/>
      <c r="C536" s="716" t="s">
        <v>17</v>
      </c>
      <c r="D536" s="716"/>
      <c r="E536" s="716"/>
      <c r="F536" s="716"/>
      <c r="G536" s="234"/>
      <c r="H536" s="203"/>
    </row>
    <row r="537" spans="2:8" ht="8.25" customHeight="1" x14ac:dyDescent="0.15">
      <c r="B537" s="728"/>
      <c r="C537" s="729"/>
      <c r="D537" s="729"/>
      <c r="E537" s="729"/>
      <c r="F537" s="729"/>
      <c r="G537" s="730"/>
      <c r="H537" s="200"/>
    </row>
    <row r="538" spans="2:8" x14ac:dyDescent="0.15">
      <c r="B538" s="176">
        <v>9</v>
      </c>
      <c r="C538" s="726" t="s">
        <v>107</v>
      </c>
      <c r="D538" s="726"/>
      <c r="E538" s="726"/>
      <c r="F538" s="726"/>
      <c r="G538" s="727"/>
      <c r="H538" s="201"/>
    </row>
    <row r="539" spans="2:8" ht="26" x14ac:dyDescent="0.15">
      <c r="B539" s="370" t="s">
        <v>249</v>
      </c>
      <c r="C539" s="484" t="s">
        <v>867</v>
      </c>
      <c r="D539" s="487" t="s">
        <v>7</v>
      </c>
      <c r="E539" s="70">
        <f>'CANT. DE OBRA PUERTO LOPEZ'!K328</f>
        <v>123.19999999999999</v>
      </c>
      <c r="F539" s="485"/>
      <c r="G539" s="486"/>
      <c r="H539" s="202"/>
    </row>
    <row r="540" spans="2:8" x14ac:dyDescent="0.15">
      <c r="B540" s="370" t="s">
        <v>250</v>
      </c>
      <c r="C540" s="484" t="s">
        <v>869</v>
      </c>
      <c r="D540" s="487" t="s">
        <v>7</v>
      </c>
      <c r="E540" s="70">
        <f>'CANT. DE OBRA PUERTO LOPEZ'!K335</f>
        <v>123.19999999999999</v>
      </c>
      <c r="F540" s="485"/>
      <c r="G540" s="486"/>
      <c r="H540" s="202"/>
    </row>
    <row r="541" spans="2:8" x14ac:dyDescent="0.15">
      <c r="B541" s="370" t="s">
        <v>251</v>
      </c>
      <c r="C541" s="484" t="s">
        <v>868</v>
      </c>
      <c r="D541" s="487" t="s">
        <v>5</v>
      </c>
      <c r="E541" s="70">
        <f>'CANT. DE OBRA PUERTO LOPEZ'!K342</f>
        <v>105.9</v>
      </c>
      <c r="F541" s="485"/>
      <c r="G541" s="486"/>
      <c r="H541" s="202"/>
    </row>
    <row r="542" spans="2:8" x14ac:dyDescent="0.15">
      <c r="B542" s="370" t="s">
        <v>708</v>
      </c>
      <c r="C542" s="484" t="s">
        <v>1378</v>
      </c>
      <c r="D542" s="487" t="s">
        <v>5</v>
      </c>
      <c r="E542" s="70">
        <f>'CANT. DE OBRA PUERTO LOPEZ'!K349</f>
        <v>14.55</v>
      </c>
      <c r="F542" s="485"/>
      <c r="G542" s="486"/>
      <c r="H542" s="202"/>
    </row>
    <row r="543" spans="2:8" x14ac:dyDescent="0.15">
      <c r="B543" s="176"/>
      <c r="C543" s="716" t="s">
        <v>95</v>
      </c>
      <c r="D543" s="716"/>
      <c r="E543" s="716"/>
      <c r="F543" s="716"/>
      <c r="G543" s="234"/>
      <c r="H543" s="203"/>
    </row>
    <row r="544" spans="2:8" ht="10.5" customHeight="1" x14ac:dyDescent="0.15">
      <c r="B544" s="712"/>
      <c r="C544" s="713"/>
      <c r="D544" s="713"/>
      <c r="E544" s="713"/>
      <c r="F544" s="713"/>
      <c r="G544" s="714"/>
      <c r="H544" s="205"/>
    </row>
    <row r="545" spans="2:8" x14ac:dyDescent="0.15">
      <c r="B545" s="176">
        <v>10</v>
      </c>
      <c r="C545" s="726" t="s">
        <v>234</v>
      </c>
      <c r="D545" s="726"/>
      <c r="E545" s="726"/>
      <c r="F545" s="726"/>
      <c r="G545" s="727"/>
      <c r="H545" s="201"/>
    </row>
    <row r="546" spans="2:8" x14ac:dyDescent="0.15">
      <c r="B546" s="370" t="s">
        <v>1075</v>
      </c>
      <c r="C546" s="484" t="s">
        <v>1081</v>
      </c>
      <c r="D546" s="487" t="s">
        <v>319</v>
      </c>
      <c r="E546" s="70">
        <f>'CANT. DE OBRA PUERTO LOPEZ'!K356</f>
        <v>10</v>
      </c>
      <c r="F546" s="485"/>
      <c r="G546" s="486"/>
      <c r="H546" s="202"/>
    </row>
    <row r="547" spans="2:8" x14ac:dyDescent="0.15">
      <c r="B547" s="370" t="s">
        <v>1076</v>
      </c>
      <c r="C547" s="484" t="s">
        <v>1071</v>
      </c>
      <c r="D547" s="487" t="s">
        <v>319</v>
      </c>
      <c r="E547" s="70">
        <f>'CANT. DE OBRA PUERTO LOPEZ'!K363</f>
        <v>6</v>
      </c>
      <c r="F547" s="485"/>
      <c r="G547" s="486"/>
      <c r="H547" s="202"/>
    </row>
    <row r="548" spans="2:8" x14ac:dyDescent="0.15">
      <c r="B548" s="370" t="s">
        <v>1112</v>
      </c>
      <c r="C548" s="484" t="s">
        <v>1080</v>
      </c>
      <c r="D548" s="487" t="s">
        <v>319</v>
      </c>
      <c r="E548" s="70">
        <f>'CANT. DE OBRA PUERTO LOPEZ'!K370</f>
        <v>2.6</v>
      </c>
      <c r="F548" s="485"/>
      <c r="G548" s="486"/>
      <c r="H548" s="202"/>
    </row>
    <row r="549" spans="2:8" x14ac:dyDescent="0.15">
      <c r="B549" s="370" t="s">
        <v>1218</v>
      </c>
      <c r="C549" s="484" t="s">
        <v>1162</v>
      </c>
      <c r="D549" s="487" t="s">
        <v>319</v>
      </c>
      <c r="E549" s="70">
        <f>'CANT. DE OBRA PUERTO LOPEZ'!K377</f>
        <v>1</v>
      </c>
      <c r="F549" s="485"/>
      <c r="G549" s="486"/>
      <c r="H549" s="202"/>
    </row>
    <row r="550" spans="2:8" x14ac:dyDescent="0.15">
      <c r="B550" s="176"/>
      <c r="C550" s="716" t="s">
        <v>253</v>
      </c>
      <c r="D550" s="716"/>
      <c r="E550" s="716"/>
      <c r="F550" s="716"/>
      <c r="G550" s="234"/>
      <c r="H550" s="203"/>
    </row>
    <row r="551" spans="2:8" ht="8.25" customHeight="1" x14ac:dyDescent="0.15">
      <c r="B551" s="728"/>
      <c r="C551" s="729"/>
      <c r="D551" s="729"/>
      <c r="E551" s="729"/>
      <c r="F551" s="729"/>
      <c r="G551" s="730"/>
      <c r="H551" s="200"/>
    </row>
    <row r="552" spans="2:8" x14ac:dyDescent="0.15">
      <c r="B552" s="176">
        <v>11</v>
      </c>
      <c r="C552" s="726" t="s">
        <v>521</v>
      </c>
      <c r="D552" s="726"/>
      <c r="E552" s="726"/>
      <c r="F552" s="726"/>
      <c r="G552" s="727"/>
      <c r="H552" s="201"/>
    </row>
    <row r="553" spans="2:8" x14ac:dyDescent="0.15">
      <c r="B553" s="370" t="s">
        <v>646</v>
      </c>
      <c r="C553" s="484" t="s">
        <v>959</v>
      </c>
      <c r="D553" s="487" t="s">
        <v>319</v>
      </c>
      <c r="E553" s="70">
        <f>'CANT. DE OBRA PUERTO LOPEZ'!K384</f>
        <v>4</v>
      </c>
      <c r="F553" s="485"/>
      <c r="G553" s="486"/>
      <c r="H553" s="202"/>
    </row>
    <row r="554" spans="2:8" x14ac:dyDescent="0.15">
      <c r="B554" s="370" t="s">
        <v>648</v>
      </c>
      <c r="C554" s="484" t="s">
        <v>1072</v>
      </c>
      <c r="D554" s="487" t="s">
        <v>5</v>
      </c>
      <c r="E554" s="70">
        <f>'CANT. DE OBRA PUERTO LOPEZ'!K392</f>
        <v>13.2</v>
      </c>
      <c r="F554" s="485"/>
      <c r="G554" s="486"/>
      <c r="H554" s="202"/>
    </row>
    <row r="555" spans="2:8" x14ac:dyDescent="0.15">
      <c r="B555" s="370"/>
      <c r="C555" s="716" t="s">
        <v>652</v>
      </c>
      <c r="D555" s="716"/>
      <c r="E555" s="716"/>
      <c r="F555" s="716"/>
      <c r="G555" s="234"/>
      <c r="H555" s="203"/>
    </row>
    <row r="556" spans="2:8" ht="8.25" customHeight="1" x14ac:dyDescent="0.15">
      <c r="B556" s="728"/>
      <c r="C556" s="729"/>
      <c r="D556" s="729"/>
      <c r="E556" s="729"/>
      <c r="F556" s="729"/>
      <c r="G556" s="730"/>
      <c r="H556" s="200"/>
    </row>
    <row r="557" spans="2:8" x14ac:dyDescent="0.15">
      <c r="B557" s="176">
        <v>12</v>
      </c>
      <c r="C557" s="726" t="s">
        <v>871</v>
      </c>
      <c r="D557" s="726"/>
      <c r="E557" s="726"/>
      <c r="F557" s="726"/>
      <c r="G557" s="727"/>
      <c r="H557" s="201"/>
    </row>
    <row r="558" spans="2:8" x14ac:dyDescent="0.15">
      <c r="B558" s="370" t="s">
        <v>723</v>
      </c>
      <c r="C558" s="484" t="s">
        <v>872</v>
      </c>
      <c r="D558" s="487" t="s">
        <v>19</v>
      </c>
      <c r="E558" s="70">
        <f>'CANT. DE OBRA PUERTO LOPEZ'!K399</f>
        <v>1</v>
      </c>
      <c r="F558" s="485"/>
      <c r="G558" s="486"/>
      <c r="H558" s="202"/>
    </row>
    <row r="559" spans="2:8" x14ac:dyDescent="0.15">
      <c r="B559" s="370" t="s">
        <v>724</v>
      </c>
      <c r="C559" s="484" t="s">
        <v>873</v>
      </c>
      <c r="D559" s="487" t="s">
        <v>19</v>
      </c>
      <c r="E559" s="70">
        <f>'CANT. DE OBRA PUERTO LOPEZ'!K406</f>
        <v>1</v>
      </c>
      <c r="F559" s="485"/>
      <c r="G559" s="486"/>
      <c r="H559" s="202"/>
    </row>
    <row r="560" spans="2:8" x14ac:dyDescent="0.15">
      <c r="B560" s="176"/>
      <c r="C560" s="716" t="s">
        <v>726</v>
      </c>
      <c r="D560" s="716"/>
      <c r="E560" s="716"/>
      <c r="F560" s="716"/>
      <c r="G560" s="417"/>
      <c r="H560" s="203"/>
    </row>
    <row r="561" spans="2:8" x14ac:dyDescent="0.15">
      <c r="B561" s="715"/>
      <c r="C561" s="716"/>
      <c r="D561" s="716"/>
      <c r="E561" s="716"/>
      <c r="F561" s="716"/>
      <c r="G561" s="717"/>
      <c r="H561" s="201"/>
    </row>
    <row r="562" spans="2:8" ht="18" customHeight="1" x14ac:dyDescent="0.15">
      <c r="B562" s="705"/>
      <c r="C562" s="781" t="s">
        <v>1139</v>
      </c>
      <c r="D562" s="781"/>
      <c r="E562" s="781"/>
      <c r="F562" s="781"/>
      <c r="G562" s="706"/>
      <c r="H562" s="203"/>
    </row>
    <row r="563" spans="2:8" ht="12" customHeight="1" x14ac:dyDescent="0.15">
      <c r="B563" s="719"/>
      <c r="C563" s="720"/>
      <c r="D563" s="720"/>
      <c r="E563" s="720"/>
      <c r="F563" s="720"/>
      <c r="G563" s="721"/>
      <c r="H563" s="200"/>
    </row>
    <row r="564" spans="2:8" ht="18" customHeight="1" x14ac:dyDescent="0.15">
      <c r="B564" s="675" t="s">
        <v>353</v>
      </c>
      <c r="C564" s="757" t="s">
        <v>1157</v>
      </c>
      <c r="D564" s="757"/>
      <c r="E564" s="757"/>
      <c r="F564" s="757"/>
      <c r="G564" s="758"/>
      <c r="H564" s="201"/>
    </row>
    <row r="565" spans="2:8" x14ac:dyDescent="0.15">
      <c r="B565" s="370">
        <v>1</v>
      </c>
      <c r="C565" s="736" t="s">
        <v>12</v>
      </c>
      <c r="D565" s="736"/>
      <c r="E565" s="736"/>
      <c r="F565" s="736"/>
      <c r="G565" s="737"/>
      <c r="H565" s="201"/>
    </row>
    <row r="566" spans="2:8" x14ac:dyDescent="0.15">
      <c r="B566" s="370" t="s">
        <v>220</v>
      </c>
      <c r="C566" s="484" t="s">
        <v>46</v>
      </c>
      <c r="D566" s="487" t="s">
        <v>5</v>
      </c>
      <c r="E566" s="70">
        <f>'CANT. DE OBRA SANTA COA'!K15</f>
        <v>68.009999999999991</v>
      </c>
      <c r="F566" s="485"/>
      <c r="G566" s="486"/>
      <c r="H566" s="202"/>
    </row>
    <row r="567" spans="2:8" x14ac:dyDescent="0.15">
      <c r="B567" s="370" t="s">
        <v>221</v>
      </c>
      <c r="C567" s="484" t="s">
        <v>844</v>
      </c>
      <c r="D567" s="487" t="s">
        <v>5</v>
      </c>
      <c r="E567" s="70">
        <f>'CANT. DE OBRA SANTA COA'!K22</f>
        <v>93.85</v>
      </c>
      <c r="F567" s="485"/>
      <c r="G567" s="486"/>
      <c r="H567" s="202"/>
    </row>
    <row r="568" spans="2:8" x14ac:dyDescent="0.15">
      <c r="B568" s="370" t="s">
        <v>492</v>
      </c>
      <c r="C568" s="484" t="s">
        <v>845</v>
      </c>
      <c r="D568" s="487" t="s">
        <v>7</v>
      </c>
      <c r="E568" s="70">
        <f>'CANT. DE OBRA SANTA COA'!K30</f>
        <v>60.78</v>
      </c>
      <c r="F568" s="485"/>
      <c r="G568" s="486"/>
      <c r="H568" s="202"/>
    </row>
    <row r="569" spans="2:8" x14ac:dyDescent="0.15">
      <c r="B569" s="370" t="s">
        <v>622</v>
      </c>
      <c r="C569" s="484" t="s">
        <v>847</v>
      </c>
      <c r="D569" s="487" t="s">
        <v>19</v>
      </c>
      <c r="E569" s="70">
        <f>'CANT. DE OBRA SANTA COA'!K37</f>
        <v>1</v>
      </c>
      <c r="F569" s="485"/>
      <c r="G569" s="486"/>
      <c r="H569" s="202"/>
    </row>
    <row r="570" spans="2:8" x14ac:dyDescent="0.15">
      <c r="B570" s="370" t="s">
        <v>838</v>
      </c>
      <c r="C570" s="484" t="s">
        <v>848</v>
      </c>
      <c r="D570" s="487" t="s">
        <v>319</v>
      </c>
      <c r="E570" s="70">
        <f>'CANT. DE OBRA SANTA COA'!K44</f>
        <v>2</v>
      </c>
      <c r="F570" s="485"/>
      <c r="G570" s="486"/>
      <c r="H570" s="202"/>
    </row>
    <row r="571" spans="2:8" x14ac:dyDescent="0.15">
      <c r="B571" s="370" t="s">
        <v>839</v>
      </c>
      <c r="C571" s="484" t="s">
        <v>849</v>
      </c>
      <c r="D571" s="487" t="s">
        <v>319</v>
      </c>
      <c r="E571" s="70">
        <f>'CANT. DE OBRA SANTA COA'!K51</f>
        <v>2</v>
      </c>
      <c r="F571" s="485"/>
      <c r="G571" s="486"/>
      <c r="H571" s="202"/>
    </row>
    <row r="572" spans="2:8" x14ac:dyDescent="0.15">
      <c r="B572" s="370" t="s">
        <v>889</v>
      </c>
      <c r="C572" s="484" t="s">
        <v>843</v>
      </c>
      <c r="D572" s="487" t="s">
        <v>5</v>
      </c>
      <c r="E572" s="70">
        <f>'CANT. DE OBRA SANTA COA'!K59</f>
        <v>235.98000000000002</v>
      </c>
      <c r="F572" s="485"/>
      <c r="G572" s="486"/>
      <c r="H572" s="202"/>
    </row>
    <row r="573" spans="2:8" x14ac:dyDescent="0.15">
      <c r="B573" s="370" t="s">
        <v>994</v>
      </c>
      <c r="C573" s="484" t="s">
        <v>1068</v>
      </c>
      <c r="D573" s="487" t="s">
        <v>319</v>
      </c>
      <c r="E573" s="70">
        <f>'CANT. DE OBRA SANTA COA'!K68</f>
        <v>5</v>
      </c>
      <c r="F573" s="485"/>
      <c r="G573" s="486"/>
      <c r="H573" s="202"/>
    </row>
    <row r="574" spans="2:8" x14ac:dyDescent="0.15">
      <c r="B574" s="370" t="s">
        <v>1087</v>
      </c>
      <c r="C574" s="484" t="s">
        <v>1143</v>
      </c>
      <c r="D574" s="487" t="s">
        <v>5</v>
      </c>
      <c r="E574" s="70">
        <f>'CANT. DE OBRA SANTA COA'!K75</f>
        <v>105</v>
      </c>
      <c r="F574" s="485"/>
      <c r="G574" s="486"/>
      <c r="H574" s="202"/>
    </row>
    <row r="575" spans="2:8" x14ac:dyDescent="0.15">
      <c r="B575" s="370" t="s">
        <v>1142</v>
      </c>
      <c r="C575" s="484" t="s">
        <v>1168</v>
      </c>
      <c r="D575" s="487" t="s">
        <v>5</v>
      </c>
      <c r="E575" s="70">
        <f>'CANT. DE OBRA SANTA COA'!K82</f>
        <v>79.650000000000006</v>
      </c>
      <c r="F575" s="485"/>
      <c r="G575" s="486"/>
      <c r="H575" s="202"/>
    </row>
    <row r="576" spans="2:8" x14ac:dyDescent="0.15">
      <c r="B576" s="370" t="s">
        <v>1169</v>
      </c>
      <c r="C576" s="484" t="s">
        <v>1173</v>
      </c>
      <c r="D576" s="487" t="s">
        <v>7</v>
      </c>
      <c r="E576" s="70">
        <f>'CANT. DE OBRA SANTA COA'!K89</f>
        <v>9.6</v>
      </c>
      <c r="F576" s="485"/>
      <c r="G576" s="486"/>
      <c r="H576" s="202"/>
    </row>
    <row r="577" spans="2:8" x14ac:dyDescent="0.15">
      <c r="B577" s="370" t="s">
        <v>1172</v>
      </c>
      <c r="C577" s="484" t="s">
        <v>1170</v>
      </c>
      <c r="D577" s="487" t="s">
        <v>319</v>
      </c>
      <c r="E577" s="70">
        <f>'CANT. DE OBRA SANTA COA'!K98</f>
        <v>9</v>
      </c>
      <c r="F577" s="485"/>
      <c r="G577" s="486"/>
      <c r="H577" s="202"/>
    </row>
    <row r="578" spans="2:8" x14ac:dyDescent="0.15">
      <c r="B578" s="370" t="s">
        <v>1174</v>
      </c>
      <c r="C578" s="484" t="s">
        <v>1171</v>
      </c>
      <c r="D578" s="487" t="s">
        <v>319</v>
      </c>
      <c r="E578" s="70">
        <f>'CANT. DE OBRA SANTA COA'!K105</f>
        <v>2</v>
      </c>
      <c r="F578" s="485"/>
      <c r="G578" s="486"/>
      <c r="H578" s="202"/>
    </row>
    <row r="579" spans="2:8" ht="27.75" customHeight="1" x14ac:dyDescent="0.15">
      <c r="B579" s="370" t="s">
        <v>1177</v>
      </c>
      <c r="C579" s="484" t="s">
        <v>494</v>
      </c>
      <c r="D579" s="487" t="s">
        <v>6</v>
      </c>
      <c r="E579" s="70">
        <f>'CANT. DE OBRA SANTA COA'!K115</f>
        <v>32.2517</v>
      </c>
      <c r="F579" s="485"/>
      <c r="G579" s="486"/>
      <c r="H579" s="202"/>
    </row>
    <row r="580" spans="2:8" ht="16.5" customHeight="1" x14ac:dyDescent="0.15">
      <c r="B580" s="370"/>
      <c r="C580" s="731" t="s">
        <v>11</v>
      </c>
      <c r="D580" s="732"/>
      <c r="E580" s="732"/>
      <c r="F580" s="733"/>
      <c r="G580" s="234"/>
      <c r="H580" s="203"/>
    </row>
    <row r="581" spans="2:8" ht="8.25" customHeight="1" x14ac:dyDescent="0.15">
      <c r="B581" s="719"/>
      <c r="C581" s="720"/>
      <c r="D581" s="720"/>
      <c r="E581" s="720"/>
      <c r="F581" s="720"/>
      <c r="G581" s="721"/>
      <c r="H581" s="200"/>
    </row>
    <row r="582" spans="2:8" x14ac:dyDescent="0.15">
      <c r="B582" s="370">
        <v>2</v>
      </c>
      <c r="C582" s="736" t="s">
        <v>115</v>
      </c>
      <c r="D582" s="736"/>
      <c r="E582" s="736"/>
      <c r="F582" s="736"/>
      <c r="G582" s="737"/>
      <c r="H582" s="201"/>
    </row>
    <row r="583" spans="2:8" x14ac:dyDescent="0.15">
      <c r="B583" s="370" t="s">
        <v>216</v>
      </c>
      <c r="C583" s="484" t="s">
        <v>890</v>
      </c>
      <c r="D583" s="487" t="s">
        <v>6</v>
      </c>
      <c r="E583" s="70">
        <f>'CANT. DE OBRA SANTA COA'!K126</f>
        <v>13.175625</v>
      </c>
      <c r="F583" s="485"/>
      <c r="G583" s="486"/>
      <c r="H583" s="202"/>
    </row>
    <row r="584" spans="2:8" x14ac:dyDescent="0.15">
      <c r="B584" s="370" t="s">
        <v>217</v>
      </c>
      <c r="C584" s="484" t="s">
        <v>491</v>
      </c>
      <c r="D584" s="487" t="s">
        <v>6</v>
      </c>
      <c r="E584" s="70">
        <f>'CANT. DE OBRA SANTA COA'!K134</f>
        <v>1.7310000000000001</v>
      </c>
      <c r="F584" s="485"/>
      <c r="G584" s="486"/>
      <c r="H584" s="202"/>
    </row>
    <row r="585" spans="2:8" ht="26" x14ac:dyDescent="0.15">
      <c r="B585" s="370" t="s">
        <v>218</v>
      </c>
      <c r="C585" s="484" t="s">
        <v>1004</v>
      </c>
      <c r="D585" s="487" t="s">
        <v>6</v>
      </c>
      <c r="E585" s="70">
        <f>'CANT. DE OBRA SANTA COA'!L145</f>
        <v>14.016999999999999</v>
      </c>
      <c r="F585" s="485"/>
      <c r="G585" s="486"/>
      <c r="H585" s="202"/>
    </row>
    <row r="586" spans="2:8" ht="27.75" customHeight="1" x14ac:dyDescent="0.15">
      <c r="B586" s="370" t="s">
        <v>219</v>
      </c>
      <c r="C586" s="484" t="s">
        <v>494</v>
      </c>
      <c r="D586" s="487" t="s">
        <v>6</v>
      </c>
      <c r="E586" s="70">
        <f>'CANT. DE OBRA SANTA COA'!K152</f>
        <v>14.878012500000001</v>
      </c>
      <c r="F586" s="485"/>
      <c r="G586" s="486"/>
      <c r="H586" s="202"/>
    </row>
    <row r="587" spans="2:8" ht="16.5" customHeight="1" x14ac:dyDescent="0.15">
      <c r="B587" s="370"/>
      <c r="C587" s="731" t="s">
        <v>10</v>
      </c>
      <c r="D587" s="732"/>
      <c r="E587" s="732"/>
      <c r="F587" s="733"/>
      <c r="G587" s="234"/>
      <c r="H587" s="203"/>
    </row>
    <row r="588" spans="2:8" ht="8.25" customHeight="1" x14ac:dyDescent="0.15">
      <c r="B588" s="728"/>
      <c r="C588" s="729"/>
      <c r="D588" s="729"/>
      <c r="E588" s="729"/>
      <c r="F588" s="729"/>
      <c r="G588" s="730"/>
      <c r="H588" s="200"/>
    </row>
    <row r="589" spans="2:8" x14ac:dyDescent="0.15">
      <c r="B589" s="176">
        <v>3</v>
      </c>
      <c r="C589" s="726" t="s">
        <v>18</v>
      </c>
      <c r="D589" s="726"/>
      <c r="E589" s="726"/>
      <c r="F589" s="726"/>
      <c r="G589" s="727"/>
      <c r="H589" s="204"/>
    </row>
    <row r="590" spans="2:8" x14ac:dyDescent="0.15">
      <c r="B590" s="370" t="s">
        <v>210</v>
      </c>
      <c r="C590" s="484" t="s">
        <v>568</v>
      </c>
      <c r="D590" s="487" t="s">
        <v>6</v>
      </c>
      <c r="E590" s="70">
        <f>'CANT. DE OBRA SANTA COA'!K161</f>
        <v>0.35750000000000004</v>
      </c>
      <c r="F590" s="485"/>
      <c r="G590" s="486"/>
      <c r="H590" s="202"/>
    </row>
    <row r="591" spans="2:8" ht="40.5" customHeight="1" x14ac:dyDescent="0.15">
      <c r="B591" s="370" t="s">
        <v>211</v>
      </c>
      <c r="C591" s="484" t="s">
        <v>629</v>
      </c>
      <c r="D591" s="487" t="s">
        <v>319</v>
      </c>
      <c r="E591" s="70">
        <f>'CANT. DE OBRA SANTA COA'!K168</f>
        <v>1</v>
      </c>
      <c r="F591" s="485"/>
      <c r="G591" s="486"/>
      <c r="H591" s="202"/>
    </row>
    <row r="592" spans="2:8" ht="40.5" customHeight="1" x14ac:dyDescent="0.15">
      <c r="B592" s="370" t="s">
        <v>213</v>
      </c>
      <c r="C592" s="484" t="s">
        <v>1553</v>
      </c>
      <c r="D592" s="487" t="s">
        <v>319</v>
      </c>
      <c r="E592" s="70">
        <f>'CANT. DE OBRA SANTA COA'!K175</f>
        <v>15</v>
      </c>
      <c r="F592" s="485"/>
      <c r="G592" s="486"/>
      <c r="H592" s="202"/>
    </row>
    <row r="593" spans="2:8" ht="40.5" customHeight="1" x14ac:dyDescent="0.15">
      <c r="B593" s="370" t="s">
        <v>601</v>
      </c>
      <c r="C593" s="484" t="s">
        <v>1519</v>
      </c>
      <c r="D593" s="487" t="s">
        <v>7</v>
      </c>
      <c r="E593" s="70">
        <f>'CANT. DE OBRA SANTA COA'!K183</f>
        <v>61.05</v>
      </c>
      <c r="F593" s="485"/>
      <c r="G593" s="486"/>
      <c r="H593" s="202"/>
    </row>
    <row r="594" spans="2:8" ht="40.5" customHeight="1" x14ac:dyDescent="0.15">
      <c r="B594" s="370" t="s">
        <v>215</v>
      </c>
      <c r="C594" s="484" t="s">
        <v>1585</v>
      </c>
      <c r="D594" s="487" t="s">
        <v>7</v>
      </c>
      <c r="E594" s="70">
        <f>'CANT. DE OBRA SANTA COA'!K190</f>
        <v>1.5</v>
      </c>
      <c r="F594" s="485"/>
      <c r="G594" s="486"/>
      <c r="H594" s="202"/>
    </row>
    <row r="595" spans="2:8" ht="40.5" customHeight="1" x14ac:dyDescent="0.15">
      <c r="B595" s="370" t="s">
        <v>226</v>
      </c>
      <c r="C595" s="484" t="s">
        <v>1549</v>
      </c>
      <c r="D595" s="487" t="s">
        <v>7</v>
      </c>
      <c r="E595" s="70">
        <f>'CANT. DE OBRA SANTA COA'!K197</f>
        <v>4</v>
      </c>
      <c r="F595" s="485"/>
      <c r="G595" s="486"/>
      <c r="H595" s="202"/>
    </row>
    <row r="596" spans="2:8" ht="40.5" customHeight="1" x14ac:dyDescent="0.15">
      <c r="B596" s="370" t="s">
        <v>228</v>
      </c>
      <c r="C596" s="484" t="s">
        <v>1520</v>
      </c>
      <c r="D596" s="487" t="s">
        <v>7</v>
      </c>
      <c r="E596" s="70">
        <f>'CANT. DE OBRA SANTA COA'!K204</f>
        <v>37.5</v>
      </c>
      <c r="F596" s="485"/>
      <c r="G596" s="486"/>
      <c r="H596" s="202"/>
    </row>
    <row r="597" spans="2:8" ht="26" x14ac:dyDescent="0.15">
      <c r="B597" s="370" t="s">
        <v>230</v>
      </c>
      <c r="C597" s="484" t="s">
        <v>1521</v>
      </c>
      <c r="D597" s="487" t="s">
        <v>7</v>
      </c>
      <c r="E597" s="70">
        <f>'CANT. DE OBRA SANTA COA'!K211</f>
        <v>42</v>
      </c>
      <c r="F597" s="485"/>
      <c r="G597" s="486"/>
      <c r="H597" s="202"/>
    </row>
    <row r="598" spans="2:8" ht="26" x14ac:dyDescent="0.15">
      <c r="B598" s="370" t="s">
        <v>631</v>
      </c>
      <c r="C598" s="484" t="s">
        <v>1522</v>
      </c>
      <c r="D598" s="487" t="s">
        <v>5</v>
      </c>
      <c r="E598" s="70">
        <f>'CANT. DE OBRA SANTA COA'!K218</f>
        <v>1.44</v>
      </c>
      <c r="F598" s="485"/>
      <c r="G598" s="486"/>
      <c r="H598" s="202"/>
    </row>
    <row r="599" spans="2:8" ht="27" customHeight="1" x14ac:dyDescent="0.15">
      <c r="B599" s="370" t="s">
        <v>632</v>
      </c>
      <c r="C599" s="484" t="s">
        <v>1523</v>
      </c>
      <c r="D599" s="487" t="s">
        <v>5</v>
      </c>
      <c r="E599" s="70">
        <f>'CANT. DE OBRA SANTA COA'!K225</f>
        <v>79.650000000000006</v>
      </c>
      <c r="F599" s="485"/>
      <c r="G599" s="486"/>
      <c r="H599" s="202"/>
    </row>
    <row r="600" spans="2:8" ht="26" x14ac:dyDescent="0.15">
      <c r="B600" s="370" t="s">
        <v>661</v>
      </c>
      <c r="C600" s="484" t="s">
        <v>895</v>
      </c>
      <c r="D600" s="487" t="s">
        <v>5</v>
      </c>
      <c r="E600" s="70">
        <f>'CANT. DE OBRA SANTA COA'!K235</f>
        <v>35.576000000000001</v>
      </c>
      <c r="F600" s="485"/>
      <c r="G600" s="486"/>
      <c r="H600" s="202"/>
    </row>
    <row r="601" spans="2:8" ht="26" x14ac:dyDescent="0.15">
      <c r="B601" s="370" t="s">
        <v>662</v>
      </c>
      <c r="C601" s="484" t="s">
        <v>1195</v>
      </c>
      <c r="D601" s="487" t="s">
        <v>7</v>
      </c>
      <c r="E601" s="70">
        <f>'CANT. DE OBRA SANTA COA'!K243</f>
        <v>38.58</v>
      </c>
      <c r="F601" s="485"/>
      <c r="G601" s="486"/>
      <c r="H601" s="202"/>
    </row>
    <row r="602" spans="2:8" ht="26" x14ac:dyDescent="0.15">
      <c r="B602" s="370" t="s">
        <v>1583</v>
      </c>
      <c r="C602" s="484" t="s">
        <v>1232</v>
      </c>
      <c r="D602" s="487" t="s">
        <v>5</v>
      </c>
      <c r="E602" s="70">
        <f>'CANT. DE OBRA SANTA COA'!K250</f>
        <v>3.4600000000000004</v>
      </c>
      <c r="F602" s="485"/>
      <c r="G602" s="486"/>
      <c r="H602" s="202"/>
    </row>
    <row r="603" spans="2:8" ht="16.5" customHeight="1" x14ac:dyDescent="0.15">
      <c r="B603" s="370"/>
      <c r="C603" s="731" t="s">
        <v>13</v>
      </c>
      <c r="D603" s="732"/>
      <c r="E603" s="732"/>
      <c r="F603" s="733"/>
      <c r="G603" s="234"/>
      <c r="H603" s="203"/>
    </row>
    <row r="604" spans="2:8" ht="8.25" customHeight="1" x14ac:dyDescent="0.15">
      <c r="B604" s="728"/>
      <c r="C604" s="729"/>
      <c r="D604" s="729"/>
      <c r="E604" s="729"/>
      <c r="F604" s="729"/>
      <c r="G604" s="730"/>
      <c r="H604" s="200"/>
    </row>
    <row r="605" spans="2:8" x14ac:dyDescent="0.15">
      <c r="B605" s="176">
        <v>4</v>
      </c>
      <c r="C605" s="726" t="s">
        <v>80</v>
      </c>
      <c r="D605" s="726"/>
      <c r="E605" s="726"/>
      <c r="F605" s="726"/>
      <c r="G605" s="727"/>
      <c r="H605" s="201"/>
    </row>
    <row r="606" spans="2:8" x14ac:dyDescent="0.15">
      <c r="B606" s="370" t="s">
        <v>265</v>
      </c>
      <c r="C606" s="484" t="s">
        <v>167</v>
      </c>
      <c r="D606" s="487" t="s">
        <v>5</v>
      </c>
      <c r="E606" s="70">
        <f>'CANT. DE OBRA SANTA COA'!K257</f>
        <v>76.5</v>
      </c>
      <c r="F606" s="485"/>
      <c r="G606" s="486"/>
      <c r="H606" s="202"/>
    </row>
    <row r="607" spans="2:8" ht="15" customHeight="1" x14ac:dyDescent="0.15">
      <c r="B607" s="370" t="s">
        <v>266</v>
      </c>
      <c r="C607" s="484" t="s">
        <v>1025</v>
      </c>
      <c r="D607" s="487" t="s">
        <v>5</v>
      </c>
      <c r="E607" s="70">
        <f>'CANT. DE OBRA SANTA COA'!K268</f>
        <v>207.58799999999999</v>
      </c>
      <c r="F607" s="485"/>
      <c r="G607" s="486"/>
      <c r="H607" s="202"/>
    </row>
    <row r="608" spans="2:8" ht="15" customHeight="1" x14ac:dyDescent="0.15">
      <c r="B608" s="370" t="s">
        <v>267</v>
      </c>
      <c r="C608" s="484" t="s">
        <v>1078</v>
      </c>
      <c r="D608" s="487" t="s">
        <v>7</v>
      </c>
      <c r="E608" s="70">
        <f>'CANT. DE OBRA SANTA COA'!K275</f>
        <v>126</v>
      </c>
      <c r="F608" s="485"/>
      <c r="G608" s="486"/>
      <c r="H608" s="202"/>
    </row>
    <row r="609" spans="2:8" ht="16.5" customHeight="1" x14ac:dyDescent="0.15">
      <c r="B609" s="370"/>
      <c r="C609" s="731" t="s">
        <v>14</v>
      </c>
      <c r="D609" s="732"/>
      <c r="E609" s="732"/>
      <c r="F609" s="733"/>
      <c r="G609" s="234"/>
      <c r="H609" s="203"/>
    </row>
    <row r="610" spans="2:8" ht="8.25" customHeight="1" x14ac:dyDescent="0.15">
      <c r="B610" s="728"/>
      <c r="C610" s="729"/>
      <c r="D610" s="729"/>
      <c r="E610" s="729"/>
      <c r="F610" s="729"/>
      <c r="G610" s="730"/>
      <c r="H610" s="200"/>
    </row>
    <row r="611" spans="2:8" x14ac:dyDescent="0.15">
      <c r="B611" s="176">
        <v>5</v>
      </c>
      <c r="C611" s="726" t="s">
        <v>9</v>
      </c>
      <c r="D611" s="726"/>
      <c r="E611" s="726"/>
      <c r="F611" s="726"/>
      <c r="G611" s="727"/>
      <c r="H611" s="201"/>
    </row>
    <row r="612" spans="2:8" x14ac:dyDescent="0.15">
      <c r="B612" s="370" t="s">
        <v>232</v>
      </c>
      <c r="C612" s="484" t="s">
        <v>854</v>
      </c>
      <c r="D612" s="487" t="s">
        <v>5</v>
      </c>
      <c r="E612" s="70">
        <f>'CANT. DE OBRA SANTA COA'!K284</f>
        <v>392.15500000000003</v>
      </c>
      <c r="F612" s="485"/>
      <c r="G612" s="486"/>
      <c r="H612" s="202"/>
    </row>
    <row r="613" spans="2:8" x14ac:dyDescent="0.15">
      <c r="B613" s="370" t="s">
        <v>243</v>
      </c>
      <c r="C613" s="484" t="s">
        <v>870</v>
      </c>
      <c r="D613" s="487" t="s">
        <v>7</v>
      </c>
      <c r="E613" s="70">
        <f>'CANT. DE OBRA SANTA COA'!K291</f>
        <v>89.65</v>
      </c>
      <c r="F613" s="485"/>
      <c r="G613" s="486"/>
      <c r="H613" s="202"/>
    </row>
    <row r="614" spans="2:8" x14ac:dyDescent="0.15">
      <c r="B614" s="370" t="s">
        <v>672</v>
      </c>
      <c r="C614" s="484" t="s">
        <v>851</v>
      </c>
      <c r="D614" s="487" t="s">
        <v>5</v>
      </c>
      <c r="E614" s="70">
        <f>'CANT. DE OBRA SANTA COA'!K298</f>
        <v>73.64</v>
      </c>
      <c r="F614" s="485"/>
      <c r="G614" s="486"/>
      <c r="H614" s="202"/>
    </row>
    <row r="615" spans="2:8" x14ac:dyDescent="0.15">
      <c r="B615" s="370" t="s">
        <v>673</v>
      </c>
      <c r="C615" s="484" t="s">
        <v>852</v>
      </c>
      <c r="D615" s="487" t="s">
        <v>5</v>
      </c>
      <c r="E615" s="70">
        <f>'CANT. DE OBRA SANTA COA'!K305</f>
        <v>79.64</v>
      </c>
      <c r="F615" s="485"/>
      <c r="G615" s="486"/>
      <c r="H615" s="202"/>
    </row>
    <row r="616" spans="2:8" x14ac:dyDescent="0.15">
      <c r="B616" s="370" t="s">
        <v>898</v>
      </c>
      <c r="C616" s="484" t="s">
        <v>913</v>
      </c>
      <c r="D616" s="487" t="s">
        <v>7</v>
      </c>
      <c r="E616" s="70">
        <f>'CANT. DE OBRA SANTA COA'!K312</f>
        <v>89.64</v>
      </c>
      <c r="F616" s="485"/>
      <c r="G616" s="486"/>
      <c r="H616" s="202"/>
    </row>
    <row r="617" spans="2:8" x14ac:dyDescent="0.15">
      <c r="B617" s="370" t="s">
        <v>1103</v>
      </c>
      <c r="C617" s="484" t="s">
        <v>1079</v>
      </c>
      <c r="D617" s="487" t="s">
        <v>5</v>
      </c>
      <c r="E617" s="70">
        <f>'CANT. DE OBRA SANTA COA'!K323</f>
        <v>208.89</v>
      </c>
      <c r="F617" s="485"/>
      <c r="G617" s="486"/>
      <c r="H617" s="202"/>
    </row>
    <row r="618" spans="2:8" x14ac:dyDescent="0.15">
      <c r="B618" s="176"/>
      <c r="C618" s="716" t="s">
        <v>15</v>
      </c>
      <c r="D618" s="716"/>
      <c r="E618" s="716"/>
      <c r="F618" s="716"/>
      <c r="G618" s="234"/>
      <c r="H618" s="203"/>
    </row>
    <row r="619" spans="2:8" ht="8.25" customHeight="1" x14ac:dyDescent="0.15">
      <c r="B619" s="728"/>
      <c r="C619" s="729"/>
      <c r="D619" s="729"/>
      <c r="E619" s="729"/>
      <c r="F619" s="729"/>
      <c r="G619" s="730"/>
    </row>
    <row r="620" spans="2:8" x14ac:dyDescent="0.15">
      <c r="B620" s="176">
        <v>6</v>
      </c>
      <c r="C620" s="726" t="s">
        <v>684</v>
      </c>
      <c r="D620" s="726"/>
      <c r="E620" s="726"/>
      <c r="F620" s="726"/>
      <c r="G620" s="727"/>
    </row>
    <row r="621" spans="2:8" x14ac:dyDescent="0.15">
      <c r="B621" s="370" t="s">
        <v>591</v>
      </c>
      <c r="C621" s="484" t="s">
        <v>915</v>
      </c>
      <c r="D621" s="487" t="s">
        <v>19</v>
      </c>
      <c r="E621" s="70">
        <f>'CANT. DE OBRA SANTA COA'!K330</f>
        <v>1</v>
      </c>
      <c r="F621" s="485"/>
      <c r="G621" s="486"/>
    </row>
    <row r="622" spans="2:8" ht="42" customHeight="1" x14ac:dyDescent="0.15">
      <c r="B622" s="370" t="s">
        <v>592</v>
      </c>
      <c r="C622" s="484" t="s">
        <v>859</v>
      </c>
      <c r="D622" s="694" t="s">
        <v>319</v>
      </c>
      <c r="E622" s="70">
        <f>'CANT. DE OBRA SANTA COA'!K337</f>
        <v>1</v>
      </c>
      <c r="F622" s="485"/>
      <c r="G622" s="486"/>
    </row>
    <row r="623" spans="2:8" ht="12.75" customHeight="1" x14ac:dyDescent="0.15">
      <c r="B623" s="176"/>
      <c r="C623" s="726" t="s">
        <v>692</v>
      </c>
      <c r="D623" s="726"/>
      <c r="E623" s="726"/>
      <c r="F623" s="726"/>
      <c r="G623" s="480"/>
    </row>
    <row r="624" spans="2:8" x14ac:dyDescent="0.15">
      <c r="B624" s="704">
        <v>6.3</v>
      </c>
      <c r="C624" s="484" t="s">
        <v>693</v>
      </c>
      <c r="D624" s="487" t="s">
        <v>319</v>
      </c>
      <c r="E624" s="70">
        <f>'CANT. DE OBRA SANTA COA'!K344</f>
        <v>1</v>
      </c>
      <c r="F624" s="485"/>
      <c r="G624" s="486"/>
    </row>
    <row r="625" spans="2:8" x14ac:dyDescent="0.15">
      <c r="B625" s="176"/>
      <c r="C625" s="716" t="s">
        <v>594</v>
      </c>
      <c r="D625" s="716"/>
      <c r="E625" s="716"/>
      <c r="F625" s="716"/>
      <c r="G625" s="234"/>
    </row>
    <row r="626" spans="2:8" ht="8.25" customHeight="1" x14ac:dyDescent="0.15">
      <c r="B626" s="728"/>
      <c r="C626" s="729"/>
      <c r="D626" s="729"/>
      <c r="E626" s="729"/>
      <c r="F626" s="729"/>
      <c r="G626" s="730"/>
    </row>
    <row r="627" spans="2:8" x14ac:dyDescent="0.15">
      <c r="B627" s="176">
        <v>7</v>
      </c>
      <c r="C627" s="726" t="s">
        <v>499</v>
      </c>
      <c r="D627" s="726"/>
      <c r="E627" s="726"/>
      <c r="F627" s="726"/>
      <c r="G627" s="727"/>
    </row>
    <row r="628" spans="2:8" x14ac:dyDescent="0.15">
      <c r="B628" s="370" t="s">
        <v>235</v>
      </c>
      <c r="C628" s="484" t="s">
        <v>916</v>
      </c>
      <c r="D628" s="487" t="s">
        <v>19</v>
      </c>
      <c r="E628" s="70">
        <f>'CANT. DE OBRA SANTA COA'!K351</f>
        <v>1</v>
      </c>
      <c r="F628" s="485"/>
      <c r="G628" s="486"/>
    </row>
    <row r="629" spans="2:8" x14ac:dyDescent="0.15">
      <c r="B629" s="370" t="s">
        <v>236</v>
      </c>
      <c r="C629" s="484" t="s">
        <v>857</v>
      </c>
      <c r="D629" s="487" t="s">
        <v>319</v>
      </c>
      <c r="E629" s="70">
        <f>'CANT. DE OBRA SANTA COA'!K358</f>
        <v>2</v>
      </c>
      <c r="F629" s="485"/>
      <c r="G629" s="486"/>
    </row>
    <row r="630" spans="2:8" ht="27" customHeight="1" x14ac:dyDescent="0.15">
      <c r="B630" s="370" t="s">
        <v>244</v>
      </c>
      <c r="C630" s="484" t="s">
        <v>858</v>
      </c>
      <c r="D630" s="487" t="s">
        <v>319</v>
      </c>
      <c r="E630" s="70">
        <f>'CANT. DE OBRA SANTA COA'!K365</f>
        <v>1</v>
      </c>
      <c r="F630" s="485"/>
      <c r="G630" s="486"/>
    </row>
    <row r="631" spans="2:8" x14ac:dyDescent="0.15">
      <c r="B631" s="704" t="s">
        <v>1141</v>
      </c>
      <c r="C631" s="484" t="s">
        <v>1140</v>
      </c>
      <c r="D631" s="487" t="s">
        <v>319</v>
      </c>
      <c r="E631" s="70">
        <f>'CANT. DE OBRA SANTA COA'!K372</f>
        <v>1</v>
      </c>
      <c r="F631" s="485"/>
      <c r="G631" s="486"/>
    </row>
    <row r="632" spans="2:8" x14ac:dyDescent="0.15">
      <c r="B632" s="176"/>
      <c r="C632" s="716" t="s">
        <v>16</v>
      </c>
      <c r="D632" s="716"/>
      <c r="E632" s="716"/>
      <c r="F632" s="716"/>
      <c r="G632" s="234"/>
    </row>
    <row r="633" spans="2:8" ht="8.25" customHeight="1" x14ac:dyDescent="0.15">
      <c r="B633" s="728"/>
      <c r="C633" s="729"/>
      <c r="D633" s="729"/>
      <c r="E633" s="729"/>
      <c r="F633" s="729"/>
      <c r="G633" s="730"/>
      <c r="H633" s="200"/>
    </row>
    <row r="634" spans="2:8" x14ac:dyDescent="0.15">
      <c r="B634" s="176">
        <v>8</v>
      </c>
      <c r="C634" s="726" t="s">
        <v>500</v>
      </c>
      <c r="D634" s="726"/>
      <c r="E634" s="726"/>
      <c r="F634" s="726"/>
      <c r="G634" s="727"/>
      <c r="H634" s="201"/>
    </row>
    <row r="635" spans="2:8" x14ac:dyDescent="0.15">
      <c r="B635" s="370" t="s">
        <v>237</v>
      </c>
      <c r="C635" s="484" t="s">
        <v>860</v>
      </c>
      <c r="D635" s="487" t="s">
        <v>7</v>
      </c>
      <c r="E635" s="70">
        <f>'CANT. DE OBRA SANTA COA'!K379</f>
        <v>85</v>
      </c>
      <c r="F635" s="485"/>
      <c r="G635" s="486"/>
      <c r="H635" s="202"/>
    </row>
    <row r="636" spans="2:8" x14ac:dyDescent="0.15">
      <c r="B636" s="370" t="s">
        <v>238</v>
      </c>
      <c r="C636" s="484" t="s">
        <v>865</v>
      </c>
      <c r="D636" s="487" t="s">
        <v>319</v>
      </c>
      <c r="E636" s="70">
        <f>'CANT. DE OBRA SANTA COA'!K386</f>
        <v>1</v>
      </c>
      <c r="F636" s="485"/>
      <c r="G636" s="486"/>
      <c r="H636" s="202"/>
    </row>
    <row r="637" spans="2:8" x14ac:dyDescent="0.15">
      <c r="B637" s="370" t="s">
        <v>239</v>
      </c>
      <c r="C637" s="484" t="s">
        <v>866</v>
      </c>
      <c r="D637" s="487" t="s">
        <v>319</v>
      </c>
      <c r="E637" s="70">
        <f>'CANT. DE OBRA SANTA COA'!K395</f>
        <v>26</v>
      </c>
      <c r="F637" s="485"/>
      <c r="G637" s="486"/>
      <c r="H637" s="202"/>
    </row>
    <row r="638" spans="2:8" x14ac:dyDescent="0.15">
      <c r="B638" s="370" t="s">
        <v>240</v>
      </c>
      <c r="C638" s="484" t="s">
        <v>862</v>
      </c>
      <c r="D638" s="487" t="s">
        <v>319</v>
      </c>
      <c r="E638" s="70">
        <f>'CANT. DE OBRA SANTA COA'!K402</f>
        <v>11</v>
      </c>
      <c r="F638" s="485"/>
      <c r="G638" s="486"/>
      <c r="H638" s="202"/>
    </row>
    <row r="639" spans="2:8" x14ac:dyDescent="0.15">
      <c r="B639" s="370" t="s">
        <v>257</v>
      </c>
      <c r="C639" s="484" t="s">
        <v>863</v>
      </c>
      <c r="D639" s="487" t="s">
        <v>319</v>
      </c>
      <c r="E639" s="70">
        <f>'CANT. DE OBRA SANTA COA'!K409</f>
        <v>4</v>
      </c>
      <c r="F639" s="485"/>
      <c r="G639" s="486"/>
      <c r="H639" s="202"/>
    </row>
    <row r="640" spans="2:8" x14ac:dyDescent="0.15">
      <c r="B640" s="370" t="s">
        <v>258</v>
      </c>
      <c r="C640" s="484" t="s">
        <v>864</v>
      </c>
      <c r="D640" s="487" t="s">
        <v>319</v>
      </c>
      <c r="E640" s="70">
        <f>'CANT. DE OBRA SANTA COA'!K416</f>
        <v>11</v>
      </c>
      <c r="F640" s="485"/>
      <c r="G640" s="486"/>
      <c r="H640" s="202"/>
    </row>
    <row r="641" spans="2:8" x14ac:dyDescent="0.15">
      <c r="B641" s="370" t="s">
        <v>259</v>
      </c>
      <c r="C641" s="484" t="s">
        <v>861</v>
      </c>
      <c r="D641" s="487" t="s">
        <v>319</v>
      </c>
      <c r="E641" s="70">
        <f>'CANT. DE OBRA SANTA COA'!K423</f>
        <v>5</v>
      </c>
      <c r="F641" s="485"/>
      <c r="G641" s="486"/>
      <c r="H641" s="202"/>
    </row>
    <row r="642" spans="2:8" x14ac:dyDescent="0.15">
      <c r="B642" s="176"/>
      <c r="C642" s="716" t="s">
        <v>17</v>
      </c>
      <c r="D642" s="716"/>
      <c r="E642" s="716"/>
      <c r="F642" s="716"/>
      <c r="G642" s="234"/>
      <c r="H642" s="203"/>
    </row>
    <row r="643" spans="2:8" ht="8.25" customHeight="1" x14ac:dyDescent="0.15">
      <c r="B643" s="728"/>
      <c r="C643" s="729"/>
      <c r="D643" s="729"/>
      <c r="E643" s="729"/>
      <c r="F643" s="729"/>
      <c r="G643" s="730"/>
      <c r="H643" s="200"/>
    </row>
    <row r="644" spans="2:8" x14ac:dyDescent="0.15">
      <c r="B644" s="176">
        <v>9</v>
      </c>
      <c r="C644" s="726" t="s">
        <v>107</v>
      </c>
      <c r="D644" s="726"/>
      <c r="E644" s="726"/>
      <c r="F644" s="726"/>
      <c r="G644" s="727"/>
      <c r="H644" s="201"/>
    </row>
    <row r="645" spans="2:8" ht="26" x14ac:dyDescent="0.15">
      <c r="B645" s="370" t="s">
        <v>249</v>
      </c>
      <c r="C645" s="484" t="s">
        <v>867</v>
      </c>
      <c r="D645" s="487" t="s">
        <v>7</v>
      </c>
      <c r="E645" s="70">
        <f>'CANT. DE OBRA SANTA COA'!K431</f>
        <v>81.040000000000006</v>
      </c>
      <c r="F645" s="485"/>
      <c r="G645" s="486"/>
      <c r="H645" s="202"/>
    </row>
    <row r="646" spans="2:8" x14ac:dyDescent="0.15">
      <c r="B646" s="370" t="s">
        <v>250</v>
      </c>
      <c r="C646" s="484" t="s">
        <v>869</v>
      </c>
      <c r="D646" s="487" t="s">
        <v>7</v>
      </c>
      <c r="E646" s="70">
        <f>'CANT. DE OBRA SANTA COA'!K439</f>
        <v>81.040000000000006</v>
      </c>
      <c r="F646" s="485"/>
      <c r="G646" s="486"/>
      <c r="H646" s="202"/>
    </row>
    <row r="647" spans="2:8" x14ac:dyDescent="0.15">
      <c r="B647" s="370" t="s">
        <v>251</v>
      </c>
      <c r="C647" s="484" t="s">
        <v>868</v>
      </c>
      <c r="D647" s="487" t="s">
        <v>5</v>
      </c>
      <c r="E647" s="70">
        <f>'CANT. DE OBRA SANTA COA'!K446</f>
        <v>93.85</v>
      </c>
      <c r="F647" s="485"/>
      <c r="G647" s="486"/>
      <c r="H647" s="202"/>
    </row>
    <row r="648" spans="2:8" x14ac:dyDescent="0.15">
      <c r="B648" s="370" t="s">
        <v>708</v>
      </c>
      <c r="C648" s="484" t="s">
        <v>1378</v>
      </c>
      <c r="D648" s="487" t="s">
        <v>5</v>
      </c>
      <c r="E648" s="70">
        <f>'CANT. DE OBRA SANTA COA'!K453</f>
        <v>10.300800000000001</v>
      </c>
      <c r="F648" s="485"/>
      <c r="G648" s="486"/>
      <c r="H648" s="202"/>
    </row>
    <row r="649" spans="2:8" x14ac:dyDescent="0.15">
      <c r="B649" s="176"/>
      <c r="C649" s="716" t="s">
        <v>95</v>
      </c>
      <c r="D649" s="716"/>
      <c r="E649" s="716"/>
      <c r="F649" s="716"/>
      <c r="G649" s="234"/>
      <c r="H649" s="203"/>
    </row>
    <row r="650" spans="2:8" ht="10.5" customHeight="1" x14ac:dyDescent="0.15">
      <c r="B650" s="712"/>
      <c r="C650" s="713"/>
      <c r="D650" s="713"/>
      <c r="E650" s="713"/>
      <c r="F650" s="713"/>
      <c r="G650" s="714"/>
      <c r="H650" s="205"/>
    </row>
    <row r="651" spans="2:8" x14ac:dyDescent="0.15">
      <c r="B651" s="176">
        <v>10</v>
      </c>
      <c r="C651" s="726" t="s">
        <v>234</v>
      </c>
      <c r="D651" s="726"/>
      <c r="E651" s="726"/>
      <c r="F651" s="726"/>
      <c r="G651" s="727"/>
      <c r="H651" s="201"/>
    </row>
    <row r="652" spans="2:8" x14ac:dyDescent="0.15">
      <c r="B652" s="370" t="s">
        <v>720</v>
      </c>
      <c r="C652" s="484" t="s">
        <v>1590</v>
      </c>
      <c r="D652" s="487" t="s">
        <v>319</v>
      </c>
      <c r="E652" s="70">
        <f>'CANT. DE OBRA SANTA COA'!K460</f>
        <v>2</v>
      </c>
      <c r="F652" s="485"/>
      <c r="G652" s="486"/>
      <c r="H652" s="202"/>
    </row>
    <row r="653" spans="2:8" x14ac:dyDescent="0.15">
      <c r="B653" s="370" t="s">
        <v>721</v>
      </c>
      <c r="C653" s="484" t="s">
        <v>1202</v>
      </c>
      <c r="D653" s="487" t="s">
        <v>5</v>
      </c>
      <c r="E653" s="70">
        <f>'CANT. DE OBRA SANTA COA'!K467</f>
        <v>13.299999999999999</v>
      </c>
      <c r="F653" s="485"/>
      <c r="G653" s="486"/>
      <c r="H653" s="202"/>
    </row>
    <row r="654" spans="2:8" x14ac:dyDescent="0.15">
      <c r="B654" s="370" t="s">
        <v>727</v>
      </c>
      <c r="C654" s="484" t="s">
        <v>1203</v>
      </c>
      <c r="D654" s="487" t="s">
        <v>5</v>
      </c>
      <c r="E654" s="70">
        <f>'CANT. DE OBRA SANTA COA'!K476</f>
        <v>7.88</v>
      </c>
      <c r="F654" s="485"/>
      <c r="G654" s="486"/>
      <c r="H654" s="202"/>
    </row>
    <row r="655" spans="2:8" x14ac:dyDescent="0.15">
      <c r="B655" s="370" t="s">
        <v>1218</v>
      </c>
      <c r="C655" s="484" t="s">
        <v>1217</v>
      </c>
      <c r="D655" s="487" t="s">
        <v>319</v>
      </c>
      <c r="E655" s="70">
        <f>'CANT. DE OBRA SANTA COA'!K483</f>
        <v>1</v>
      </c>
      <c r="F655" s="485"/>
      <c r="G655" s="486"/>
      <c r="H655" s="202"/>
    </row>
    <row r="656" spans="2:8" x14ac:dyDescent="0.15">
      <c r="B656" s="176"/>
      <c r="C656" s="716" t="s">
        <v>253</v>
      </c>
      <c r="D656" s="716"/>
      <c r="E656" s="716"/>
      <c r="F656" s="716"/>
      <c r="G656" s="234"/>
      <c r="H656" s="203"/>
    </row>
    <row r="657" spans="2:8" ht="8.25" customHeight="1" x14ac:dyDescent="0.15">
      <c r="B657" s="728"/>
      <c r="C657" s="729"/>
      <c r="D657" s="729"/>
      <c r="E657" s="729"/>
      <c r="F657" s="729"/>
      <c r="G657" s="730"/>
      <c r="H657" s="200"/>
    </row>
    <row r="658" spans="2:8" x14ac:dyDescent="0.15">
      <c r="B658" s="176">
        <v>11</v>
      </c>
      <c r="C658" s="726" t="s">
        <v>521</v>
      </c>
      <c r="D658" s="726"/>
      <c r="E658" s="726"/>
      <c r="F658" s="726"/>
      <c r="G658" s="727"/>
      <c r="H658" s="201"/>
    </row>
    <row r="659" spans="2:8" x14ac:dyDescent="0.15">
      <c r="B659" s="370" t="s">
        <v>646</v>
      </c>
      <c r="C659" s="484" t="s">
        <v>959</v>
      </c>
      <c r="D659" s="487" t="s">
        <v>319</v>
      </c>
      <c r="E659" s="70">
        <f>'CANT. DE OBRA SANTA COA'!K490</f>
        <v>4</v>
      </c>
      <c r="F659" s="485"/>
      <c r="G659" s="486"/>
      <c r="H659" s="202"/>
    </row>
    <row r="660" spans="2:8" x14ac:dyDescent="0.15">
      <c r="B660" s="370" t="s">
        <v>648</v>
      </c>
      <c r="C660" s="484" t="s">
        <v>1072</v>
      </c>
      <c r="D660" s="487" t="s">
        <v>5</v>
      </c>
      <c r="E660" s="70">
        <f>'CANT. DE OBRA SANTA COA'!K499</f>
        <v>9.36</v>
      </c>
      <c r="F660" s="485"/>
      <c r="G660" s="486"/>
      <c r="H660" s="202"/>
    </row>
    <row r="661" spans="2:8" x14ac:dyDescent="0.15">
      <c r="B661" s="370"/>
      <c r="C661" s="716" t="s">
        <v>652</v>
      </c>
      <c r="D661" s="716"/>
      <c r="E661" s="716"/>
      <c r="F661" s="716"/>
      <c r="G661" s="234"/>
      <c r="H661" s="203"/>
    </row>
    <row r="662" spans="2:8" ht="8.25" customHeight="1" x14ac:dyDescent="0.15">
      <c r="B662" s="728"/>
      <c r="C662" s="729"/>
      <c r="D662" s="729"/>
      <c r="E662" s="729"/>
      <c r="F662" s="729"/>
      <c r="G662" s="730"/>
      <c r="H662" s="200"/>
    </row>
    <row r="663" spans="2:8" x14ac:dyDescent="0.15">
      <c r="B663" s="176">
        <v>12</v>
      </c>
      <c r="C663" s="726" t="s">
        <v>871</v>
      </c>
      <c r="D663" s="726"/>
      <c r="E663" s="726"/>
      <c r="F663" s="726"/>
      <c r="G663" s="727"/>
      <c r="H663" s="201"/>
    </row>
    <row r="664" spans="2:8" x14ac:dyDescent="0.15">
      <c r="B664" s="370" t="s">
        <v>723</v>
      </c>
      <c r="C664" s="484" t="s">
        <v>872</v>
      </c>
      <c r="D664" s="487" t="s">
        <v>19</v>
      </c>
      <c r="E664" s="70">
        <f>'CANT. DE OBRA SANTA COA'!K506</f>
        <v>1</v>
      </c>
      <c r="F664" s="485"/>
      <c r="G664" s="486"/>
      <c r="H664" s="202"/>
    </row>
    <row r="665" spans="2:8" x14ac:dyDescent="0.15">
      <c r="B665" s="370" t="s">
        <v>724</v>
      </c>
      <c r="C665" s="484" t="s">
        <v>873</v>
      </c>
      <c r="D665" s="487" t="s">
        <v>19</v>
      </c>
      <c r="E665" s="70">
        <f>'CANT. DE OBRA SANTA COA'!K513</f>
        <v>1</v>
      </c>
      <c r="F665" s="485"/>
      <c r="G665" s="486"/>
      <c r="H665" s="202"/>
    </row>
    <row r="666" spans="2:8" x14ac:dyDescent="0.15">
      <c r="B666" s="176"/>
      <c r="C666" s="716" t="s">
        <v>726</v>
      </c>
      <c r="D666" s="716"/>
      <c r="E666" s="716"/>
      <c r="F666" s="716"/>
      <c r="G666" s="417"/>
      <c r="H666" s="203"/>
    </row>
    <row r="667" spans="2:8" x14ac:dyDescent="0.15">
      <c r="B667" s="715"/>
      <c r="C667" s="716"/>
      <c r="D667" s="716"/>
      <c r="E667" s="716"/>
      <c r="F667" s="716"/>
      <c r="G667" s="717"/>
      <c r="H667" s="201"/>
    </row>
    <row r="668" spans="2:8" ht="18" customHeight="1" x14ac:dyDescent="0.15">
      <c r="B668" s="707"/>
      <c r="C668" s="741" t="s">
        <v>1158</v>
      </c>
      <c r="D668" s="741"/>
      <c r="E668" s="741"/>
      <c r="F668" s="741"/>
      <c r="G668" s="708"/>
      <c r="H668" s="203"/>
    </row>
    <row r="669" spans="2:8" ht="14" thickBot="1" x14ac:dyDescent="0.2">
      <c r="B669" s="754"/>
      <c r="C669" s="755"/>
      <c r="D669" s="755"/>
      <c r="E669" s="755"/>
      <c r="F669" s="755"/>
      <c r="G669" s="756"/>
      <c r="H669" s="201"/>
    </row>
    <row r="670" spans="2:8" ht="14" thickBot="1" x14ac:dyDescent="0.2">
      <c r="E670" s="242"/>
    </row>
    <row r="671" spans="2:8" ht="14" x14ac:dyDescent="0.15">
      <c r="B671" s="82"/>
      <c r="C671" s="752" t="s">
        <v>272</v>
      </c>
      <c r="D671" s="753"/>
      <c r="E671" s="753"/>
      <c r="F671" s="753"/>
      <c r="G671" s="236"/>
      <c r="H671" s="117"/>
    </row>
    <row r="672" spans="2:8" x14ac:dyDescent="0.15">
      <c r="B672" s="82"/>
      <c r="C672" s="748" t="s">
        <v>1635</v>
      </c>
      <c r="D672" s="749"/>
      <c r="E672" s="749"/>
      <c r="F672" s="749"/>
      <c r="G672" s="238"/>
      <c r="H672" s="207"/>
    </row>
    <row r="673" spans="2:8" x14ac:dyDescent="0.15">
      <c r="B673" s="82"/>
      <c r="C673" s="748" t="s">
        <v>824</v>
      </c>
      <c r="D673" s="749"/>
      <c r="E673" s="749"/>
      <c r="F673" s="749"/>
      <c r="G673" s="238"/>
      <c r="H673" s="207"/>
    </row>
    <row r="674" spans="2:8" x14ac:dyDescent="0.15">
      <c r="B674" s="82"/>
      <c r="C674" s="748" t="s">
        <v>1636</v>
      </c>
      <c r="D674" s="749"/>
      <c r="E674" s="749"/>
      <c r="F674" s="749"/>
      <c r="G674" s="238"/>
      <c r="H674" s="207"/>
    </row>
    <row r="675" spans="2:8" ht="14" x14ac:dyDescent="0.15">
      <c r="B675" s="82"/>
      <c r="C675" s="773" t="s">
        <v>1637</v>
      </c>
      <c r="D675" s="774"/>
      <c r="E675" s="774"/>
      <c r="F675" s="774"/>
      <c r="G675" s="237"/>
      <c r="H675" s="117"/>
    </row>
    <row r="676" spans="2:8" ht="14" x14ac:dyDescent="0.15">
      <c r="B676" s="82"/>
      <c r="C676" s="750" t="s">
        <v>637</v>
      </c>
      <c r="D676" s="751"/>
      <c r="E676" s="751"/>
      <c r="F676" s="751"/>
      <c r="G676" s="239"/>
      <c r="H676" s="117"/>
    </row>
    <row r="677" spans="2:8" x14ac:dyDescent="0.15">
      <c r="C677" s="742"/>
      <c r="D677" s="743"/>
      <c r="E677" s="743"/>
      <c r="F677" s="743"/>
      <c r="G677" s="744"/>
    </row>
    <row r="678" spans="2:8" ht="21" customHeight="1" thickBot="1" x14ac:dyDescent="0.2">
      <c r="C678" s="745"/>
      <c r="D678" s="746"/>
      <c r="E678" s="746"/>
      <c r="F678" s="746"/>
      <c r="G678" s="747"/>
    </row>
    <row r="679" spans="2:8" x14ac:dyDescent="0.15">
      <c r="G679" s="101"/>
      <c r="H679" s="101"/>
    </row>
    <row r="680" spans="2:8" x14ac:dyDescent="0.15">
      <c r="G680" s="179"/>
      <c r="H680" s="179"/>
    </row>
    <row r="681" spans="2:8" x14ac:dyDescent="0.15">
      <c r="G681" s="711"/>
    </row>
    <row r="682" spans="2:8" x14ac:dyDescent="0.15">
      <c r="G682" s="101"/>
      <c r="H682" s="101"/>
    </row>
    <row r="683" spans="2:8" ht="14" x14ac:dyDescent="0.15">
      <c r="B683" s="82"/>
      <c r="C683" s="102"/>
      <c r="F683" s="83"/>
      <c r="G683" s="380"/>
      <c r="H683" s="83"/>
    </row>
    <row r="684" spans="2:8" ht="14" x14ac:dyDescent="0.15">
      <c r="C684" s="83"/>
      <c r="F684" s="240"/>
      <c r="G684" s="380"/>
      <c r="H684" s="13"/>
    </row>
    <row r="685" spans="2:8" ht="14" x14ac:dyDescent="0.15">
      <c r="C685" s="83"/>
      <c r="G685" s="381"/>
    </row>
    <row r="686" spans="2:8" ht="14" x14ac:dyDescent="0.15">
      <c r="C686" s="83"/>
      <c r="G686" s="381"/>
    </row>
    <row r="687" spans="2:8" ht="14" x14ac:dyDescent="0.15">
      <c r="C687" s="83"/>
      <c r="G687" s="381"/>
    </row>
    <row r="688" spans="2:8" ht="14" x14ac:dyDescent="0.15">
      <c r="C688" s="83"/>
      <c r="G688" s="380"/>
    </row>
    <row r="689" spans="3:7" ht="14" x14ac:dyDescent="0.15">
      <c r="C689" s="83"/>
      <c r="G689" s="381"/>
    </row>
    <row r="690" spans="3:7" ht="14" x14ac:dyDescent="0.15">
      <c r="C690" s="83"/>
      <c r="G690" s="381"/>
    </row>
    <row r="691" spans="3:7" ht="14" x14ac:dyDescent="0.15">
      <c r="C691" s="83"/>
      <c r="G691" s="381"/>
    </row>
    <row r="692" spans="3:7" ht="14" x14ac:dyDescent="0.15">
      <c r="C692" s="83"/>
      <c r="G692" s="380"/>
    </row>
    <row r="693" spans="3:7" ht="14" x14ac:dyDescent="0.15">
      <c r="C693" s="83"/>
      <c r="G693" s="380"/>
    </row>
    <row r="694" spans="3:7" ht="14" x14ac:dyDescent="0.15">
      <c r="C694" s="83"/>
    </row>
    <row r="695" spans="3:7" ht="14" x14ac:dyDescent="0.15">
      <c r="C695" s="83"/>
      <c r="F695" s="372"/>
      <c r="G695" s="375"/>
    </row>
    <row r="696" spans="3:7" ht="14" x14ac:dyDescent="0.15">
      <c r="C696" s="83"/>
      <c r="F696" s="373"/>
      <c r="G696" s="375"/>
    </row>
    <row r="697" spans="3:7" ht="14" x14ac:dyDescent="0.15">
      <c r="C697" s="83"/>
      <c r="F697" s="371"/>
      <c r="G697" s="375"/>
    </row>
    <row r="698" spans="3:7" ht="14" x14ac:dyDescent="0.15">
      <c r="C698" s="83"/>
      <c r="F698" s="371"/>
      <c r="G698" s="375"/>
    </row>
    <row r="699" spans="3:7" ht="14" x14ac:dyDescent="0.15">
      <c r="C699" s="83"/>
      <c r="G699" s="375"/>
    </row>
    <row r="700" spans="3:7" ht="14" x14ac:dyDescent="0.15">
      <c r="C700" s="83"/>
      <c r="F700" s="374"/>
      <c r="G700" s="106"/>
    </row>
    <row r="701" spans="3:7" ht="14" x14ac:dyDescent="0.15">
      <c r="C701" s="83"/>
    </row>
    <row r="702" spans="3:7" ht="14" x14ac:dyDescent="0.15">
      <c r="C702" s="83"/>
    </row>
    <row r="703" spans="3:7" ht="14" x14ac:dyDescent="0.15">
      <c r="C703" s="83"/>
    </row>
    <row r="704" spans="3:7" ht="14" x14ac:dyDescent="0.15">
      <c r="C704" s="83"/>
    </row>
    <row r="705" spans="3:8" ht="14" x14ac:dyDescent="0.15">
      <c r="C705" s="83"/>
    </row>
    <row r="706" spans="3:8" ht="14" x14ac:dyDescent="0.15">
      <c r="C706" s="83"/>
    </row>
    <row r="707" spans="3:8" ht="14" x14ac:dyDescent="0.15">
      <c r="C707" s="83"/>
    </row>
    <row r="708" spans="3:8" ht="14" x14ac:dyDescent="0.15">
      <c r="C708" s="83"/>
    </row>
    <row r="712" spans="3:8" x14ac:dyDescent="0.15">
      <c r="G712" s="101"/>
      <c r="H712" s="101"/>
    </row>
  </sheetData>
  <mergeCells count="284">
    <mergeCell ref="C254:F254"/>
    <mergeCell ref="B255:G255"/>
    <mergeCell ref="C256:G256"/>
    <mergeCell ref="C260:F260"/>
    <mergeCell ref="B261:G261"/>
    <mergeCell ref="C270:G270"/>
    <mergeCell ref="C272:F272"/>
    <mergeCell ref="B273:G273"/>
    <mergeCell ref="C274:F274"/>
    <mergeCell ref="C262:G262"/>
    <mergeCell ref="C264:F264"/>
    <mergeCell ref="B265:G265"/>
    <mergeCell ref="C266:G266"/>
    <mergeCell ref="C268:F268"/>
    <mergeCell ref="B269:G269"/>
    <mergeCell ref="C232:F232"/>
    <mergeCell ref="B233:G233"/>
    <mergeCell ref="C234:G234"/>
    <mergeCell ref="C238:F238"/>
    <mergeCell ref="B239:G239"/>
    <mergeCell ref="C240:G240"/>
    <mergeCell ref="C250:F250"/>
    <mergeCell ref="B251:G251"/>
    <mergeCell ref="C252:G252"/>
    <mergeCell ref="B207:G207"/>
    <mergeCell ref="C208:G208"/>
    <mergeCell ref="C209:G209"/>
    <mergeCell ref="C217:F217"/>
    <mergeCell ref="B218:G218"/>
    <mergeCell ref="C219:G219"/>
    <mergeCell ref="C224:F224"/>
    <mergeCell ref="B225:G225"/>
    <mergeCell ref="C226:G226"/>
    <mergeCell ref="C120:G120"/>
    <mergeCell ref="C122:F122"/>
    <mergeCell ref="B123:G123"/>
    <mergeCell ref="C124:F124"/>
    <mergeCell ref="C11:G11"/>
    <mergeCell ref="C102:G102"/>
    <mergeCell ref="C106:F106"/>
    <mergeCell ref="B107:G107"/>
    <mergeCell ref="C108:G108"/>
    <mergeCell ref="C113:F113"/>
    <mergeCell ref="B114:G114"/>
    <mergeCell ref="C115:G115"/>
    <mergeCell ref="C118:F118"/>
    <mergeCell ref="B119:G119"/>
    <mergeCell ref="C70:F70"/>
    <mergeCell ref="C72:F72"/>
    <mergeCell ref="B73:G73"/>
    <mergeCell ref="C74:G74"/>
    <mergeCell ref="C85:F85"/>
    <mergeCell ref="B86:G86"/>
    <mergeCell ref="C87:G87"/>
    <mergeCell ref="C100:F100"/>
    <mergeCell ref="B101:G101"/>
    <mergeCell ref="C45:F45"/>
    <mergeCell ref="B46:G46"/>
    <mergeCell ref="C47:G47"/>
    <mergeCell ref="C51:F51"/>
    <mergeCell ref="B52:G52"/>
    <mergeCell ref="C53:G53"/>
    <mergeCell ref="C63:F63"/>
    <mergeCell ref="B64:G64"/>
    <mergeCell ref="C65:G65"/>
    <mergeCell ref="B8:G8"/>
    <mergeCell ref="C9:G9"/>
    <mergeCell ref="C12:G12"/>
    <mergeCell ref="C18:F18"/>
    <mergeCell ref="B19:G19"/>
    <mergeCell ref="C20:G20"/>
    <mergeCell ref="C25:F25"/>
    <mergeCell ref="B26:G26"/>
    <mergeCell ref="C27:G27"/>
    <mergeCell ref="C557:G557"/>
    <mergeCell ref="C560:F560"/>
    <mergeCell ref="B561:G561"/>
    <mergeCell ref="C562:F562"/>
    <mergeCell ref="C545:G545"/>
    <mergeCell ref="C550:F550"/>
    <mergeCell ref="B551:G551"/>
    <mergeCell ref="C552:G552"/>
    <mergeCell ref="C555:F555"/>
    <mergeCell ref="C536:F536"/>
    <mergeCell ref="B537:G537"/>
    <mergeCell ref="C538:G538"/>
    <mergeCell ref="C543:F543"/>
    <mergeCell ref="B544:G544"/>
    <mergeCell ref="B523:G523"/>
    <mergeCell ref="C524:G524"/>
    <mergeCell ref="C528:F528"/>
    <mergeCell ref="B529:G529"/>
    <mergeCell ref="C530:G530"/>
    <mergeCell ref="C515:F515"/>
    <mergeCell ref="B516:G516"/>
    <mergeCell ref="C517:G517"/>
    <mergeCell ref="C520:F520"/>
    <mergeCell ref="C522:F522"/>
    <mergeCell ref="B501:G501"/>
    <mergeCell ref="C502:G502"/>
    <mergeCell ref="C506:F506"/>
    <mergeCell ref="B507:G507"/>
    <mergeCell ref="C508:G508"/>
    <mergeCell ref="C487:F487"/>
    <mergeCell ref="B488:G488"/>
    <mergeCell ref="C489:G489"/>
    <mergeCell ref="C500:F500"/>
    <mergeCell ref="B469:G469"/>
    <mergeCell ref="C470:G470"/>
    <mergeCell ref="C471:G471"/>
    <mergeCell ref="C480:F480"/>
    <mergeCell ref="B481:G481"/>
    <mergeCell ref="C466:F466"/>
    <mergeCell ref="B467:G467"/>
    <mergeCell ref="C468:F468"/>
    <mergeCell ref="C446:G446"/>
    <mergeCell ref="C456:F456"/>
    <mergeCell ref="B457:G457"/>
    <mergeCell ref="C458:G458"/>
    <mergeCell ref="C461:F461"/>
    <mergeCell ref="C482:G482"/>
    <mergeCell ref="C439:G439"/>
    <mergeCell ref="C444:F444"/>
    <mergeCell ref="B445:G445"/>
    <mergeCell ref="B425:G425"/>
    <mergeCell ref="C426:G426"/>
    <mergeCell ref="C430:F430"/>
    <mergeCell ref="B431:G431"/>
    <mergeCell ref="C432:G432"/>
    <mergeCell ref="C463:G463"/>
    <mergeCell ref="C422:F422"/>
    <mergeCell ref="C424:F424"/>
    <mergeCell ref="B406:G406"/>
    <mergeCell ref="C407:G407"/>
    <mergeCell ref="C411:F411"/>
    <mergeCell ref="B412:G412"/>
    <mergeCell ref="C413:G413"/>
    <mergeCell ref="C437:F437"/>
    <mergeCell ref="B438:G438"/>
    <mergeCell ref="B354:G354"/>
    <mergeCell ref="C355:G355"/>
    <mergeCell ref="C332:G332"/>
    <mergeCell ref="B338:G338"/>
    <mergeCell ref="C335:F335"/>
    <mergeCell ref="C337:F337"/>
    <mergeCell ref="C418:F418"/>
    <mergeCell ref="B419:G419"/>
    <mergeCell ref="C420:G420"/>
    <mergeCell ref="C675:F675"/>
    <mergeCell ref="C672:F672"/>
    <mergeCell ref="B360:G360"/>
    <mergeCell ref="C361:G361"/>
    <mergeCell ref="B376:G376"/>
    <mergeCell ref="C377:F377"/>
    <mergeCell ref="B378:G378"/>
    <mergeCell ref="C379:G379"/>
    <mergeCell ref="C380:G380"/>
    <mergeCell ref="C389:F389"/>
    <mergeCell ref="B390:G390"/>
    <mergeCell ref="C391:G391"/>
    <mergeCell ref="C396:F396"/>
    <mergeCell ref="B397:G397"/>
    <mergeCell ref="C398:G398"/>
    <mergeCell ref="C405:F405"/>
    <mergeCell ref="C582:G582"/>
    <mergeCell ref="C587:F587"/>
    <mergeCell ref="B588:G588"/>
    <mergeCell ref="C589:G589"/>
    <mergeCell ref="C603:F603"/>
    <mergeCell ref="B604:G604"/>
    <mergeCell ref="C605:G605"/>
    <mergeCell ref="C609:F609"/>
    <mergeCell ref="C293:F293"/>
    <mergeCell ref="B6:G6"/>
    <mergeCell ref="C300:F300"/>
    <mergeCell ref="C295:G295"/>
    <mergeCell ref="C278:G278"/>
    <mergeCell ref="B1:G2"/>
    <mergeCell ref="C372:G372"/>
    <mergeCell ref="B301:G301"/>
    <mergeCell ref="B294:G294"/>
    <mergeCell ref="C318:G318"/>
    <mergeCell ref="C321:F321"/>
    <mergeCell ref="B3:G3"/>
    <mergeCell ref="C316:F316"/>
    <mergeCell ref="B317:G317"/>
    <mergeCell ref="C339:G339"/>
    <mergeCell ref="B331:G331"/>
    <mergeCell ref="B5:G5"/>
    <mergeCell ref="B4:G4"/>
    <mergeCell ref="C302:G302"/>
    <mergeCell ref="C279:G279"/>
    <mergeCell ref="B322:G322"/>
    <mergeCell ref="B366:G366"/>
    <mergeCell ref="C323:G323"/>
    <mergeCell ref="C330:F330"/>
    <mergeCell ref="C677:G678"/>
    <mergeCell ref="C359:F359"/>
    <mergeCell ref="C353:F353"/>
    <mergeCell ref="C343:F343"/>
    <mergeCell ref="C367:G367"/>
    <mergeCell ref="B344:G344"/>
    <mergeCell ref="C345:G345"/>
    <mergeCell ref="C365:F365"/>
    <mergeCell ref="C370:F370"/>
    <mergeCell ref="C673:F673"/>
    <mergeCell ref="C674:F674"/>
    <mergeCell ref="C676:F676"/>
    <mergeCell ref="C671:F671"/>
    <mergeCell ref="B669:G669"/>
    <mergeCell ref="C375:F375"/>
    <mergeCell ref="B556:G556"/>
    <mergeCell ref="B462:G462"/>
    <mergeCell ref="B371:G371"/>
    <mergeCell ref="B563:G563"/>
    <mergeCell ref="C564:G564"/>
    <mergeCell ref="C565:G565"/>
    <mergeCell ref="C580:F580"/>
    <mergeCell ref="B581:G581"/>
    <mergeCell ref="B610:G610"/>
    <mergeCell ref="C611:G611"/>
    <mergeCell ref="C618:F618"/>
    <mergeCell ref="B619:G619"/>
    <mergeCell ref="C620:G620"/>
    <mergeCell ref="C623:F623"/>
    <mergeCell ref="C625:F625"/>
    <mergeCell ref="B626:G626"/>
    <mergeCell ref="C627:G627"/>
    <mergeCell ref="C632:F632"/>
    <mergeCell ref="B657:G657"/>
    <mergeCell ref="C658:G658"/>
    <mergeCell ref="C661:F661"/>
    <mergeCell ref="B662:G662"/>
    <mergeCell ref="C663:G663"/>
    <mergeCell ref="C666:F666"/>
    <mergeCell ref="B667:G667"/>
    <mergeCell ref="C668:F668"/>
    <mergeCell ref="B633:G633"/>
    <mergeCell ref="C634:G634"/>
    <mergeCell ref="C642:F642"/>
    <mergeCell ref="B643:G643"/>
    <mergeCell ref="C644:G644"/>
    <mergeCell ref="C649:F649"/>
    <mergeCell ref="B650:G650"/>
    <mergeCell ref="C651:G651"/>
    <mergeCell ref="C656:F656"/>
    <mergeCell ref="C158:F158"/>
    <mergeCell ref="B159:G159"/>
    <mergeCell ref="C160:G160"/>
    <mergeCell ref="C168:F168"/>
    <mergeCell ref="B169:G169"/>
    <mergeCell ref="C126:G126"/>
    <mergeCell ref="C127:G127"/>
    <mergeCell ref="C134:F134"/>
    <mergeCell ref="B135:G135"/>
    <mergeCell ref="C136:G136"/>
    <mergeCell ref="C141:F141"/>
    <mergeCell ref="B142:G142"/>
    <mergeCell ref="C143:G143"/>
    <mergeCell ref="C152:F152"/>
    <mergeCell ref="B125:G125"/>
    <mergeCell ref="B205:G205"/>
    <mergeCell ref="C206:F206"/>
    <mergeCell ref="B277:G277"/>
    <mergeCell ref="B10:G10"/>
    <mergeCell ref="B275:G275"/>
    <mergeCell ref="C276:F276"/>
    <mergeCell ref="C195:F195"/>
    <mergeCell ref="B196:G196"/>
    <mergeCell ref="C197:G197"/>
    <mergeCell ref="C200:F200"/>
    <mergeCell ref="B201:G201"/>
    <mergeCell ref="C202:G202"/>
    <mergeCell ref="C204:F204"/>
    <mergeCell ref="B170:G170"/>
    <mergeCell ref="C171:G171"/>
    <mergeCell ref="C175:F175"/>
    <mergeCell ref="B176:G176"/>
    <mergeCell ref="C177:G177"/>
    <mergeCell ref="C186:F186"/>
    <mergeCell ref="B187:G187"/>
    <mergeCell ref="C188:G188"/>
    <mergeCell ref="B153:G153"/>
    <mergeCell ref="C154:G154"/>
  </mergeCells>
  <printOptions horizontalCentered="1"/>
  <pageMargins left="0.39370078740157483" right="0.39370078740157483" top="0.59055118110236227" bottom="0.59055118110236227" header="0.86614173228346458" footer="0"/>
  <pageSetup scale="93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2" tint="-0.499984740745262"/>
  </sheetPr>
  <dimension ref="A1:T2953"/>
  <sheetViews>
    <sheetView topLeftCell="A210" zoomScaleNormal="100" zoomScaleSheetLayoutView="100" workbookViewId="0">
      <selection activeCell="T237" sqref="T237"/>
    </sheetView>
  </sheetViews>
  <sheetFormatPr baseColWidth="10" defaultColWidth="15.83203125" defaultRowHeight="13" x14ac:dyDescent="0.15"/>
  <cols>
    <col min="1" max="1" width="6.83203125" style="120" customWidth="1"/>
    <col min="2" max="3" width="12.1640625" style="120" customWidth="1"/>
    <col min="4" max="6" width="10.6640625" style="120" customWidth="1"/>
    <col min="7" max="7" width="9.33203125" style="120" customWidth="1"/>
    <col min="8" max="8" width="10.6640625" style="120" customWidth="1"/>
    <col min="9" max="10" width="10.6640625" style="145" customWidth="1"/>
    <col min="11" max="11" width="12.5" style="120" customWidth="1"/>
    <col min="12" max="12" width="13.33203125" style="120" customWidth="1"/>
    <col min="13" max="17" width="10.6640625" style="120" customWidth="1"/>
    <col min="18" max="19" width="10.83203125" style="120" customWidth="1"/>
    <col min="20" max="20" width="22.5" style="120" customWidth="1"/>
    <col min="21" max="256" width="10.83203125" style="120" customWidth="1"/>
    <col min="257" max="16384" width="15.83203125" style="120"/>
  </cols>
  <sheetData>
    <row r="1" spans="1:17" customFormat="1" ht="41.25" customHeight="1" x14ac:dyDescent="0.15">
      <c r="A1" s="765" t="s">
        <v>874</v>
      </c>
      <c r="B1" s="765"/>
      <c r="C1" s="765"/>
      <c r="D1" s="765"/>
      <c r="E1" s="765"/>
      <c r="F1" s="765"/>
      <c r="G1" s="765"/>
      <c r="H1" s="765"/>
      <c r="I1" s="765"/>
      <c r="J1" s="765"/>
      <c r="K1" s="765"/>
      <c r="L1" s="765"/>
      <c r="M1" s="765"/>
      <c r="N1" s="765"/>
      <c r="O1" s="797"/>
      <c r="P1" s="797"/>
      <c r="Q1" s="797"/>
    </row>
    <row r="2" spans="1:17" customFormat="1" ht="14.25" customHeight="1" x14ac:dyDescent="0.15">
      <c r="A2" s="798" t="s">
        <v>875</v>
      </c>
      <c r="B2" s="798"/>
      <c r="C2" s="798"/>
      <c r="D2" s="798"/>
      <c r="E2" s="798"/>
      <c r="F2" s="798"/>
      <c r="G2" s="798"/>
      <c r="H2" s="798"/>
      <c r="I2" s="798"/>
      <c r="J2" s="798"/>
      <c r="K2" s="798"/>
      <c r="L2" s="798"/>
      <c r="M2" s="798"/>
      <c r="N2" s="798"/>
      <c r="O2" s="797"/>
      <c r="P2" s="797"/>
      <c r="Q2" s="797"/>
    </row>
    <row r="3" spans="1:17" customFormat="1" ht="14.25" customHeight="1" x14ac:dyDescent="0.15">
      <c r="A3" s="798" t="s">
        <v>876</v>
      </c>
      <c r="B3" s="798"/>
      <c r="C3" s="798"/>
      <c r="D3" s="798"/>
      <c r="E3" s="798"/>
      <c r="F3" s="798"/>
      <c r="G3" s="798"/>
      <c r="H3" s="798"/>
      <c r="I3" s="798"/>
      <c r="J3" s="798"/>
      <c r="K3" s="798"/>
      <c r="L3" s="798"/>
      <c r="M3" s="798"/>
      <c r="N3" s="798"/>
      <c r="O3" s="797"/>
      <c r="P3" s="797"/>
      <c r="Q3" s="797"/>
    </row>
    <row r="4" spans="1:17" customFormat="1" ht="30.75" customHeight="1" x14ac:dyDescent="0.15">
      <c r="A4" s="768" t="s">
        <v>836</v>
      </c>
      <c r="B4" s="768"/>
      <c r="C4" s="768"/>
      <c r="D4" s="768"/>
      <c r="E4" s="768"/>
      <c r="F4" s="768"/>
      <c r="G4" s="768"/>
      <c r="H4" s="768"/>
      <c r="I4" s="768"/>
      <c r="J4" s="768"/>
      <c r="K4" s="768"/>
      <c r="L4" s="768"/>
      <c r="M4" s="768"/>
      <c r="N4" s="768"/>
      <c r="O4" s="797"/>
      <c r="P4" s="797"/>
      <c r="Q4" s="797"/>
    </row>
    <row r="5" spans="1:17" customFormat="1" ht="19.5" customHeight="1" x14ac:dyDescent="0.15">
      <c r="A5" s="799" t="s">
        <v>966</v>
      </c>
      <c r="B5" s="800"/>
      <c r="C5" s="800"/>
      <c r="D5" s="800"/>
      <c r="E5" s="800"/>
      <c r="F5" s="800"/>
      <c r="G5" s="800"/>
      <c r="H5" s="800"/>
      <c r="I5" s="800"/>
      <c r="J5" s="800"/>
      <c r="K5" s="800"/>
      <c r="L5" s="800"/>
      <c r="M5" s="800"/>
      <c r="N5" s="800"/>
      <c r="O5" s="800"/>
      <c r="P5" s="800"/>
      <c r="Q5" s="801"/>
    </row>
    <row r="6" spans="1:17" x14ac:dyDescent="0.15">
      <c r="A6" s="790"/>
      <c r="B6" s="791"/>
      <c r="C6" s="791"/>
      <c r="D6" s="791"/>
      <c r="E6" s="791"/>
      <c r="F6" s="791"/>
      <c r="G6" s="791"/>
      <c r="H6" s="791"/>
      <c r="I6" s="791"/>
      <c r="J6" s="791"/>
      <c r="K6" s="791"/>
      <c r="L6" s="791"/>
      <c r="M6" s="791"/>
      <c r="N6" s="791"/>
      <c r="O6" s="791"/>
      <c r="P6" s="791"/>
      <c r="Q6" s="792"/>
    </row>
    <row r="7" spans="1:17" customFormat="1" ht="19.5" customHeight="1" x14ac:dyDescent="0.15">
      <c r="A7" s="132" t="s">
        <v>185</v>
      </c>
      <c r="B7" s="818" t="s">
        <v>875</v>
      </c>
      <c r="C7" s="819"/>
      <c r="D7" s="819"/>
      <c r="E7" s="819"/>
      <c r="F7" s="819"/>
      <c r="G7" s="819"/>
      <c r="H7" s="819"/>
      <c r="I7" s="819"/>
      <c r="J7" s="819"/>
      <c r="K7" s="819"/>
      <c r="L7" s="819"/>
      <c r="M7" s="819"/>
      <c r="N7" s="819"/>
      <c r="O7" s="819"/>
      <c r="P7" s="819"/>
      <c r="Q7" s="820"/>
    </row>
    <row r="8" spans="1:17" customFormat="1" ht="19.5" customHeight="1" x14ac:dyDescent="0.15">
      <c r="A8" s="132"/>
      <c r="B8" s="818" t="s">
        <v>1226</v>
      </c>
      <c r="C8" s="819"/>
      <c r="D8" s="819"/>
      <c r="E8" s="819"/>
      <c r="F8" s="819"/>
      <c r="G8" s="819"/>
      <c r="H8" s="819"/>
      <c r="I8" s="819"/>
      <c r="J8" s="819"/>
      <c r="K8" s="819"/>
      <c r="L8" s="819"/>
      <c r="M8" s="819"/>
      <c r="N8" s="819"/>
      <c r="O8" s="819"/>
      <c r="P8" s="819"/>
      <c r="Q8" s="820"/>
    </row>
    <row r="9" spans="1:17" s="121" customFormat="1" ht="18" customHeight="1" x14ac:dyDescent="0.15">
      <c r="A9" s="218" t="s">
        <v>0</v>
      </c>
      <c r="B9" s="793" t="s">
        <v>166</v>
      </c>
      <c r="C9" s="794"/>
      <c r="D9" s="794"/>
      <c r="E9" s="794"/>
      <c r="F9" s="794"/>
      <c r="G9" s="794"/>
      <c r="H9" s="794"/>
      <c r="I9" s="794"/>
      <c r="J9" s="794"/>
      <c r="K9" s="794"/>
      <c r="L9" s="794"/>
      <c r="M9" s="794"/>
      <c r="N9" s="821"/>
      <c r="O9" s="216" t="s">
        <v>73</v>
      </c>
      <c r="P9" s="795" t="s">
        <v>5</v>
      </c>
      <c r="Q9" s="796"/>
    </row>
    <row r="10" spans="1:17" x14ac:dyDescent="0.15">
      <c r="A10" s="790"/>
      <c r="B10" s="791"/>
      <c r="C10" s="791"/>
      <c r="D10" s="791"/>
      <c r="E10" s="791"/>
      <c r="F10" s="791"/>
      <c r="G10" s="791"/>
      <c r="H10" s="791"/>
      <c r="I10" s="791"/>
      <c r="J10" s="791"/>
      <c r="K10" s="791"/>
      <c r="L10" s="791"/>
      <c r="M10" s="791"/>
      <c r="N10" s="791"/>
      <c r="O10" s="791"/>
      <c r="P10" s="791"/>
      <c r="Q10" s="792"/>
    </row>
    <row r="11" spans="1:17" s="126" customFormat="1" x14ac:dyDescent="0.15">
      <c r="A11" s="822" t="s">
        <v>150</v>
      </c>
      <c r="B11" s="823" t="s">
        <v>151</v>
      </c>
      <c r="C11" s="823"/>
      <c r="D11" s="802" t="s">
        <v>658</v>
      </c>
      <c r="E11" s="823" t="s">
        <v>152</v>
      </c>
      <c r="F11" s="823"/>
      <c r="G11" s="823"/>
      <c r="H11" s="804" t="s">
        <v>153</v>
      </c>
      <c r="I11" s="802" t="s">
        <v>159</v>
      </c>
      <c r="J11" s="804" t="s">
        <v>73</v>
      </c>
      <c r="K11" s="216" t="s">
        <v>154</v>
      </c>
      <c r="L11" s="806"/>
      <c r="M11" s="807"/>
      <c r="N11" s="807"/>
      <c r="O11" s="807"/>
      <c r="P11" s="807"/>
      <c r="Q11" s="808"/>
    </row>
    <row r="12" spans="1:17" s="130" customFormat="1" x14ac:dyDescent="0.15">
      <c r="A12" s="822"/>
      <c r="B12" s="823"/>
      <c r="C12" s="823"/>
      <c r="D12" s="803"/>
      <c r="E12" s="217" t="s">
        <v>155</v>
      </c>
      <c r="F12" s="217" t="s">
        <v>156</v>
      </c>
      <c r="G12" s="217" t="s">
        <v>157</v>
      </c>
      <c r="H12" s="805"/>
      <c r="I12" s="803"/>
      <c r="J12" s="805"/>
      <c r="K12" s="216" t="s">
        <v>158</v>
      </c>
      <c r="L12" s="809"/>
      <c r="M12" s="810"/>
      <c r="N12" s="810"/>
      <c r="O12" s="810"/>
      <c r="P12" s="810"/>
      <c r="Q12" s="811"/>
    </row>
    <row r="13" spans="1:17" ht="27.75" customHeight="1" x14ac:dyDescent="0.15">
      <c r="A13" s="131"/>
      <c r="B13" s="815" t="s">
        <v>967</v>
      </c>
      <c r="C13" s="816"/>
      <c r="D13" s="219">
        <v>0</v>
      </c>
      <c r="E13" s="132">
        <v>18</v>
      </c>
      <c r="F13" s="144">
        <v>12</v>
      </c>
      <c r="G13" s="144">
        <v>0</v>
      </c>
      <c r="H13" s="132">
        <v>1</v>
      </c>
      <c r="I13" s="132">
        <f>E13*F13</f>
        <v>216</v>
      </c>
      <c r="J13" s="144" t="s">
        <v>5</v>
      </c>
      <c r="K13" s="219">
        <f>I13*H13</f>
        <v>216</v>
      </c>
      <c r="L13" s="809"/>
      <c r="M13" s="810"/>
      <c r="N13" s="810"/>
      <c r="O13" s="810"/>
      <c r="P13" s="810"/>
      <c r="Q13" s="811"/>
    </row>
    <row r="14" spans="1:17" ht="22.5" customHeight="1" x14ac:dyDescent="0.15">
      <c r="A14" s="795" t="s">
        <v>149</v>
      </c>
      <c r="B14" s="817"/>
      <c r="C14" s="817"/>
      <c r="D14" s="817"/>
      <c r="E14" s="817"/>
      <c r="F14" s="817"/>
      <c r="G14" s="817"/>
      <c r="H14" s="817"/>
      <c r="I14" s="817"/>
      <c r="J14" s="796"/>
      <c r="K14" s="418">
        <f>SUM(K13:K13)</f>
        <v>216</v>
      </c>
      <c r="L14" s="812"/>
      <c r="M14" s="813"/>
      <c r="N14" s="813"/>
      <c r="O14" s="813"/>
      <c r="P14" s="813"/>
      <c r="Q14" s="814"/>
    </row>
    <row r="15" spans="1:17" x14ac:dyDescent="0.15">
      <c r="A15" s="790"/>
      <c r="B15" s="791"/>
      <c r="C15" s="791"/>
      <c r="D15" s="791"/>
      <c r="E15" s="791"/>
      <c r="F15" s="791"/>
      <c r="G15" s="791"/>
      <c r="H15" s="791"/>
      <c r="I15" s="791"/>
      <c r="J15" s="791"/>
      <c r="K15" s="791"/>
      <c r="L15" s="791"/>
      <c r="M15" s="791"/>
      <c r="N15" s="791"/>
      <c r="O15" s="791"/>
      <c r="P15" s="791"/>
      <c r="Q15" s="792"/>
    </row>
    <row r="16" spans="1:17" s="121" customFormat="1" ht="18" customHeight="1" x14ac:dyDescent="0.15">
      <c r="A16" s="218" t="s">
        <v>0</v>
      </c>
      <c r="B16" s="793" t="s">
        <v>996</v>
      </c>
      <c r="C16" s="794"/>
      <c r="D16" s="794"/>
      <c r="E16" s="794"/>
      <c r="F16" s="794"/>
      <c r="G16" s="794"/>
      <c r="H16" s="794"/>
      <c r="I16" s="794"/>
      <c r="J16" s="794"/>
      <c r="K16" s="794"/>
      <c r="L16" s="794"/>
      <c r="M16" s="794"/>
      <c r="N16" s="821"/>
      <c r="O16" s="216" t="s">
        <v>73</v>
      </c>
      <c r="P16" s="795" t="s">
        <v>7</v>
      </c>
      <c r="Q16" s="796"/>
    </row>
    <row r="17" spans="1:17" x14ac:dyDescent="0.15">
      <c r="A17" s="790"/>
      <c r="B17" s="791"/>
      <c r="C17" s="791"/>
      <c r="D17" s="791"/>
      <c r="E17" s="791"/>
      <c r="F17" s="791"/>
      <c r="G17" s="791"/>
      <c r="H17" s="791"/>
      <c r="I17" s="791"/>
      <c r="J17" s="791"/>
      <c r="K17" s="791"/>
      <c r="L17" s="791"/>
      <c r="M17" s="791"/>
      <c r="N17" s="791"/>
      <c r="O17" s="791"/>
      <c r="P17" s="791"/>
      <c r="Q17" s="792"/>
    </row>
    <row r="18" spans="1:17" s="126" customFormat="1" x14ac:dyDescent="0.15">
      <c r="A18" s="822" t="s">
        <v>150</v>
      </c>
      <c r="B18" s="823" t="s">
        <v>151</v>
      </c>
      <c r="C18" s="823"/>
      <c r="D18" s="802" t="s">
        <v>658</v>
      </c>
      <c r="E18" s="823" t="s">
        <v>152</v>
      </c>
      <c r="F18" s="823"/>
      <c r="G18" s="823"/>
      <c r="H18" s="804" t="s">
        <v>153</v>
      </c>
      <c r="I18" s="802" t="s">
        <v>479</v>
      </c>
      <c r="J18" s="804" t="s">
        <v>73</v>
      </c>
      <c r="K18" s="216" t="s">
        <v>154</v>
      </c>
      <c r="L18" s="806"/>
      <c r="M18" s="807"/>
      <c r="N18" s="807"/>
      <c r="O18" s="807"/>
      <c r="P18" s="807"/>
      <c r="Q18" s="808"/>
    </row>
    <row r="19" spans="1:17" s="130" customFormat="1" x14ac:dyDescent="0.15">
      <c r="A19" s="822"/>
      <c r="B19" s="823"/>
      <c r="C19" s="823"/>
      <c r="D19" s="803"/>
      <c r="E19" s="217" t="s">
        <v>155</v>
      </c>
      <c r="F19" s="217" t="s">
        <v>156</v>
      </c>
      <c r="G19" s="217" t="s">
        <v>157</v>
      </c>
      <c r="H19" s="805"/>
      <c r="I19" s="803"/>
      <c r="J19" s="805"/>
      <c r="K19" s="216" t="s">
        <v>158</v>
      </c>
      <c r="L19" s="809"/>
      <c r="M19" s="810"/>
      <c r="N19" s="810"/>
      <c r="O19" s="810"/>
      <c r="P19" s="810"/>
      <c r="Q19" s="811"/>
    </row>
    <row r="20" spans="1:17" ht="22.5" customHeight="1" x14ac:dyDescent="0.15">
      <c r="A20" s="131"/>
      <c r="B20" s="815" t="s">
        <v>988</v>
      </c>
      <c r="C20" s="816"/>
      <c r="D20" s="219">
        <v>0</v>
      </c>
      <c r="E20" s="132">
        <v>3</v>
      </c>
      <c r="F20" s="144">
        <v>0</v>
      </c>
      <c r="G20" s="144">
        <v>0</v>
      </c>
      <c r="H20" s="132">
        <v>4</v>
      </c>
      <c r="I20" s="132">
        <f>E20</f>
        <v>3</v>
      </c>
      <c r="J20" s="144" t="s">
        <v>7</v>
      </c>
      <c r="K20" s="219">
        <f>I20*H20</f>
        <v>12</v>
      </c>
      <c r="L20" s="809"/>
      <c r="M20" s="810"/>
      <c r="N20" s="810"/>
      <c r="O20" s="810"/>
      <c r="P20" s="810"/>
      <c r="Q20" s="811"/>
    </row>
    <row r="21" spans="1:17" ht="22.5" customHeight="1" x14ac:dyDescent="0.15">
      <c r="A21" s="795" t="s">
        <v>149</v>
      </c>
      <c r="B21" s="817"/>
      <c r="C21" s="817"/>
      <c r="D21" s="817"/>
      <c r="E21" s="817"/>
      <c r="F21" s="817"/>
      <c r="G21" s="817"/>
      <c r="H21" s="817"/>
      <c r="I21" s="817"/>
      <c r="J21" s="796"/>
      <c r="K21" s="418">
        <f>SUM(K20:K20)</f>
        <v>12</v>
      </c>
      <c r="L21" s="812"/>
      <c r="M21" s="813"/>
      <c r="N21" s="813"/>
      <c r="O21" s="813"/>
      <c r="P21" s="813"/>
      <c r="Q21" s="814"/>
    </row>
    <row r="22" spans="1:17" x14ac:dyDescent="0.15">
      <c r="A22" s="790"/>
      <c r="B22" s="791"/>
      <c r="C22" s="791"/>
      <c r="D22" s="791"/>
      <c r="E22" s="791"/>
      <c r="F22" s="791"/>
      <c r="G22" s="791"/>
      <c r="H22" s="791"/>
      <c r="I22" s="791"/>
      <c r="J22" s="791"/>
      <c r="K22" s="791"/>
      <c r="L22" s="791"/>
      <c r="M22" s="791"/>
      <c r="N22" s="791"/>
      <c r="O22" s="791"/>
      <c r="P22" s="791"/>
      <c r="Q22" s="792"/>
    </row>
    <row r="23" spans="1:17" s="121" customFormat="1" ht="18" customHeight="1" x14ac:dyDescent="0.15">
      <c r="A23" s="218" t="s">
        <v>0</v>
      </c>
      <c r="B23" s="793" t="s">
        <v>989</v>
      </c>
      <c r="C23" s="794"/>
      <c r="D23" s="794"/>
      <c r="E23" s="794"/>
      <c r="F23" s="794"/>
      <c r="G23" s="794"/>
      <c r="H23" s="794"/>
      <c r="I23" s="794"/>
      <c r="J23" s="794"/>
      <c r="K23" s="794"/>
      <c r="L23" s="794"/>
      <c r="M23" s="794"/>
      <c r="N23" s="821"/>
      <c r="O23" s="216" t="s">
        <v>73</v>
      </c>
      <c r="P23" s="795" t="s">
        <v>5</v>
      </c>
      <c r="Q23" s="796"/>
    </row>
    <row r="24" spans="1:17" x14ac:dyDescent="0.15">
      <c r="A24" s="790"/>
      <c r="B24" s="791"/>
      <c r="C24" s="791"/>
      <c r="D24" s="791"/>
      <c r="E24" s="791"/>
      <c r="F24" s="791"/>
      <c r="G24" s="791"/>
      <c r="H24" s="791"/>
      <c r="I24" s="791"/>
      <c r="J24" s="791"/>
      <c r="K24" s="791"/>
      <c r="L24" s="791"/>
      <c r="M24" s="791"/>
      <c r="N24" s="791"/>
      <c r="O24" s="791"/>
      <c r="P24" s="791"/>
      <c r="Q24" s="792"/>
    </row>
    <row r="25" spans="1:17" s="126" customFormat="1" x14ac:dyDescent="0.15">
      <c r="A25" s="822" t="s">
        <v>150</v>
      </c>
      <c r="B25" s="823" t="s">
        <v>151</v>
      </c>
      <c r="C25" s="823"/>
      <c r="D25" s="802" t="s">
        <v>658</v>
      </c>
      <c r="E25" s="823" t="s">
        <v>152</v>
      </c>
      <c r="F25" s="823"/>
      <c r="G25" s="823"/>
      <c r="H25" s="804" t="s">
        <v>153</v>
      </c>
      <c r="I25" s="802" t="s">
        <v>159</v>
      </c>
      <c r="J25" s="804" t="s">
        <v>73</v>
      </c>
      <c r="K25" s="216" t="s">
        <v>154</v>
      </c>
      <c r="L25" s="806"/>
      <c r="M25" s="807"/>
      <c r="N25" s="807"/>
      <c r="O25" s="807"/>
      <c r="P25" s="807"/>
      <c r="Q25" s="808"/>
    </row>
    <row r="26" spans="1:17" s="130" customFormat="1" x14ac:dyDescent="0.15">
      <c r="A26" s="822"/>
      <c r="B26" s="823"/>
      <c r="C26" s="823"/>
      <c r="D26" s="803"/>
      <c r="E26" s="217" t="s">
        <v>155</v>
      </c>
      <c r="F26" s="217" t="s">
        <v>156</v>
      </c>
      <c r="G26" s="217" t="s">
        <v>157</v>
      </c>
      <c r="H26" s="805"/>
      <c r="I26" s="803"/>
      <c r="J26" s="805"/>
      <c r="K26" s="216" t="s">
        <v>158</v>
      </c>
      <c r="L26" s="809"/>
      <c r="M26" s="810"/>
      <c r="N26" s="810"/>
      <c r="O26" s="810"/>
      <c r="P26" s="810"/>
      <c r="Q26" s="811"/>
    </row>
    <row r="27" spans="1:17" ht="27.75" customHeight="1" x14ac:dyDescent="0.15">
      <c r="A27" s="131"/>
      <c r="B27" s="815" t="s">
        <v>967</v>
      </c>
      <c r="C27" s="816"/>
      <c r="D27" s="219">
        <v>0</v>
      </c>
      <c r="E27" s="132">
        <v>18</v>
      </c>
      <c r="F27" s="144">
        <v>12</v>
      </c>
      <c r="G27" s="144">
        <v>0</v>
      </c>
      <c r="H27" s="132">
        <v>1</v>
      </c>
      <c r="I27" s="132">
        <f>E27*F27</f>
        <v>216</v>
      </c>
      <c r="J27" s="144" t="s">
        <v>5</v>
      </c>
      <c r="K27" s="219">
        <f>I27*H27</f>
        <v>216</v>
      </c>
      <c r="L27" s="809"/>
      <c r="M27" s="810"/>
      <c r="N27" s="810"/>
      <c r="O27" s="810"/>
      <c r="P27" s="810"/>
      <c r="Q27" s="811"/>
    </row>
    <row r="28" spans="1:17" ht="22.5" customHeight="1" x14ac:dyDescent="0.15">
      <c r="A28" s="795" t="s">
        <v>149</v>
      </c>
      <c r="B28" s="817"/>
      <c r="C28" s="817"/>
      <c r="D28" s="817"/>
      <c r="E28" s="817"/>
      <c r="F28" s="817"/>
      <c r="G28" s="817"/>
      <c r="H28" s="817"/>
      <c r="I28" s="817"/>
      <c r="J28" s="796"/>
      <c r="K28" s="418">
        <f>SUM(K27:K27)</f>
        <v>216</v>
      </c>
      <c r="L28" s="812"/>
      <c r="M28" s="813"/>
      <c r="N28" s="813"/>
      <c r="O28" s="813"/>
      <c r="P28" s="813"/>
      <c r="Q28" s="814"/>
    </row>
    <row r="29" spans="1:17" x14ac:dyDescent="0.15">
      <c r="A29" s="790"/>
      <c r="B29" s="791"/>
      <c r="C29" s="791"/>
      <c r="D29" s="791"/>
      <c r="E29" s="791"/>
      <c r="F29" s="791"/>
      <c r="G29" s="791"/>
      <c r="H29" s="791"/>
      <c r="I29" s="791"/>
      <c r="J29" s="791"/>
      <c r="K29" s="791"/>
      <c r="L29" s="791"/>
      <c r="M29" s="791"/>
      <c r="N29" s="791"/>
      <c r="O29" s="791"/>
      <c r="P29" s="791"/>
      <c r="Q29" s="792"/>
    </row>
    <row r="30" spans="1:17" s="121" customFormat="1" ht="18" customHeight="1" x14ac:dyDescent="0.15">
      <c r="A30" s="218" t="s">
        <v>0</v>
      </c>
      <c r="B30" s="793" t="s">
        <v>1227</v>
      </c>
      <c r="C30" s="794"/>
      <c r="D30" s="794"/>
      <c r="E30" s="794"/>
      <c r="F30" s="794"/>
      <c r="G30" s="794"/>
      <c r="H30" s="794"/>
      <c r="I30" s="794"/>
      <c r="J30" s="794"/>
      <c r="K30" s="794"/>
      <c r="L30" s="794"/>
      <c r="M30" s="794"/>
      <c r="N30" s="821"/>
      <c r="O30" s="216" t="s">
        <v>73</v>
      </c>
      <c r="P30" s="795" t="s">
        <v>5</v>
      </c>
      <c r="Q30" s="796"/>
    </row>
    <row r="31" spans="1:17" x14ac:dyDescent="0.15">
      <c r="A31" s="790"/>
      <c r="B31" s="791"/>
      <c r="C31" s="791"/>
      <c r="D31" s="791"/>
      <c r="E31" s="791"/>
      <c r="F31" s="791"/>
      <c r="G31" s="791"/>
      <c r="H31" s="791"/>
      <c r="I31" s="791"/>
      <c r="J31" s="791"/>
      <c r="K31" s="791"/>
      <c r="L31" s="791"/>
      <c r="M31" s="791"/>
      <c r="N31" s="791"/>
      <c r="O31" s="791"/>
      <c r="P31" s="791"/>
      <c r="Q31" s="792"/>
    </row>
    <row r="32" spans="1:17" s="126" customFormat="1" x14ac:dyDescent="0.15">
      <c r="A32" s="822" t="s">
        <v>150</v>
      </c>
      <c r="B32" s="823" t="s">
        <v>151</v>
      </c>
      <c r="C32" s="823"/>
      <c r="D32" s="802" t="s">
        <v>658</v>
      </c>
      <c r="E32" s="823" t="s">
        <v>152</v>
      </c>
      <c r="F32" s="823"/>
      <c r="G32" s="823"/>
      <c r="H32" s="804" t="s">
        <v>153</v>
      </c>
      <c r="I32" s="802" t="s">
        <v>159</v>
      </c>
      <c r="J32" s="804" t="s">
        <v>73</v>
      </c>
      <c r="K32" s="216" t="s">
        <v>154</v>
      </c>
      <c r="L32" s="806"/>
      <c r="M32" s="807"/>
      <c r="N32" s="807"/>
      <c r="O32" s="807"/>
      <c r="P32" s="807"/>
      <c r="Q32" s="808"/>
    </row>
    <row r="33" spans="1:18" s="130" customFormat="1" x14ac:dyDescent="0.15">
      <c r="A33" s="822"/>
      <c r="B33" s="823"/>
      <c r="C33" s="823"/>
      <c r="D33" s="803"/>
      <c r="E33" s="217" t="s">
        <v>155</v>
      </c>
      <c r="F33" s="217" t="s">
        <v>156</v>
      </c>
      <c r="G33" s="217" t="s">
        <v>157</v>
      </c>
      <c r="H33" s="805"/>
      <c r="I33" s="803"/>
      <c r="J33" s="805"/>
      <c r="K33" s="216" t="s">
        <v>158</v>
      </c>
      <c r="L33" s="809"/>
      <c r="M33" s="810"/>
      <c r="N33" s="810"/>
      <c r="O33" s="810"/>
      <c r="P33" s="810"/>
      <c r="Q33" s="811"/>
    </row>
    <row r="34" spans="1:18" ht="27.75" customHeight="1" x14ac:dyDescent="0.15">
      <c r="A34" s="131"/>
      <c r="B34" s="815" t="s">
        <v>1228</v>
      </c>
      <c r="C34" s="816"/>
      <c r="D34" s="219">
        <v>0</v>
      </c>
      <c r="E34" s="132">
        <v>10.92</v>
      </c>
      <c r="F34" s="144">
        <v>3</v>
      </c>
      <c r="G34" s="144">
        <v>0</v>
      </c>
      <c r="H34" s="132">
        <v>1</v>
      </c>
      <c r="I34" s="132">
        <f>E34*F34</f>
        <v>32.76</v>
      </c>
      <c r="J34" s="144" t="s">
        <v>5</v>
      </c>
      <c r="K34" s="219">
        <f>I34*H34</f>
        <v>32.76</v>
      </c>
      <c r="L34" s="809"/>
      <c r="M34" s="810"/>
      <c r="N34" s="810"/>
      <c r="O34" s="810"/>
      <c r="P34" s="810"/>
      <c r="Q34" s="811"/>
    </row>
    <row r="35" spans="1:18" ht="22.5" customHeight="1" x14ac:dyDescent="0.15">
      <c r="A35" s="795" t="s">
        <v>149</v>
      </c>
      <c r="B35" s="817"/>
      <c r="C35" s="817"/>
      <c r="D35" s="817"/>
      <c r="E35" s="817"/>
      <c r="F35" s="817"/>
      <c r="G35" s="817"/>
      <c r="H35" s="817"/>
      <c r="I35" s="817"/>
      <c r="J35" s="796"/>
      <c r="K35" s="418">
        <f>SUM(K34:K34)</f>
        <v>32.76</v>
      </c>
      <c r="L35" s="812"/>
      <c r="M35" s="813"/>
      <c r="N35" s="813"/>
      <c r="O35" s="813"/>
      <c r="P35" s="813"/>
      <c r="Q35" s="814"/>
    </row>
    <row r="36" spans="1:18" x14ac:dyDescent="0.15">
      <c r="A36" s="790"/>
      <c r="B36" s="791"/>
      <c r="C36" s="791"/>
      <c r="D36" s="791"/>
      <c r="E36" s="791"/>
      <c r="F36" s="791"/>
      <c r="G36" s="791"/>
      <c r="H36" s="791"/>
      <c r="I36" s="791"/>
      <c r="J36" s="791"/>
      <c r="K36" s="791"/>
      <c r="L36" s="791"/>
      <c r="M36" s="791"/>
      <c r="N36" s="791"/>
      <c r="O36" s="791"/>
      <c r="P36" s="791"/>
      <c r="Q36" s="792"/>
    </row>
    <row r="37" spans="1:18" s="121" customFormat="1" ht="18" customHeight="1" x14ac:dyDescent="0.15">
      <c r="A37" s="218" t="s">
        <v>0</v>
      </c>
      <c r="B37" s="827" t="s">
        <v>1532</v>
      </c>
      <c r="C37" s="828"/>
      <c r="D37" s="828"/>
      <c r="E37" s="828"/>
      <c r="F37" s="828"/>
      <c r="G37" s="828"/>
      <c r="H37" s="828"/>
      <c r="I37" s="828"/>
      <c r="J37" s="828"/>
      <c r="K37" s="828"/>
      <c r="L37" s="828"/>
      <c r="M37" s="828"/>
      <c r="N37" s="829"/>
      <c r="O37" s="216" t="s">
        <v>73</v>
      </c>
      <c r="P37" s="795" t="s">
        <v>6</v>
      </c>
      <c r="Q37" s="796"/>
    </row>
    <row r="38" spans="1:18" x14ac:dyDescent="0.15">
      <c r="A38" s="790"/>
      <c r="B38" s="791"/>
      <c r="C38" s="791"/>
      <c r="D38" s="791"/>
      <c r="E38" s="791"/>
      <c r="F38" s="791"/>
      <c r="G38" s="791"/>
      <c r="H38" s="791"/>
      <c r="I38" s="791"/>
      <c r="J38" s="791"/>
      <c r="K38" s="791"/>
      <c r="L38" s="791"/>
      <c r="M38" s="791"/>
      <c r="N38" s="791"/>
      <c r="O38" s="791"/>
      <c r="P38" s="791"/>
      <c r="Q38" s="792"/>
    </row>
    <row r="39" spans="1:18" s="126" customFormat="1" x14ac:dyDescent="0.15">
      <c r="A39" s="822" t="s">
        <v>150</v>
      </c>
      <c r="B39" s="823" t="s">
        <v>151</v>
      </c>
      <c r="C39" s="823"/>
      <c r="D39" s="802" t="s">
        <v>493</v>
      </c>
      <c r="E39" s="823" t="s">
        <v>152</v>
      </c>
      <c r="F39" s="823"/>
      <c r="G39" s="823"/>
      <c r="H39" s="804" t="s">
        <v>153</v>
      </c>
      <c r="I39" s="802" t="s">
        <v>160</v>
      </c>
      <c r="J39" s="804" t="s">
        <v>73</v>
      </c>
      <c r="K39" s="216" t="s">
        <v>154</v>
      </c>
      <c r="L39" s="806"/>
      <c r="M39" s="807"/>
      <c r="N39" s="807"/>
      <c r="O39" s="807"/>
      <c r="P39" s="807"/>
      <c r="Q39" s="808"/>
    </row>
    <row r="40" spans="1:18" s="130" customFormat="1" x14ac:dyDescent="0.15">
      <c r="A40" s="822"/>
      <c r="B40" s="823"/>
      <c r="C40" s="823"/>
      <c r="D40" s="803"/>
      <c r="E40" s="825" t="s">
        <v>657</v>
      </c>
      <c r="F40" s="826"/>
      <c r="G40" s="217" t="s">
        <v>659</v>
      </c>
      <c r="H40" s="805"/>
      <c r="I40" s="803"/>
      <c r="J40" s="805"/>
      <c r="K40" s="216" t="s">
        <v>158</v>
      </c>
      <c r="L40" s="809"/>
      <c r="M40" s="810"/>
      <c r="N40" s="810"/>
      <c r="O40" s="810"/>
      <c r="P40" s="810"/>
      <c r="Q40" s="811"/>
    </row>
    <row r="41" spans="1:18" ht="19.5" customHeight="1" x14ac:dyDescent="0.15">
      <c r="A41" s="131"/>
      <c r="B41" s="815" t="s">
        <v>559</v>
      </c>
      <c r="C41" s="816"/>
      <c r="D41" s="219">
        <v>1.3</v>
      </c>
      <c r="E41" s="824">
        <f>K28</f>
        <v>216</v>
      </c>
      <c r="F41" s="824"/>
      <c r="G41" s="219">
        <v>0.1</v>
      </c>
      <c r="H41" s="132">
        <v>1</v>
      </c>
      <c r="I41" s="132">
        <f>E41*G41</f>
        <v>21.6</v>
      </c>
      <c r="J41" s="144" t="s">
        <v>6</v>
      </c>
      <c r="K41" s="219">
        <f>I41*D41</f>
        <v>28.080000000000002</v>
      </c>
      <c r="L41" s="809"/>
      <c r="M41" s="810"/>
      <c r="N41" s="810"/>
      <c r="O41" s="810"/>
      <c r="P41" s="810"/>
      <c r="Q41" s="811"/>
      <c r="R41" s="221"/>
    </row>
    <row r="42" spans="1:18" ht="19.5" customHeight="1" x14ac:dyDescent="0.15">
      <c r="A42" s="131"/>
      <c r="B42" s="815" t="s">
        <v>1229</v>
      </c>
      <c r="C42" s="816"/>
      <c r="D42" s="219">
        <v>1.3</v>
      </c>
      <c r="E42" s="824">
        <f>K35</f>
        <v>32.76</v>
      </c>
      <c r="F42" s="824"/>
      <c r="G42" s="219">
        <v>0.13</v>
      </c>
      <c r="H42" s="132">
        <v>1</v>
      </c>
      <c r="I42" s="132">
        <f>E42*G42</f>
        <v>4.2587999999999999</v>
      </c>
      <c r="J42" s="144" t="s">
        <v>6</v>
      </c>
      <c r="K42" s="219">
        <f>I42*D42</f>
        <v>5.5364399999999998</v>
      </c>
      <c r="L42" s="809"/>
      <c r="M42" s="810"/>
      <c r="N42" s="810"/>
      <c r="O42" s="810"/>
      <c r="P42" s="810"/>
      <c r="Q42" s="811"/>
    </row>
    <row r="43" spans="1:18" ht="19.5" customHeight="1" x14ac:dyDescent="0.15">
      <c r="A43" s="131"/>
      <c r="B43" s="815" t="s">
        <v>993</v>
      </c>
      <c r="C43" s="816"/>
      <c r="D43" s="219">
        <v>1.3</v>
      </c>
      <c r="E43" s="824">
        <f>K21*0.3</f>
        <v>3.5999999999999996</v>
      </c>
      <c r="F43" s="824"/>
      <c r="G43" s="219">
        <v>0.25</v>
      </c>
      <c r="H43" s="132">
        <v>1</v>
      </c>
      <c r="I43" s="132">
        <f>E43*G43</f>
        <v>0.89999999999999991</v>
      </c>
      <c r="J43" s="144" t="s">
        <v>6</v>
      </c>
      <c r="K43" s="219">
        <f>I43*D43</f>
        <v>1.17</v>
      </c>
      <c r="L43" s="809"/>
      <c r="M43" s="810"/>
      <c r="N43" s="810"/>
      <c r="O43" s="810"/>
      <c r="P43" s="810"/>
      <c r="Q43" s="811"/>
    </row>
    <row r="44" spans="1:18" ht="22.5" customHeight="1" x14ac:dyDescent="0.15">
      <c r="A44" s="795" t="s">
        <v>149</v>
      </c>
      <c r="B44" s="817"/>
      <c r="C44" s="817"/>
      <c r="D44" s="817"/>
      <c r="E44" s="817"/>
      <c r="F44" s="817"/>
      <c r="G44" s="817"/>
      <c r="H44" s="817"/>
      <c r="I44" s="817"/>
      <c r="J44" s="796"/>
      <c r="K44" s="418">
        <f>SUM(K41:K43)</f>
        <v>34.786440000000006</v>
      </c>
      <c r="L44" s="812"/>
      <c r="M44" s="813"/>
      <c r="N44" s="813"/>
      <c r="O44" s="813"/>
      <c r="P44" s="813"/>
      <c r="Q44" s="814"/>
    </row>
    <row r="45" spans="1:18" x14ac:dyDescent="0.15">
      <c r="A45" s="790"/>
      <c r="B45" s="791"/>
      <c r="C45" s="791"/>
      <c r="D45" s="791"/>
      <c r="E45" s="791"/>
      <c r="F45" s="791"/>
      <c r="G45" s="791"/>
      <c r="H45" s="791"/>
      <c r="I45" s="791"/>
      <c r="J45" s="791"/>
      <c r="K45" s="791"/>
      <c r="L45" s="791"/>
      <c r="M45" s="791"/>
      <c r="N45" s="791"/>
      <c r="O45" s="791"/>
      <c r="P45" s="791"/>
      <c r="Q45" s="792"/>
    </row>
    <row r="46" spans="1:18" s="121" customFormat="1" ht="18" customHeight="1" x14ac:dyDescent="0.15">
      <c r="A46" s="218" t="s">
        <v>0</v>
      </c>
      <c r="B46" s="830" t="s">
        <v>561</v>
      </c>
      <c r="C46" s="831"/>
      <c r="D46" s="831"/>
      <c r="E46" s="831"/>
      <c r="F46" s="831"/>
      <c r="G46" s="831"/>
      <c r="H46" s="831"/>
      <c r="I46" s="831"/>
      <c r="J46" s="831"/>
      <c r="K46" s="831"/>
      <c r="L46" s="831"/>
      <c r="M46" s="831"/>
      <c r="N46" s="831"/>
      <c r="O46" s="216" t="s">
        <v>73</v>
      </c>
      <c r="P46" s="795" t="s">
        <v>6</v>
      </c>
      <c r="Q46" s="796"/>
    </row>
    <row r="47" spans="1:18" x14ac:dyDescent="0.15">
      <c r="A47" s="790"/>
      <c r="B47" s="791"/>
      <c r="C47" s="791"/>
      <c r="D47" s="791"/>
      <c r="E47" s="791"/>
      <c r="F47" s="791"/>
      <c r="G47" s="791"/>
      <c r="H47" s="791"/>
      <c r="I47" s="791"/>
      <c r="J47" s="791"/>
      <c r="K47" s="791"/>
      <c r="L47" s="791"/>
      <c r="M47" s="791"/>
      <c r="N47" s="791"/>
      <c r="O47" s="791"/>
      <c r="P47" s="791"/>
      <c r="Q47" s="792"/>
    </row>
    <row r="48" spans="1:18" s="126" customFormat="1" x14ac:dyDescent="0.15">
      <c r="A48" s="822" t="s">
        <v>150</v>
      </c>
      <c r="B48" s="823" t="s">
        <v>151</v>
      </c>
      <c r="C48" s="823"/>
      <c r="D48" s="802"/>
      <c r="E48" s="823" t="s">
        <v>152</v>
      </c>
      <c r="F48" s="823"/>
      <c r="G48" s="823"/>
      <c r="H48" s="802" t="s">
        <v>153</v>
      </c>
      <c r="I48" s="802" t="s">
        <v>160</v>
      </c>
      <c r="J48" s="804" t="s">
        <v>73</v>
      </c>
      <c r="K48" s="216" t="s">
        <v>154</v>
      </c>
      <c r="L48" s="123"/>
      <c r="M48" s="124"/>
      <c r="N48" s="124"/>
      <c r="O48" s="124"/>
      <c r="P48" s="124"/>
      <c r="Q48" s="125"/>
    </row>
    <row r="49" spans="1:19" s="130" customFormat="1" x14ac:dyDescent="0.15">
      <c r="A49" s="822"/>
      <c r="B49" s="823"/>
      <c r="C49" s="823"/>
      <c r="D49" s="803"/>
      <c r="E49" s="217" t="s">
        <v>155</v>
      </c>
      <c r="F49" s="217" t="s">
        <v>156</v>
      </c>
      <c r="G49" s="217" t="s">
        <v>157</v>
      </c>
      <c r="H49" s="803"/>
      <c r="I49" s="803"/>
      <c r="J49" s="805"/>
      <c r="K49" s="216" t="s">
        <v>158</v>
      </c>
      <c r="L49" s="127"/>
      <c r="M49" s="128"/>
      <c r="N49" s="128"/>
      <c r="O49" s="128"/>
      <c r="P49" s="128"/>
      <c r="Q49" s="129"/>
    </row>
    <row r="50" spans="1:19" ht="31.5" customHeight="1" x14ac:dyDescent="0.15">
      <c r="A50" s="148"/>
      <c r="B50" s="788" t="s">
        <v>1147</v>
      </c>
      <c r="C50" s="789"/>
      <c r="D50" s="149"/>
      <c r="E50" s="143">
        <v>1</v>
      </c>
      <c r="F50" s="143">
        <v>1</v>
      </c>
      <c r="G50" s="143">
        <v>1.2</v>
      </c>
      <c r="H50" s="143">
        <v>1</v>
      </c>
      <c r="I50" s="143">
        <f t="shared" ref="I50:I58" si="0">(E50*F50*G50)</f>
        <v>1.2</v>
      </c>
      <c r="J50" s="133" t="s">
        <v>6</v>
      </c>
      <c r="K50" s="143">
        <f t="shared" ref="K50:K58" si="1">I50*H50</f>
        <v>1.2</v>
      </c>
      <c r="L50" s="127"/>
      <c r="M50" s="128"/>
      <c r="N50" s="128"/>
      <c r="O50" s="128"/>
      <c r="P50" s="128"/>
      <c r="Q50" s="129"/>
      <c r="S50" s="369"/>
    </row>
    <row r="51" spans="1:19" ht="31.5" customHeight="1" x14ac:dyDescent="0.15">
      <c r="A51" s="148"/>
      <c r="B51" s="788" t="s">
        <v>1614</v>
      </c>
      <c r="C51" s="789"/>
      <c r="D51" s="149"/>
      <c r="E51" s="143">
        <v>0.6</v>
      </c>
      <c r="F51" s="143">
        <v>0.6</v>
      </c>
      <c r="G51" s="143">
        <v>0.9</v>
      </c>
      <c r="H51" s="143">
        <v>22</v>
      </c>
      <c r="I51" s="143">
        <f t="shared" si="0"/>
        <v>0.32400000000000001</v>
      </c>
      <c r="J51" s="133" t="s">
        <v>6</v>
      </c>
      <c r="K51" s="143">
        <f t="shared" si="1"/>
        <v>7.1280000000000001</v>
      </c>
      <c r="L51" s="127"/>
      <c r="M51" s="128"/>
      <c r="N51" s="128"/>
      <c r="O51" s="128"/>
      <c r="P51" s="128"/>
      <c r="Q51" s="129"/>
      <c r="S51" s="369"/>
    </row>
    <row r="52" spans="1:19" ht="31.5" customHeight="1" x14ac:dyDescent="0.15">
      <c r="A52" s="148"/>
      <c r="B52" s="788" t="s">
        <v>1627</v>
      </c>
      <c r="C52" s="789"/>
      <c r="D52" s="149"/>
      <c r="E52" s="143">
        <v>16.559999999999999</v>
      </c>
      <c r="F52" s="143">
        <v>0.3</v>
      </c>
      <c r="G52" s="143">
        <v>0.3</v>
      </c>
      <c r="H52" s="143">
        <v>3</v>
      </c>
      <c r="I52" s="143">
        <f t="shared" si="0"/>
        <v>1.4903999999999997</v>
      </c>
      <c r="J52" s="133" t="s">
        <v>6</v>
      </c>
      <c r="K52" s="143">
        <f t="shared" si="1"/>
        <v>4.4711999999999996</v>
      </c>
      <c r="L52" s="127"/>
      <c r="M52" s="128"/>
      <c r="N52" s="128"/>
      <c r="O52" s="128"/>
      <c r="P52" s="128"/>
      <c r="Q52" s="129"/>
    </row>
    <row r="53" spans="1:19" ht="31.5" customHeight="1" x14ac:dyDescent="0.15">
      <c r="A53" s="148"/>
      <c r="B53" s="788" t="s">
        <v>1627</v>
      </c>
      <c r="C53" s="789"/>
      <c r="D53" s="149"/>
      <c r="E53" s="143">
        <v>6.11</v>
      </c>
      <c r="F53" s="143">
        <v>0.3</v>
      </c>
      <c r="G53" s="143">
        <v>0.3</v>
      </c>
      <c r="H53" s="143">
        <v>4</v>
      </c>
      <c r="I53" s="143">
        <f t="shared" ref="I53" si="2">(E53*F53*G53)</f>
        <v>0.54989999999999994</v>
      </c>
      <c r="J53" s="133" t="s">
        <v>6</v>
      </c>
      <c r="K53" s="143">
        <f t="shared" ref="K53" si="3">I53*H53</f>
        <v>2.1995999999999998</v>
      </c>
      <c r="L53" s="127"/>
      <c r="M53" s="128"/>
      <c r="N53" s="128"/>
      <c r="O53" s="128"/>
      <c r="P53" s="128"/>
      <c r="Q53" s="129"/>
    </row>
    <row r="54" spans="1:19" ht="31.5" customHeight="1" x14ac:dyDescent="0.15">
      <c r="A54" s="148"/>
      <c r="B54" s="788" t="s">
        <v>1627</v>
      </c>
      <c r="C54" s="789"/>
      <c r="D54" s="149"/>
      <c r="E54" s="143">
        <v>7.41</v>
      </c>
      <c r="F54" s="143">
        <v>0.3</v>
      </c>
      <c r="G54" s="143">
        <v>0.3</v>
      </c>
      <c r="H54" s="143">
        <v>2</v>
      </c>
      <c r="I54" s="143">
        <f t="shared" ref="I54" si="4">(E54*F54*G54)</f>
        <v>0.66689999999999994</v>
      </c>
      <c r="J54" s="133" t="s">
        <v>6</v>
      </c>
      <c r="K54" s="143">
        <f t="shared" ref="K54" si="5">I54*H54</f>
        <v>1.3337999999999999</v>
      </c>
      <c r="L54" s="127"/>
      <c r="M54" s="128"/>
      <c r="N54" s="128"/>
      <c r="O54" s="128"/>
      <c r="P54" s="128"/>
      <c r="Q54" s="129"/>
    </row>
    <row r="55" spans="1:19" ht="31.5" customHeight="1" x14ac:dyDescent="0.15">
      <c r="A55" s="148"/>
      <c r="B55" s="788" t="s">
        <v>1627</v>
      </c>
      <c r="C55" s="789"/>
      <c r="D55" s="149"/>
      <c r="E55" s="143">
        <v>4.66</v>
      </c>
      <c r="F55" s="143">
        <v>0.3</v>
      </c>
      <c r="G55" s="143">
        <v>0.3</v>
      </c>
      <c r="H55" s="143">
        <v>1</v>
      </c>
      <c r="I55" s="143">
        <f t="shared" ref="I55" si="6">(E55*F55*G55)</f>
        <v>0.41939999999999994</v>
      </c>
      <c r="J55" s="133" t="s">
        <v>6</v>
      </c>
      <c r="K55" s="143">
        <f t="shared" ref="K55" si="7">I55*H55</f>
        <v>0.41939999999999994</v>
      </c>
      <c r="L55" s="127"/>
      <c r="M55" s="128"/>
      <c r="N55" s="128"/>
      <c r="O55" s="128"/>
      <c r="P55" s="128"/>
      <c r="Q55" s="129"/>
    </row>
    <row r="56" spans="1:19" ht="31.5" customHeight="1" x14ac:dyDescent="0.15">
      <c r="A56" s="148"/>
      <c r="B56" s="788" t="s">
        <v>1230</v>
      </c>
      <c r="C56" s="789"/>
      <c r="D56" s="149"/>
      <c r="E56" s="143">
        <v>5.19</v>
      </c>
      <c r="F56" s="143">
        <v>0.25</v>
      </c>
      <c r="G56" s="143">
        <v>0.25</v>
      </c>
      <c r="H56" s="143">
        <v>1</v>
      </c>
      <c r="I56" s="143">
        <f t="shared" ref="I56" si="8">(E56*F56*G56)</f>
        <v>0.32437500000000002</v>
      </c>
      <c r="J56" s="133" t="s">
        <v>6</v>
      </c>
      <c r="K56" s="143">
        <f t="shared" ref="K56" si="9">I56*H56</f>
        <v>0.32437500000000002</v>
      </c>
      <c r="L56" s="127"/>
      <c r="M56" s="128"/>
      <c r="N56" s="128"/>
      <c r="O56" s="128"/>
      <c r="P56" s="128"/>
      <c r="Q56" s="129"/>
    </row>
    <row r="57" spans="1:19" ht="31.5" customHeight="1" x14ac:dyDescent="0.15">
      <c r="A57" s="148"/>
      <c r="B57" s="788" t="s">
        <v>1230</v>
      </c>
      <c r="C57" s="789"/>
      <c r="D57" s="149"/>
      <c r="E57" s="143">
        <v>5</v>
      </c>
      <c r="F57" s="143">
        <v>0.25</v>
      </c>
      <c r="G57" s="143">
        <v>0.25</v>
      </c>
      <c r="H57" s="143">
        <v>2</v>
      </c>
      <c r="I57" s="143">
        <f t="shared" ref="I57" si="10">(E57*F57*G57)</f>
        <v>0.3125</v>
      </c>
      <c r="J57" s="133" t="s">
        <v>6</v>
      </c>
      <c r="K57" s="143">
        <f t="shared" ref="K57" si="11">I57*H57</f>
        <v>0.625</v>
      </c>
      <c r="L57" s="127"/>
      <c r="M57" s="128"/>
      <c r="N57" s="128"/>
      <c r="O57" s="128"/>
      <c r="P57" s="128"/>
      <c r="Q57" s="129"/>
    </row>
    <row r="58" spans="1:19" ht="31.5" customHeight="1" x14ac:dyDescent="0.15">
      <c r="A58" s="148"/>
      <c r="B58" s="788" t="s">
        <v>1511</v>
      </c>
      <c r="C58" s="789"/>
      <c r="D58" s="149"/>
      <c r="E58" s="143">
        <f>29.56+11.97</f>
        <v>41.53</v>
      </c>
      <c r="F58" s="143">
        <v>0.15</v>
      </c>
      <c r="G58" s="143">
        <v>0.15</v>
      </c>
      <c r="H58" s="143">
        <v>1</v>
      </c>
      <c r="I58" s="143">
        <f t="shared" si="0"/>
        <v>0.93442499999999995</v>
      </c>
      <c r="J58" s="133" t="s">
        <v>6</v>
      </c>
      <c r="K58" s="143">
        <f t="shared" si="1"/>
        <v>0.93442499999999995</v>
      </c>
      <c r="L58" s="127"/>
      <c r="M58" s="128"/>
      <c r="N58" s="128"/>
      <c r="O58" s="128"/>
      <c r="P58" s="128"/>
      <c r="Q58" s="129"/>
    </row>
    <row r="59" spans="1:19" ht="14" x14ac:dyDescent="0.15">
      <c r="A59" s="795" t="s">
        <v>149</v>
      </c>
      <c r="B59" s="817"/>
      <c r="C59" s="817"/>
      <c r="D59" s="817"/>
      <c r="E59" s="817"/>
      <c r="F59" s="817"/>
      <c r="G59" s="817"/>
      <c r="H59" s="817"/>
      <c r="I59" s="817"/>
      <c r="J59" s="796"/>
      <c r="K59" s="418">
        <f>SUM(K50:K58)</f>
        <v>18.6358</v>
      </c>
      <c r="L59" s="134"/>
      <c r="M59" s="135"/>
      <c r="N59" s="135"/>
      <c r="O59" s="135"/>
      <c r="P59" s="135"/>
      <c r="Q59" s="136"/>
    </row>
    <row r="60" spans="1:19" x14ac:dyDescent="0.15">
      <c r="A60" s="790"/>
      <c r="B60" s="791"/>
      <c r="C60" s="791"/>
      <c r="D60" s="791"/>
      <c r="E60" s="791"/>
      <c r="F60" s="791"/>
      <c r="G60" s="791"/>
      <c r="H60" s="791"/>
      <c r="I60" s="791"/>
      <c r="J60" s="791"/>
      <c r="K60" s="791"/>
      <c r="L60" s="791"/>
      <c r="M60" s="791"/>
      <c r="N60" s="791"/>
      <c r="O60" s="791"/>
      <c r="P60" s="791"/>
      <c r="Q60" s="792"/>
    </row>
    <row r="61" spans="1:19" s="121" customFormat="1" ht="18" customHeight="1" x14ac:dyDescent="0.15">
      <c r="A61" s="218" t="s">
        <v>0</v>
      </c>
      <c r="B61" s="830" t="s">
        <v>523</v>
      </c>
      <c r="C61" s="831"/>
      <c r="D61" s="831"/>
      <c r="E61" s="831"/>
      <c r="F61" s="831"/>
      <c r="G61" s="831"/>
      <c r="H61" s="831"/>
      <c r="I61" s="831"/>
      <c r="J61" s="831"/>
      <c r="K61" s="831"/>
      <c r="L61" s="831"/>
      <c r="M61" s="831"/>
      <c r="N61" s="831"/>
      <c r="O61" s="216" t="s">
        <v>73</v>
      </c>
      <c r="P61" s="795" t="s">
        <v>6</v>
      </c>
      <c r="Q61" s="796"/>
    </row>
    <row r="62" spans="1:19" x14ac:dyDescent="0.15">
      <c r="A62" s="790"/>
      <c r="B62" s="791"/>
      <c r="C62" s="791"/>
      <c r="D62" s="791"/>
      <c r="E62" s="791"/>
      <c r="F62" s="791"/>
      <c r="G62" s="791"/>
      <c r="H62" s="791"/>
      <c r="I62" s="791"/>
      <c r="J62" s="791"/>
      <c r="K62" s="791"/>
      <c r="L62" s="791"/>
      <c r="M62" s="791"/>
      <c r="N62" s="791"/>
      <c r="O62" s="791"/>
      <c r="P62" s="791"/>
      <c r="Q62" s="792"/>
    </row>
    <row r="63" spans="1:19" s="126" customFormat="1" x14ac:dyDescent="0.15">
      <c r="A63" s="822" t="s">
        <v>150</v>
      </c>
      <c r="B63" s="823" t="s">
        <v>151</v>
      </c>
      <c r="C63" s="823"/>
      <c r="D63" s="832" t="s">
        <v>490</v>
      </c>
      <c r="E63" s="823" t="s">
        <v>152</v>
      </c>
      <c r="F63" s="823"/>
      <c r="G63" s="823"/>
      <c r="H63" s="802" t="s">
        <v>153</v>
      </c>
      <c r="I63" s="802" t="s">
        <v>160</v>
      </c>
      <c r="J63" s="804" t="s">
        <v>73</v>
      </c>
      <c r="K63" s="216" t="s">
        <v>154</v>
      </c>
      <c r="L63" s="123"/>
      <c r="M63" s="124"/>
      <c r="N63" s="124"/>
      <c r="O63" s="124"/>
      <c r="P63" s="124"/>
      <c r="Q63" s="125"/>
    </row>
    <row r="64" spans="1:19" s="130" customFormat="1" x14ac:dyDescent="0.15">
      <c r="A64" s="822"/>
      <c r="B64" s="823"/>
      <c r="C64" s="823"/>
      <c r="D64" s="833"/>
      <c r="E64" s="217" t="s">
        <v>155</v>
      </c>
      <c r="F64" s="217" t="s">
        <v>156</v>
      </c>
      <c r="G64" s="217" t="s">
        <v>157</v>
      </c>
      <c r="H64" s="803"/>
      <c r="I64" s="803"/>
      <c r="J64" s="805"/>
      <c r="K64" s="216" t="s">
        <v>158</v>
      </c>
      <c r="L64" s="127"/>
      <c r="M64" s="128"/>
      <c r="N64" s="128"/>
      <c r="O64" s="128"/>
      <c r="P64" s="128"/>
      <c r="Q64" s="129"/>
    </row>
    <row r="65" spans="1:17" ht="33" customHeight="1" x14ac:dyDescent="0.15">
      <c r="A65" s="148"/>
      <c r="B65" s="788" t="s">
        <v>1147</v>
      </c>
      <c r="C65" s="789"/>
      <c r="D65" s="143">
        <f>(0.45*0.45*0.7*H65)</f>
        <v>0.14174999999999999</v>
      </c>
      <c r="E65" s="143">
        <v>1</v>
      </c>
      <c r="F65" s="143">
        <v>1</v>
      </c>
      <c r="G65" s="143">
        <v>0.7</v>
      </c>
      <c r="H65" s="143">
        <v>1</v>
      </c>
      <c r="I65" s="143">
        <f t="shared" ref="I65:I66" si="12">(E65*F65*G65)</f>
        <v>0.7</v>
      </c>
      <c r="J65" s="133" t="s">
        <v>6</v>
      </c>
      <c r="K65" s="143">
        <f t="shared" ref="K65:K66" si="13">(I65*H65)-D65</f>
        <v>0.55824999999999991</v>
      </c>
      <c r="L65" s="127"/>
      <c r="M65" s="128"/>
      <c r="N65" s="128"/>
      <c r="O65" s="128"/>
      <c r="P65" s="128"/>
      <c r="Q65" s="129"/>
    </row>
    <row r="66" spans="1:17" ht="33" customHeight="1" x14ac:dyDescent="0.15">
      <c r="A66" s="148"/>
      <c r="B66" s="788" t="s">
        <v>1614</v>
      </c>
      <c r="C66" s="789"/>
      <c r="D66" s="143">
        <f>(0.25*0.25*0.5*H66)</f>
        <v>0.6875</v>
      </c>
      <c r="E66" s="143">
        <v>0.6</v>
      </c>
      <c r="F66" s="143">
        <v>0.6</v>
      </c>
      <c r="G66" s="143">
        <v>0.5</v>
      </c>
      <c r="H66" s="143">
        <v>22</v>
      </c>
      <c r="I66" s="143">
        <f t="shared" si="12"/>
        <v>0.18</v>
      </c>
      <c r="J66" s="133" t="s">
        <v>6</v>
      </c>
      <c r="K66" s="143">
        <f t="shared" si="13"/>
        <v>3.2725</v>
      </c>
      <c r="L66" s="127"/>
      <c r="M66" s="128"/>
      <c r="N66" s="128"/>
      <c r="O66" s="128"/>
      <c r="P66" s="128"/>
      <c r="Q66" s="129"/>
    </row>
    <row r="67" spans="1:17" ht="14" x14ac:dyDescent="0.15">
      <c r="A67" s="795" t="s">
        <v>149</v>
      </c>
      <c r="B67" s="817"/>
      <c r="C67" s="817"/>
      <c r="D67" s="817"/>
      <c r="E67" s="817"/>
      <c r="F67" s="817"/>
      <c r="G67" s="817"/>
      <c r="H67" s="817"/>
      <c r="I67" s="817"/>
      <c r="J67" s="796"/>
      <c r="K67" s="418">
        <f>SUM(K65:K66)</f>
        <v>3.8307500000000001</v>
      </c>
      <c r="L67" s="134"/>
      <c r="M67" s="135"/>
      <c r="N67" s="135"/>
      <c r="O67" s="135"/>
      <c r="P67" s="135"/>
      <c r="Q67" s="136"/>
    </row>
    <row r="68" spans="1:17" x14ac:dyDescent="0.15">
      <c r="A68" s="790"/>
      <c r="B68" s="791"/>
      <c r="C68" s="791"/>
      <c r="D68" s="791"/>
      <c r="E68" s="791"/>
      <c r="F68" s="791"/>
      <c r="G68" s="791"/>
      <c r="H68" s="791"/>
      <c r="I68" s="791"/>
      <c r="J68" s="791"/>
      <c r="K68" s="791"/>
      <c r="L68" s="791"/>
      <c r="M68" s="791"/>
      <c r="N68" s="791"/>
      <c r="O68" s="791"/>
      <c r="P68" s="791"/>
      <c r="Q68" s="792"/>
    </row>
    <row r="69" spans="1:17" s="121" customFormat="1" ht="18" customHeight="1" x14ac:dyDescent="0.15">
      <c r="A69" s="218" t="s">
        <v>0</v>
      </c>
      <c r="B69" s="830" t="s">
        <v>1003</v>
      </c>
      <c r="C69" s="831"/>
      <c r="D69" s="831"/>
      <c r="E69" s="831"/>
      <c r="F69" s="831"/>
      <c r="G69" s="831"/>
      <c r="H69" s="831"/>
      <c r="I69" s="831"/>
      <c r="J69" s="831"/>
      <c r="K69" s="831"/>
      <c r="L69" s="831"/>
      <c r="M69" s="831"/>
      <c r="N69" s="831"/>
      <c r="O69" s="216" t="s">
        <v>73</v>
      </c>
      <c r="P69" s="795" t="s">
        <v>6</v>
      </c>
      <c r="Q69" s="796"/>
    </row>
    <row r="70" spans="1:17" x14ac:dyDescent="0.15">
      <c r="A70" s="790"/>
      <c r="B70" s="791"/>
      <c r="C70" s="791"/>
      <c r="D70" s="791"/>
      <c r="E70" s="791"/>
      <c r="F70" s="791"/>
      <c r="G70" s="791"/>
      <c r="H70" s="791"/>
      <c r="I70" s="791"/>
      <c r="J70" s="791"/>
      <c r="K70" s="791"/>
      <c r="L70" s="791"/>
      <c r="M70" s="791"/>
      <c r="N70" s="791"/>
      <c r="O70" s="791"/>
      <c r="P70" s="791"/>
      <c r="Q70" s="792"/>
    </row>
    <row r="71" spans="1:17" s="126" customFormat="1" x14ac:dyDescent="0.15">
      <c r="A71" s="822" t="s">
        <v>150</v>
      </c>
      <c r="B71" s="823" t="s">
        <v>151</v>
      </c>
      <c r="C71" s="823"/>
      <c r="D71" s="825" t="s">
        <v>152</v>
      </c>
      <c r="E71" s="826"/>
      <c r="F71" s="826"/>
      <c r="G71" s="834"/>
      <c r="H71" s="802" t="s">
        <v>153</v>
      </c>
      <c r="I71" s="802" t="s">
        <v>160</v>
      </c>
      <c r="J71" s="832" t="s">
        <v>495</v>
      </c>
      <c r="K71" s="804" t="s">
        <v>73</v>
      </c>
      <c r="L71" s="216" t="s">
        <v>154</v>
      </c>
      <c r="M71" s="806"/>
      <c r="N71" s="807"/>
      <c r="O71" s="807"/>
      <c r="P71" s="807"/>
      <c r="Q71" s="808"/>
    </row>
    <row r="72" spans="1:17" s="130" customFormat="1" x14ac:dyDescent="0.15">
      <c r="A72" s="822"/>
      <c r="B72" s="823"/>
      <c r="C72" s="823"/>
      <c r="D72" s="217" t="s">
        <v>624</v>
      </c>
      <c r="E72" s="217" t="s">
        <v>155</v>
      </c>
      <c r="F72" s="217" t="s">
        <v>156</v>
      </c>
      <c r="G72" s="217" t="s">
        <v>157</v>
      </c>
      <c r="H72" s="803"/>
      <c r="I72" s="803"/>
      <c r="J72" s="833"/>
      <c r="K72" s="805"/>
      <c r="L72" s="216" t="s">
        <v>158</v>
      </c>
      <c r="M72" s="809"/>
      <c r="N72" s="810"/>
      <c r="O72" s="810"/>
      <c r="P72" s="810"/>
      <c r="Q72" s="811"/>
    </row>
    <row r="73" spans="1:17" ht="27" customHeight="1" x14ac:dyDescent="0.15">
      <c r="A73" s="148"/>
      <c r="B73" s="815" t="s">
        <v>967</v>
      </c>
      <c r="C73" s="816"/>
      <c r="D73" s="219">
        <v>0</v>
      </c>
      <c r="E73" s="132">
        <v>19</v>
      </c>
      <c r="F73" s="144">
        <v>12</v>
      </c>
      <c r="G73" s="143">
        <v>0.18</v>
      </c>
      <c r="H73" s="143">
        <v>1</v>
      </c>
      <c r="I73" s="143">
        <f t="shared" ref="I73:I75" si="14">E73*F73*G73</f>
        <v>41.04</v>
      </c>
      <c r="J73" s="143">
        <v>0</v>
      </c>
      <c r="K73" s="133" t="s">
        <v>6</v>
      </c>
      <c r="L73" s="143">
        <f>I73*H73</f>
        <v>41.04</v>
      </c>
      <c r="M73" s="809"/>
      <c r="N73" s="810"/>
      <c r="O73" s="810"/>
      <c r="P73" s="810"/>
      <c r="Q73" s="811"/>
    </row>
    <row r="74" spans="1:17" ht="33" customHeight="1" x14ac:dyDescent="0.15">
      <c r="A74" s="148"/>
      <c r="B74" s="788" t="s">
        <v>1147</v>
      </c>
      <c r="C74" s="789"/>
      <c r="D74" s="143">
        <v>0</v>
      </c>
      <c r="E74" s="143">
        <v>1</v>
      </c>
      <c r="F74" s="143">
        <v>1</v>
      </c>
      <c r="G74" s="143">
        <v>0.1</v>
      </c>
      <c r="H74" s="143">
        <v>1</v>
      </c>
      <c r="I74" s="143">
        <f t="shared" si="14"/>
        <v>0.1</v>
      </c>
      <c r="J74" s="143">
        <v>0</v>
      </c>
      <c r="K74" s="133" t="s">
        <v>6</v>
      </c>
      <c r="L74" s="143">
        <f>H74*I74</f>
        <v>0.1</v>
      </c>
      <c r="M74" s="809"/>
      <c r="N74" s="810"/>
      <c r="O74" s="810"/>
      <c r="P74" s="810"/>
      <c r="Q74" s="811"/>
    </row>
    <row r="75" spans="1:17" ht="33" customHeight="1" x14ac:dyDescent="0.15">
      <c r="A75" s="148"/>
      <c r="B75" s="788" t="s">
        <v>1614</v>
      </c>
      <c r="C75" s="789"/>
      <c r="D75" s="143">
        <v>0</v>
      </c>
      <c r="E75" s="143">
        <v>0.6</v>
      </c>
      <c r="F75" s="143">
        <v>0.6</v>
      </c>
      <c r="G75" s="143">
        <v>0.1</v>
      </c>
      <c r="H75" s="143">
        <v>22</v>
      </c>
      <c r="I75" s="143">
        <f t="shared" si="14"/>
        <v>3.5999999999999997E-2</v>
      </c>
      <c r="J75" s="143">
        <v>0</v>
      </c>
      <c r="K75" s="133" t="s">
        <v>6</v>
      </c>
      <c r="L75" s="143">
        <f t="shared" ref="L75" si="15">H75*I75</f>
        <v>0.79199999999999993</v>
      </c>
      <c r="M75" s="809"/>
      <c r="N75" s="810"/>
      <c r="O75" s="810"/>
      <c r="P75" s="810"/>
      <c r="Q75" s="811"/>
    </row>
    <row r="76" spans="1:17" ht="14" x14ac:dyDescent="0.15">
      <c r="A76" s="795" t="s">
        <v>149</v>
      </c>
      <c r="B76" s="817"/>
      <c r="C76" s="817"/>
      <c r="D76" s="817"/>
      <c r="E76" s="817"/>
      <c r="F76" s="817"/>
      <c r="G76" s="817"/>
      <c r="H76" s="817"/>
      <c r="I76" s="817"/>
      <c r="J76" s="817"/>
      <c r="K76" s="796"/>
      <c r="L76" s="418">
        <f>SUM(L73:L75)</f>
        <v>41.932000000000002</v>
      </c>
      <c r="M76" s="812"/>
      <c r="N76" s="813"/>
      <c r="O76" s="813"/>
      <c r="P76" s="813"/>
      <c r="Q76" s="814"/>
    </row>
    <row r="77" spans="1:17" x14ac:dyDescent="0.15">
      <c r="A77" s="790"/>
      <c r="B77" s="791"/>
      <c r="C77" s="791"/>
      <c r="D77" s="791"/>
      <c r="E77" s="791"/>
      <c r="F77" s="791"/>
      <c r="G77" s="791"/>
      <c r="H77" s="791"/>
      <c r="I77" s="791"/>
      <c r="J77" s="791"/>
      <c r="K77" s="791"/>
      <c r="L77" s="791"/>
      <c r="M77" s="791"/>
      <c r="N77" s="791"/>
      <c r="O77" s="791"/>
      <c r="P77" s="791"/>
      <c r="Q77" s="792"/>
    </row>
    <row r="78" spans="1:17" s="121" customFormat="1" ht="18" customHeight="1" x14ac:dyDescent="0.15">
      <c r="A78" s="218" t="s">
        <v>0</v>
      </c>
      <c r="B78" s="830" t="s">
        <v>562</v>
      </c>
      <c r="C78" s="831"/>
      <c r="D78" s="831"/>
      <c r="E78" s="831"/>
      <c r="F78" s="831"/>
      <c r="G78" s="831"/>
      <c r="H78" s="831"/>
      <c r="I78" s="831"/>
      <c r="J78" s="831"/>
      <c r="K78" s="831"/>
      <c r="L78" s="831"/>
      <c r="M78" s="831"/>
      <c r="N78" s="831"/>
      <c r="O78" s="216" t="s">
        <v>73</v>
      </c>
      <c r="P78" s="795" t="s">
        <v>6</v>
      </c>
      <c r="Q78" s="796"/>
    </row>
    <row r="79" spans="1:17" x14ac:dyDescent="0.15">
      <c r="A79" s="790"/>
      <c r="B79" s="791"/>
      <c r="C79" s="791"/>
      <c r="D79" s="791"/>
      <c r="E79" s="791"/>
      <c r="F79" s="791"/>
      <c r="G79" s="791"/>
      <c r="H79" s="791"/>
      <c r="I79" s="791"/>
      <c r="J79" s="791"/>
      <c r="K79" s="791"/>
      <c r="L79" s="791"/>
      <c r="M79" s="791"/>
      <c r="N79" s="791"/>
      <c r="O79" s="791"/>
      <c r="P79" s="791"/>
      <c r="Q79" s="792"/>
    </row>
    <row r="80" spans="1:17" s="126" customFormat="1" x14ac:dyDescent="0.15">
      <c r="A80" s="822" t="s">
        <v>150</v>
      </c>
      <c r="B80" s="823" t="s">
        <v>151</v>
      </c>
      <c r="C80" s="823"/>
      <c r="D80" s="802" t="s">
        <v>493</v>
      </c>
      <c r="E80" s="823" t="s">
        <v>152</v>
      </c>
      <c r="F80" s="823"/>
      <c r="G80" s="823"/>
      <c r="H80" s="804" t="s">
        <v>153</v>
      </c>
      <c r="I80" s="802" t="s">
        <v>160</v>
      </c>
      <c r="J80" s="804" t="s">
        <v>73</v>
      </c>
      <c r="K80" s="216" t="s">
        <v>154</v>
      </c>
      <c r="L80" s="806"/>
      <c r="M80" s="807"/>
      <c r="N80" s="807"/>
      <c r="O80" s="807"/>
      <c r="P80" s="807"/>
      <c r="Q80" s="808"/>
    </row>
    <row r="81" spans="1:19" s="130" customFormat="1" x14ac:dyDescent="0.15">
      <c r="A81" s="822"/>
      <c r="B81" s="823"/>
      <c r="C81" s="823"/>
      <c r="D81" s="803"/>
      <c r="E81" s="217" t="s">
        <v>155</v>
      </c>
      <c r="F81" s="217" t="s">
        <v>156</v>
      </c>
      <c r="G81" s="217" t="s">
        <v>157</v>
      </c>
      <c r="H81" s="805"/>
      <c r="I81" s="803"/>
      <c r="J81" s="805"/>
      <c r="K81" s="216" t="s">
        <v>158</v>
      </c>
      <c r="L81" s="809"/>
      <c r="M81" s="810"/>
      <c r="N81" s="810"/>
      <c r="O81" s="810"/>
      <c r="P81" s="810"/>
      <c r="Q81" s="811"/>
    </row>
    <row r="82" spans="1:19" ht="28.5" customHeight="1" x14ac:dyDescent="0.15">
      <c r="A82" s="131"/>
      <c r="B82" s="788" t="s">
        <v>496</v>
      </c>
      <c r="C82" s="789"/>
      <c r="D82" s="671">
        <v>1.3</v>
      </c>
      <c r="E82" s="143">
        <v>0</v>
      </c>
      <c r="F82" s="672">
        <v>0</v>
      </c>
      <c r="G82" s="672">
        <v>0</v>
      </c>
      <c r="H82" s="143">
        <v>1</v>
      </c>
      <c r="I82" s="143">
        <f>K59-K67</f>
        <v>14.80505</v>
      </c>
      <c r="J82" s="672" t="s">
        <v>5</v>
      </c>
      <c r="K82" s="671">
        <f>I82*D82</f>
        <v>19.246565</v>
      </c>
      <c r="L82" s="809"/>
      <c r="M82" s="810"/>
      <c r="N82" s="810"/>
      <c r="O82" s="810"/>
      <c r="P82" s="810"/>
      <c r="Q82" s="811"/>
    </row>
    <row r="83" spans="1:19" ht="22.5" customHeight="1" x14ac:dyDescent="0.15">
      <c r="A83" s="795" t="s">
        <v>149</v>
      </c>
      <c r="B83" s="817"/>
      <c r="C83" s="817"/>
      <c r="D83" s="817"/>
      <c r="E83" s="817"/>
      <c r="F83" s="817"/>
      <c r="G83" s="817"/>
      <c r="H83" s="817"/>
      <c r="I83" s="817"/>
      <c r="J83" s="796"/>
      <c r="K83" s="418">
        <f>SUM(K82:K82)</f>
        <v>19.246565</v>
      </c>
      <c r="L83" s="812"/>
      <c r="M83" s="813"/>
      <c r="N83" s="813"/>
      <c r="O83" s="813"/>
      <c r="P83" s="813"/>
      <c r="Q83" s="814"/>
    </row>
    <row r="84" spans="1:19" x14ac:dyDescent="0.15">
      <c r="A84" s="790"/>
      <c r="B84" s="791"/>
      <c r="C84" s="791"/>
      <c r="D84" s="791"/>
      <c r="E84" s="791"/>
      <c r="F84" s="791"/>
      <c r="G84" s="791"/>
      <c r="H84" s="791"/>
      <c r="I84" s="791"/>
      <c r="J84" s="791"/>
      <c r="K84" s="791"/>
      <c r="L84" s="791"/>
      <c r="M84" s="791"/>
      <c r="N84" s="791"/>
      <c r="O84" s="791"/>
      <c r="P84" s="791"/>
      <c r="Q84" s="792"/>
    </row>
    <row r="85" spans="1:19" s="121" customFormat="1" ht="18" customHeight="1" x14ac:dyDescent="0.15">
      <c r="A85" s="218" t="s">
        <v>0</v>
      </c>
      <c r="B85" s="793" t="s">
        <v>566</v>
      </c>
      <c r="C85" s="794"/>
      <c r="D85" s="794"/>
      <c r="E85" s="794"/>
      <c r="F85" s="794"/>
      <c r="G85" s="794"/>
      <c r="H85" s="794"/>
      <c r="I85" s="794"/>
      <c r="J85" s="794"/>
      <c r="K85" s="794"/>
      <c r="L85" s="794"/>
      <c r="M85" s="794"/>
      <c r="N85" s="794"/>
      <c r="O85" s="216" t="s">
        <v>73</v>
      </c>
      <c r="P85" s="795" t="s">
        <v>6</v>
      </c>
      <c r="Q85" s="796"/>
    </row>
    <row r="86" spans="1:19" x14ac:dyDescent="0.15">
      <c r="A86" s="790"/>
      <c r="B86" s="791"/>
      <c r="C86" s="791"/>
      <c r="D86" s="791"/>
      <c r="E86" s="791"/>
      <c r="F86" s="791"/>
      <c r="G86" s="791"/>
      <c r="H86" s="791"/>
      <c r="I86" s="791"/>
      <c r="J86" s="791"/>
      <c r="K86" s="791"/>
      <c r="L86" s="791"/>
      <c r="M86" s="791"/>
      <c r="N86" s="791"/>
      <c r="O86" s="791"/>
      <c r="P86" s="791"/>
      <c r="Q86" s="792"/>
    </row>
    <row r="87" spans="1:19" s="126" customFormat="1" x14ac:dyDescent="0.15">
      <c r="A87" s="822" t="s">
        <v>150</v>
      </c>
      <c r="B87" s="823" t="s">
        <v>151</v>
      </c>
      <c r="C87" s="823"/>
      <c r="D87" s="802"/>
      <c r="E87" s="823" t="s">
        <v>152</v>
      </c>
      <c r="F87" s="823"/>
      <c r="G87" s="823"/>
      <c r="H87" s="802" t="s">
        <v>153</v>
      </c>
      <c r="I87" s="802" t="s">
        <v>160</v>
      </c>
      <c r="J87" s="804" t="s">
        <v>73</v>
      </c>
      <c r="K87" s="216" t="s">
        <v>154</v>
      </c>
      <c r="L87" s="123"/>
      <c r="M87" s="124"/>
      <c r="N87" s="124"/>
      <c r="O87" s="124"/>
      <c r="P87" s="124"/>
      <c r="Q87" s="125"/>
    </row>
    <row r="88" spans="1:19" s="130" customFormat="1" x14ac:dyDescent="0.15">
      <c r="A88" s="822"/>
      <c r="B88" s="823"/>
      <c r="C88" s="823"/>
      <c r="D88" s="803"/>
      <c r="E88" s="217" t="s">
        <v>155</v>
      </c>
      <c r="F88" s="217" t="s">
        <v>156</v>
      </c>
      <c r="G88" s="217" t="s">
        <v>157</v>
      </c>
      <c r="H88" s="803"/>
      <c r="I88" s="803"/>
      <c r="J88" s="805"/>
      <c r="K88" s="216" t="s">
        <v>158</v>
      </c>
      <c r="L88" s="127"/>
      <c r="M88" s="128"/>
      <c r="N88" s="128"/>
      <c r="O88" s="128"/>
      <c r="P88" s="128"/>
      <c r="Q88" s="129"/>
    </row>
    <row r="89" spans="1:19" ht="31.5" customHeight="1" x14ac:dyDescent="0.15">
      <c r="A89" s="148"/>
      <c r="B89" s="788" t="s">
        <v>1147</v>
      </c>
      <c r="C89" s="789"/>
      <c r="D89" s="149"/>
      <c r="E89" s="143">
        <v>1</v>
      </c>
      <c r="F89" s="143">
        <v>1</v>
      </c>
      <c r="G89" s="143">
        <v>0.05</v>
      </c>
      <c r="H89" s="143">
        <v>1</v>
      </c>
      <c r="I89" s="143">
        <f t="shared" ref="I89:I90" si="16">(E89*F89*G89)</f>
        <v>0.05</v>
      </c>
      <c r="J89" s="133" t="s">
        <v>6</v>
      </c>
      <c r="K89" s="143">
        <f t="shared" ref="K89:K90" si="17">I89*H89</f>
        <v>0.05</v>
      </c>
      <c r="L89" s="127"/>
      <c r="M89" s="128"/>
      <c r="N89" s="128"/>
      <c r="O89" s="128"/>
      <c r="P89" s="128"/>
      <c r="Q89" s="129"/>
      <c r="S89" s="369"/>
    </row>
    <row r="90" spans="1:19" ht="31.5" customHeight="1" x14ac:dyDescent="0.15">
      <c r="A90" s="148"/>
      <c r="B90" s="788" t="s">
        <v>1614</v>
      </c>
      <c r="C90" s="789"/>
      <c r="D90" s="149"/>
      <c r="E90" s="143">
        <v>0.6</v>
      </c>
      <c r="F90" s="143">
        <v>0.6</v>
      </c>
      <c r="G90" s="143">
        <v>0.05</v>
      </c>
      <c r="H90" s="143">
        <v>22</v>
      </c>
      <c r="I90" s="143">
        <f t="shared" si="16"/>
        <v>1.7999999999999999E-2</v>
      </c>
      <c r="J90" s="133" t="s">
        <v>6</v>
      </c>
      <c r="K90" s="143">
        <f t="shared" si="17"/>
        <v>0.39599999999999996</v>
      </c>
      <c r="L90" s="127"/>
      <c r="M90" s="128"/>
      <c r="N90" s="128"/>
      <c r="O90" s="128"/>
      <c r="P90" s="128"/>
      <c r="Q90" s="129"/>
      <c r="S90" s="369"/>
    </row>
    <row r="91" spans="1:19" ht="14" x14ac:dyDescent="0.15">
      <c r="A91" s="795" t="s">
        <v>149</v>
      </c>
      <c r="B91" s="817"/>
      <c r="C91" s="817"/>
      <c r="D91" s="817"/>
      <c r="E91" s="817"/>
      <c r="F91" s="817"/>
      <c r="G91" s="817"/>
      <c r="H91" s="817"/>
      <c r="I91" s="817"/>
      <c r="J91" s="796"/>
      <c r="K91" s="418">
        <f>SUM(K89:K90)</f>
        <v>0.44599999999999995</v>
      </c>
      <c r="L91" s="134"/>
      <c r="M91" s="135"/>
      <c r="N91" s="135"/>
      <c r="O91" s="135"/>
      <c r="P91" s="135"/>
      <c r="Q91" s="136"/>
      <c r="R91" s="221"/>
    </row>
    <row r="92" spans="1:19" x14ac:dyDescent="0.15">
      <c r="A92" s="790"/>
      <c r="B92" s="791"/>
      <c r="C92" s="791"/>
      <c r="D92" s="791"/>
      <c r="E92" s="791"/>
      <c r="F92" s="791"/>
      <c r="G92" s="791"/>
      <c r="H92" s="791"/>
      <c r="I92" s="791"/>
      <c r="J92" s="791"/>
      <c r="K92" s="791"/>
      <c r="L92" s="791"/>
      <c r="M92" s="791"/>
      <c r="N92" s="791"/>
      <c r="O92" s="791"/>
      <c r="P92" s="791"/>
      <c r="Q92" s="792"/>
    </row>
    <row r="93" spans="1:19" s="121" customFormat="1" ht="18" customHeight="1" x14ac:dyDescent="0.15">
      <c r="A93" s="218" t="s">
        <v>0</v>
      </c>
      <c r="B93" s="793" t="s">
        <v>1006</v>
      </c>
      <c r="C93" s="794"/>
      <c r="D93" s="794"/>
      <c r="E93" s="794"/>
      <c r="F93" s="794"/>
      <c r="G93" s="794"/>
      <c r="H93" s="794"/>
      <c r="I93" s="794"/>
      <c r="J93" s="794"/>
      <c r="K93" s="794"/>
      <c r="L93" s="794"/>
      <c r="M93" s="794"/>
      <c r="N93" s="794"/>
      <c r="O93" s="216" t="s">
        <v>73</v>
      </c>
      <c r="P93" s="795" t="s">
        <v>319</v>
      </c>
      <c r="Q93" s="796"/>
    </row>
    <row r="94" spans="1:19" x14ac:dyDescent="0.15">
      <c r="A94" s="790"/>
      <c r="B94" s="791"/>
      <c r="C94" s="791"/>
      <c r="D94" s="791"/>
      <c r="E94" s="791"/>
      <c r="F94" s="791"/>
      <c r="G94" s="791"/>
      <c r="H94" s="791"/>
      <c r="I94" s="791"/>
      <c r="J94" s="791"/>
      <c r="K94" s="791"/>
      <c r="L94" s="791"/>
      <c r="M94" s="791"/>
      <c r="N94" s="791"/>
      <c r="O94" s="791"/>
      <c r="P94" s="791"/>
      <c r="Q94" s="792"/>
    </row>
    <row r="95" spans="1:19" s="126" customFormat="1" x14ac:dyDescent="0.15">
      <c r="A95" s="822" t="s">
        <v>150</v>
      </c>
      <c r="B95" s="823" t="s">
        <v>151</v>
      </c>
      <c r="C95" s="823"/>
      <c r="D95" s="802"/>
      <c r="E95" s="823" t="s">
        <v>152</v>
      </c>
      <c r="F95" s="823"/>
      <c r="G95" s="823"/>
      <c r="H95" s="802" t="s">
        <v>153</v>
      </c>
      <c r="I95" s="802" t="s">
        <v>479</v>
      </c>
      <c r="J95" s="804" t="s">
        <v>73</v>
      </c>
      <c r="K95" s="216" t="s">
        <v>154</v>
      </c>
      <c r="L95" s="123"/>
      <c r="M95" s="124"/>
      <c r="N95" s="124"/>
      <c r="O95" s="124"/>
      <c r="P95" s="124"/>
      <c r="Q95" s="125"/>
    </row>
    <row r="96" spans="1:19" s="130" customFormat="1" x14ac:dyDescent="0.15">
      <c r="A96" s="822"/>
      <c r="B96" s="823"/>
      <c r="C96" s="823"/>
      <c r="D96" s="803"/>
      <c r="E96" s="217" t="s">
        <v>155</v>
      </c>
      <c r="F96" s="217" t="s">
        <v>156</v>
      </c>
      <c r="G96" s="217" t="s">
        <v>157</v>
      </c>
      <c r="H96" s="803"/>
      <c r="I96" s="803"/>
      <c r="J96" s="805"/>
      <c r="K96" s="216" t="s">
        <v>158</v>
      </c>
      <c r="L96" s="127"/>
      <c r="M96" s="128"/>
      <c r="N96" s="128"/>
      <c r="O96" s="128"/>
      <c r="P96" s="128"/>
      <c r="Q96" s="129"/>
    </row>
    <row r="97" spans="1:17" ht="27.75" customHeight="1" x14ac:dyDescent="0.15">
      <c r="A97" s="148"/>
      <c r="B97" s="788" t="s">
        <v>998</v>
      </c>
      <c r="C97" s="789"/>
      <c r="D97" s="149"/>
      <c r="E97" s="143">
        <v>1</v>
      </c>
      <c r="F97" s="143">
        <v>1</v>
      </c>
      <c r="G97" s="143">
        <v>0.3</v>
      </c>
      <c r="H97" s="143">
        <v>1</v>
      </c>
      <c r="I97" s="143">
        <v>1</v>
      </c>
      <c r="J97" s="133" t="s">
        <v>319</v>
      </c>
      <c r="K97" s="143">
        <f>I97*H97</f>
        <v>1</v>
      </c>
      <c r="L97" s="127"/>
      <c r="M97" s="128"/>
      <c r="N97" s="128"/>
      <c r="O97" s="128"/>
      <c r="P97" s="128"/>
      <c r="Q97" s="129"/>
    </row>
    <row r="98" spans="1:17" ht="14" x14ac:dyDescent="0.15">
      <c r="A98" s="795" t="s">
        <v>149</v>
      </c>
      <c r="B98" s="817"/>
      <c r="C98" s="817"/>
      <c r="D98" s="817"/>
      <c r="E98" s="817"/>
      <c r="F98" s="817"/>
      <c r="G98" s="817"/>
      <c r="H98" s="817"/>
      <c r="I98" s="817"/>
      <c r="J98" s="796"/>
      <c r="K98" s="418">
        <f>SUM(K97:K97)</f>
        <v>1</v>
      </c>
      <c r="L98" s="134"/>
      <c r="M98" s="135"/>
      <c r="N98" s="135"/>
      <c r="O98" s="135"/>
      <c r="P98" s="135"/>
      <c r="Q98" s="136"/>
    </row>
    <row r="99" spans="1:17" x14ac:dyDescent="0.15">
      <c r="A99" s="790"/>
      <c r="B99" s="791"/>
      <c r="C99" s="791"/>
      <c r="D99" s="791"/>
      <c r="E99" s="791"/>
      <c r="F99" s="791"/>
      <c r="G99" s="791"/>
      <c r="H99" s="791"/>
      <c r="I99" s="791"/>
      <c r="J99" s="791"/>
      <c r="K99" s="791"/>
      <c r="L99" s="791"/>
      <c r="M99" s="791"/>
      <c r="N99" s="791"/>
      <c r="O99" s="791"/>
      <c r="P99" s="791"/>
      <c r="Q99" s="792"/>
    </row>
    <row r="100" spans="1:17" s="121" customFormat="1" ht="18" customHeight="1" x14ac:dyDescent="0.15">
      <c r="A100" s="218" t="s">
        <v>0</v>
      </c>
      <c r="B100" s="793" t="s">
        <v>1613</v>
      </c>
      <c r="C100" s="794"/>
      <c r="D100" s="794"/>
      <c r="E100" s="794"/>
      <c r="F100" s="794"/>
      <c r="G100" s="794"/>
      <c r="H100" s="794"/>
      <c r="I100" s="794"/>
      <c r="J100" s="794"/>
      <c r="K100" s="794"/>
      <c r="L100" s="794"/>
      <c r="M100" s="794"/>
      <c r="N100" s="794"/>
      <c r="O100" s="216" t="s">
        <v>73</v>
      </c>
      <c r="P100" s="795" t="s">
        <v>319</v>
      </c>
      <c r="Q100" s="796"/>
    </row>
    <row r="101" spans="1:17" x14ac:dyDescent="0.15">
      <c r="A101" s="790"/>
      <c r="B101" s="791"/>
      <c r="C101" s="791"/>
      <c r="D101" s="791"/>
      <c r="E101" s="791"/>
      <c r="F101" s="791"/>
      <c r="G101" s="791"/>
      <c r="H101" s="791"/>
      <c r="I101" s="791"/>
      <c r="J101" s="791"/>
      <c r="K101" s="791"/>
      <c r="L101" s="791"/>
      <c r="M101" s="791"/>
      <c r="N101" s="791"/>
      <c r="O101" s="791"/>
      <c r="P101" s="791"/>
      <c r="Q101" s="792"/>
    </row>
    <row r="102" spans="1:17" s="126" customFormat="1" x14ac:dyDescent="0.15">
      <c r="A102" s="822" t="s">
        <v>150</v>
      </c>
      <c r="B102" s="823" t="s">
        <v>151</v>
      </c>
      <c r="C102" s="823"/>
      <c r="D102" s="802"/>
      <c r="E102" s="823" t="s">
        <v>152</v>
      </c>
      <c r="F102" s="823"/>
      <c r="G102" s="823"/>
      <c r="H102" s="802" t="s">
        <v>153</v>
      </c>
      <c r="I102" s="802" t="s">
        <v>479</v>
      </c>
      <c r="J102" s="804" t="s">
        <v>73</v>
      </c>
      <c r="K102" s="216" t="s">
        <v>154</v>
      </c>
      <c r="L102" s="123"/>
      <c r="M102" s="124"/>
      <c r="N102" s="124"/>
      <c r="O102" s="124"/>
      <c r="P102" s="124"/>
      <c r="Q102" s="125"/>
    </row>
    <row r="103" spans="1:17" s="130" customFormat="1" x14ac:dyDescent="0.15">
      <c r="A103" s="822"/>
      <c r="B103" s="823"/>
      <c r="C103" s="823"/>
      <c r="D103" s="803"/>
      <c r="E103" s="217" t="s">
        <v>155</v>
      </c>
      <c r="F103" s="217" t="s">
        <v>156</v>
      </c>
      <c r="G103" s="217" t="s">
        <v>157</v>
      </c>
      <c r="H103" s="803"/>
      <c r="I103" s="803"/>
      <c r="J103" s="805"/>
      <c r="K103" s="216" t="s">
        <v>158</v>
      </c>
      <c r="L103" s="127"/>
      <c r="M103" s="128"/>
      <c r="N103" s="128"/>
      <c r="O103" s="128"/>
      <c r="P103" s="128"/>
      <c r="Q103" s="129"/>
    </row>
    <row r="104" spans="1:17" ht="27.75" customHeight="1" x14ac:dyDescent="0.15">
      <c r="A104" s="148"/>
      <c r="B104" s="788" t="s">
        <v>1614</v>
      </c>
      <c r="C104" s="789"/>
      <c r="D104" s="149"/>
      <c r="E104" s="143">
        <v>0.6</v>
      </c>
      <c r="F104" s="143">
        <v>0.6</v>
      </c>
      <c r="G104" s="143">
        <v>0.25</v>
      </c>
      <c r="H104" s="143">
        <v>22</v>
      </c>
      <c r="I104" s="143">
        <v>1</v>
      </c>
      <c r="J104" s="133" t="s">
        <v>319</v>
      </c>
      <c r="K104" s="143">
        <f>I104*H104</f>
        <v>22</v>
      </c>
      <c r="L104" s="127"/>
      <c r="M104" s="128"/>
      <c r="N104" s="128"/>
      <c r="O104" s="128"/>
      <c r="P104" s="128"/>
      <c r="Q104" s="129"/>
    </row>
    <row r="105" spans="1:17" ht="14" x14ac:dyDescent="0.15">
      <c r="A105" s="795" t="s">
        <v>149</v>
      </c>
      <c r="B105" s="817"/>
      <c r="C105" s="817"/>
      <c r="D105" s="817"/>
      <c r="E105" s="817"/>
      <c r="F105" s="817"/>
      <c r="G105" s="817"/>
      <c r="H105" s="817"/>
      <c r="I105" s="817"/>
      <c r="J105" s="796"/>
      <c r="K105" s="418">
        <f>SUM(K104:K104)</f>
        <v>22</v>
      </c>
      <c r="L105" s="134"/>
      <c r="M105" s="135"/>
      <c r="N105" s="135"/>
      <c r="O105" s="135"/>
      <c r="P105" s="135"/>
      <c r="Q105" s="136"/>
    </row>
    <row r="106" spans="1:17" x14ac:dyDescent="0.15">
      <c r="A106" s="790"/>
      <c r="B106" s="791"/>
      <c r="C106" s="791"/>
      <c r="D106" s="791"/>
      <c r="E106" s="791"/>
      <c r="F106" s="791"/>
      <c r="G106" s="791"/>
      <c r="H106" s="791"/>
      <c r="I106" s="791"/>
      <c r="J106" s="791"/>
      <c r="K106" s="791"/>
      <c r="L106" s="791"/>
      <c r="M106" s="791"/>
      <c r="N106" s="791"/>
      <c r="O106" s="791"/>
      <c r="P106" s="791"/>
      <c r="Q106" s="792"/>
    </row>
    <row r="107" spans="1:17" s="121" customFormat="1" ht="18" customHeight="1" x14ac:dyDescent="0.15">
      <c r="A107" s="218" t="s">
        <v>0</v>
      </c>
      <c r="B107" s="793" t="s">
        <v>1628</v>
      </c>
      <c r="C107" s="794"/>
      <c r="D107" s="794"/>
      <c r="E107" s="794"/>
      <c r="F107" s="794"/>
      <c r="G107" s="794"/>
      <c r="H107" s="794"/>
      <c r="I107" s="794"/>
      <c r="J107" s="794"/>
      <c r="K107" s="794"/>
      <c r="L107" s="794"/>
      <c r="M107" s="794"/>
      <c r="N107" s="794"/>
      <c r="O107" s="216" t="s">
        <v>73</v>
      </c>
      <c r="P107" s="795" t="s">
        <v>193</v>
      </c>
      <c r="Q107" s="796"/>
    </row>
    <row r="108" spans="1:17" x14ac:dyDescent="0.15">
      <c r="A108" s="790"/>
      <c r="B108" s="791"/>
      <c r="C108" s="791"/>
      <c r="D108" s="791"/>
      <c r="E108" s="791"/>
      <c r="F108" s="791"/>
      <c r="G108" s="791"/>
      <c r="H108" s="791"/>
      <c r="I108" s="791"/>
      <c r="J108" s="791"/>
      <c r="K108" s="791"/>
      <c r="L108" s="791"/>
      <c r="M108" s="791"/>
      <c r="N108" s="791"/>
      <c r="O108" s="791"/>
      <c r="P108" s="791"/>
      <c r="Q108" s="792"/>
    </row>
    <row r="109" spans="1:17" s="126" customFormat="1" x14ac:dyDescent="0.15">
      <c r="A109" s="822" t="s">
        <v>150</v>
      </c>
      <c r="B109" s="823" t="s">
        <v>151</v>
      </c>
      <c r="C109" s="823"/>
      <c r="D109" s="802"/>
      <c r="E109" s="823" t="s">
        <v>152</v>
      </c>
      <c r="F109" s="823"/>
      <c r="G109" s="823"/>
      <c r="H109" s="802" t="s">
        <v>153</v>
      </c>
      <c r="I109" s="802" t="s">
        <v>242</v>
      </c>
      <c r="J109" s="804" t="s">
        <v>73</v>
      </c>
      <c r="K109" s="216" t="s">
        <v>154</v>
      </c>
      <c r="L109" s="123"/>
      <c r="M109" s="124"/>
      <c r="N109" s="124"/>
      <c r="O109" s="124"/>
      <c r="P109" s="124"/>
      <c r="Q109" s="125"/>
    </row>
    <row r="110" spans="1:17" s="130" customFormat="1" x14ac:dyDescent="0.15">
      <c r="A110" s="822"/>
      <c r="B110" s="823"/>
      <c r="C110" s="823"/>
      <c r="D110" s="803"/>
      <c r="E110" s="217" t="s">
        <v>155</v>
      </c>
      <c r="F110" s="217" t="s">
        <v>156</v>
      </c>
      <c r="G110" s="217" t="s">
        <v>157</v>
      </c>
      <c r="H110" s="803"/>
      <c r="I110" s="803"/>
      <c r="J110" s="805"/>
      <c r="K110" s="216" t="s">
        <v>158</v>
      </c>
      <c r="L110" s="127"/>
      <c r="M110" s="128"/>
      <c r="N110" s="128"/>
      <c r="O110" s="128"/>
      <c r="P110" s="128"/>
      <c r="Q110" s="129"/>
    </row>
    <row r="111" spans="1:17" ht="33" customHeight="1" x14ac:dyDescent="0.15">
      <c r="A111" s="148"/>
      <c r="B111" s="788" t="s">
        <v>1627</v>
      </c>
      <c r="C111" s="789"/>
      <c r="D111" s="149"/>
      <c r="E111" s="143">
        <v>16.559999999999999</v>
      </c>
      <c r="F111" s="143">
        <v>0.3</v>
      </c>
      <c r="G111" s="143">
        <v>0.3</v>
      </c>
      <c r="H111" s="143">
        <v>3</v>
      </c>
      <c r="I111" s="143">
        <f t="shared" ref="I111:I114" si="18">E111</f>
        <v>16.559999999999999</v>
      </c>
      <c r="J111" s="133" t="s">
        <v>193</v>
      </c>
      <c r="K111" s="143">
        <f t="shared" ref="K111:K114" si="19">I111*H111</f>
        <v>49.679999999999993</v>
      </c>
      <c r="L111" s="127"/>
      <c r="M111" s="128"/>
      <c r="N111" s="128"/>
      <c r="O111" s="128"/>
      <c r="P111" s="128"/>
      <c r="Q111" s="129"/>
    </row>
    <row r="112" spans="1:17" ht="33" customHeight="1" x14ac:dyDescent="0.15">
      <c r="A112" s="148"/>
      <c r="B112" s="788" t="s">
        <v>1627</v>
      </c>
      <c r="C112" s="789"/>
      <c r="D112" s="149"/>
      <c r="E112" s="143">
        <v>6.11</v>
      </c>
      <c r="F112" s="143">
        <v>0.3</v>
      </c>
      <c r="G112" s="143">
        <v>0.3</v>
      </c>
      <c r="H112" s="143">
        <v>4</v>
      </c>
      <c r="I112" s="143">
        <f t="shared" si="18"/>
        <v>6.11</v>
      </c>
      <c r="J112" s="133" t="s">
        <v>193</v>
      </c>
      <c r="K112" s="143">
        <f t="shared" si="19"/>
        <v>24.44</v>
      </c>
      <c r="L112" s="127"/>
      <c r="M112" s="128"/>
      <c r="N112" s="128"/>
      <c r="O112" s="128"/>
      <c r="P112" s="128"/>
      <c r="Q112" s="129"/>
    </row>
    <row r="113" spans="1:17" ht="33" customHeight="1" x14ac:dyDescent="0.15">
      <c r="A113" s="148"/>
      <c r="B113" s="788" t="s">
        <v>1627</v>
      </c>
      <c r="C113" s="789"/>
      <c r="D113" s="149"/>
      <c r="E113" s="143">
        <v>7.41</v>
      </c>
      <c r="F113" s="143">
        <v>0.3</v>
      </c>
      <c r="G113" s="143">
        <v>0.3</v>
      </c>
      <c r="H113" s="143">
        <v>2</v>
      </c>
      <c r="I113" s="143">
        <f t="shared" si="18"/>
        <v>7.41</v>
      </c>
      <c r="J113" s="133" t="s">
        <v>193</v>
      </c>
      <c r="K113" s="143">
        <f t="shared" si="19"/>
        <v>14.82</v>
      </c>
      <c r="L113" s="127"/>
      <c r="M113" s="128"/>
      <c r="N113" s="128"/>
      <c r="O113" s="128"/>
      <c r="P113" s="128"/>
      <c r="Q113" s="129"/>
    </row>
    <row r="114" spans="1:17" ht="33" customHeight="1" x14ac:dyDescent="0.15">
      <c r="A114" s="148"/>
      <c r="B114" s="788" t="s">
        <v>1627</v>
      </c>
      <c r="C114" s="789"/>
      <c r="D114" s="149"/>
      <c r="E114" s="143">
        <v>4.66</v>
      </c>
      <c r="F114" s="143">
        <v>0.3</v>
      </c>
      <c r="G114" s="143">
        <v>0.3</v>
      </c>
      <c r="H114" s="143">
        <v>1</v>
      </c>
      <c r="I114" s="143">
        <f t="shared" si="18"/>
        <v>4.66</v>
      </c>
      <c r="J114" s="133" t="s">
        <v>193</v>
      </c>
      <c r="K114" s="143">
        <f t="shared" si="19"/>
        <v>4.66</v>
      </c>
      <c r="L114" s="127"/>
      <c r="M114" s="128"/>
      <c r="N114" s="128"/>
      <c r="O114" s="128"/>
      <c r="P114" s="128"/>
      <c r="Q114" s="129"/>
    </row>
    <row r="115" spans="1:17" ht="14" x14ac:dyDescent="0.15">
      <c r="A115" s="795" t="s">
        <v>149</v>
      </c>
      <c r="B115" s="817"/>
      <c r="C115" s="817"/>
      <c r="D115" s="817"/>
      <c r="E115" s="817"/>
      <c r="F115" s="817"/>
      <c r="G115" s="817"/>
      <c r="H115" s="817"/>
      <c r="I115" s="817"/>
      <c r="J115" s="796"/>
      <c r="K115" s="418">
        <f>SUM(K111:K114)</f>
        <v>93.6</v>
      </c>
      <c r="L115" s="134"/>
      <c r="M115" s="135"/>
      <c r="N115" s="135"/>
      <c r="O115" s="135"/>
      <c r="P115" s="135"/>
      <c r="Q115" s="136"/>
    </row>
    <row r="116" spans="1:17" x14ac:dyDescent="0.15">
      <c r="A116" s="790"/>
      <c r="B116" s="791"/>
      <c r="C116" s="791"/>
      <c r="D116" s="791"/>
      <c r="E116" s="791"/>
      <c r="F116" s="791"/>
      <c r="G116" s="791"/>
      <c r="H116" s="791"/>
      <c r="I116" s="791"/>
      <c r="J116" s="791"/>
      <c r="K116" s="791"/>
      <c r="L116" s="791"/>
      <c r="M116" s="791"/>
      <c r="N116" s="791"/>
      <c r="O116" s="791"/>
      <c r="P116" s="791"/>
      <c r="Q116" s="792"/>
    </row>
    <row r="117" spans="1:17" s="121" customFormat="1" ht="18" customHeight="1" x14ac:dyDescent="0.15">
      <c r="A117" s="218" t="s">
        <v>0</v>
      </c>
      <c r="B117" s="793" t="s">
        <v>1554</v>
      </c>
      <c r="C117" s="794"/>
      <c r="D117" s="794"/>
      <c r="E117" s="794"/>
      <c r="F117" s="794"/>
      <c r="G117" s="794"/>
      <c r="H117" s="794"/>
      <c r="I117" s="794"/>
      <c r="J117" s="794"/>
      <c r="K117" s="794"/>
      <c r="L117" s="794"/>
      <c r="M117" s="794"/>
      <c r="N117" s="794"/>
      <c r="O117" s="216" t="s">
        <v>73</v>
      </c>
      <c r="P117" s="795" t="s">
        <v>193</v>
      </c>
      <c r="Q117" s="796"/>
    </row>
    <row r="118" spans="1:17" x14ac:dyDescent="0.15">
      <c r="A118" s="790"/>
      <c r="B118" s="791"/>
      <c r="C118" s="791"/>
      <c r="D118" s="791"/>
      <c r="E118" s="791"/>
      <c r="F118" s="791"/>
      <c r="G118" s="791"/>
      <c r="H118" s="791"/>
      <c r="I118" s="791"/>
      <c r="J118" s="791"/>
      <c r="K118" s="791"/>
      <c r="L118" s="791"/>
      <c r="M118" s="791"/>
      <c r="N118" s="791"/>
      <c r="O118" s="791"/>
      <c r="P118" s="791"/>
      <c r="Q118" s="792"/>
    </row>
    <row r="119" spans="1:17" s="126" customFormat="1" x14ac:dyDescent="0.15">
      <c r="A119" s="822" t="s">
        <v>150</v>
      </c>
      <c r="B119" s="823" t="s">
        <v>151</v>
      </c>
      <c r="C119" s="823"/>
      <c r="D119" s="802"/>
      <c r="E119" s="823" t="s">
        <v>152</v>
      </c>
      <c r="F119" s="823"/>
      <c r="G119" s="823"/>
      <c r="H119" s="802" t="s">
        <v>153</v>
      </c>
      <c r="I119" s="802" t="s">
        <v>242</v>
      </c>
      <c r="J119" s="804" t="s">
        <v>73</v>
      </c>
      <c r="K119" s="216" t="s">
        <v>154</v>
      </c>
      <c r="L119" s="123"/>
      <c r="M119" s="124"/>
      <c r="N119" s="124"/>
      <c r="O119" s="124"/>
      <c r="P119" s="124"/>
      <c r="Q119" s="125"/>
    </row>
    <row r="120" spans="1:17" s="130" customFormat="1" x14ac:dyDescent="0.15">
      <c r="A120" s="822"/>
      <c r="B120" s="823"/>
      <c r="C120" s="823"/>
      <c r="D120" s="803"/>
      <c r="E120" s="217" t="s">
        <v>155</v>
      </c>
      <c r="F120" s="217" t="s">
        <v>156</v>
      </c>
      <c r="G120" s="217" t="s">
        <v>157</v>
      </c>
      <c r="H120" s="803"/>
      <c r="I120" s="803"/>
      <c r="J120" s="805"/>
      <c r="K120" s="216" t="s">
        <v>158</v>
      </c>
      <c r="L120" s="127"/>
      <c r="M120" s="128"/>
      <c r="N120" s="128"/>
      <c r="O120" s="128"/>
      <c r="P120" s="128"/>
      <c r="Q120" s="129"/>
    </row>
    <row r="121" spans="1:17" ht="39.75" customHeight="1" x14ac:dyDescent="0.15">
      <c r="A121" s="148"/>
      <c r="B121" s="788" t="s">
        <v>1230</v>
      </c>
      <c r="C121" s="789"/>
      <c r="D121" s="149"/>
      <c r="E121" s="143">
        <v>5.19</v>
      </c>
      <c r="F121" s="143">
        <v>0.25</v>
      </c>
      <c r="G121" s="143">
        <v>0.25</v>
      </c>
      <c r="H121" s="143">
        <v>1</v>
      </c>
      <c r="I121" s="143">
        <f t="shared" ref="I121" si="20">E121</f>
        <v>5.19</v>
      </c>
      <c r="J121" s="133" t="s">
        <v>193</v>
      </c>
      <c r="K121" s="143">
        <f t="shared" ref="K121" si="21">I121*H121</f>
        <v>5.19</v>
      </c>
      <c r="L121" s="127"/>
      <c r="M121" s="128"/>
      <c r="N121" s="128"/>
      <c r="O121" s="128"/>
      <c r="P121" s="128"/>
      <c r="Q121" s="129"/>
    </row>
    <row r="122" spans="1:17" ht="39.75" customHeight="1" x14ac:dyDescent="0.15">
      <c r="A122" s="148"/>
      <c r="B122" s="788" t="s">
        <v>1230</v>
      </c>
      <c r="C122" s="789"/>
      <c r="D122" s="149"/>
      <c r="E122" s="143">
        <v>5</v>
      </c>
      <c r="F122" s="143">
        <v>0.25</v>
      </c>
      <c r="G122" s="143">
        <v>0.25</v>
      </c>
      <c r="H122" s="143">
        <v>2</v>
      </c>
      <c r="I122" s="143">
        <f t="shared" ref="I122" si="22">E122</f>
        <v>5</v>
      </c>
      <c r="J122" s="133" t="s">
        <v>193</v>
      </c>
      <c r="K122" s="143">
        <f t="shared" ref="K122" si="23">I122*H122</f>
        <v>10</v>
      </c>
      <c r="L122" s="127"/>
      <c r="M122" s="128"/>
      <c r="N122" s="128"/>
      <c r="O122" s="128"/>
      <c r="P122" s="128"/>
      <c r="Q122" s="129"/>
    </row>
    <row r="123" spans="1:17" ht="14" x14ac:dyDescent="0.15">
      <c r="A123" s="795" t="s">
        <v>149</v>
      </c>
      <c r="B123" s="817"/>
      <c r="C123" s="817"/>
      <c r="D123" s="817"/>
      <c r="E123" s="817"/>
      <c r="F123" s="817"/>
      <c r="G123" s="817"/>
      <c r="H123" s="817"/>
      <c r="I123" s="817"/>
      <c r="J123" s="796"/>
      <c r="K123" s="418">
        <f>SUM(K121:K122)</f>
        <v>15.190000000000001</v>
      </c>
      <c r="L123" s="134"/>
      <c r="M123" s="135"/>
      <c r="N123" s="135"/>
      <c r="O123" s="135"/>
      <c r="P123" s="135"/>
      <c r="Q123" s="136"/>
    </row>
    <row r="124" spans="1:17" x14ac:dyDescent="0.15">
      <c r="A124" s="790"/>
      <c r="B124" s="791"/>
      <c r="C124" s="791"/>
      <c r="D124" s="791"/>
      <c r="E124" s="791"/>
      <c r="F124" s="791"/>
      <c r="G124" s="791"/>
      <c r="H124" s="791"/>
      <c r="I124" s="791"/>
      <c r="J124" s="791"/>
      <c r="K124" s="791"/>
      <c r="L124" s="791"/>
      <c r="M124" s="791"/>
      <c r="N124" s="791"/>
      <c r="O124" s="791"/>
      <c r="P124" s="791"/>
      <c r="Q124" s="792"/>
    </row>
    <row r="125" spans="1:17" s="121" customFormat="1" ht="18" customHeight="1" x14ac:dyDescent="0.15">
      <c r="A125" s="218" t="s">
        <v>0</v>
      </c>
      <c r="B125" s="793" t="s">
        <v>1561</v>
      </c>
      <c r="C125" s="794"/>
      <c r="D125" s="794"/>
      <c r="E125" s="794"/>
      <c r="F125" s="794"/>
      <c r="G125" s="794"/>
      <c r="H125" s="794"/>
      <c r="I125" s="794"/>
      <c r="J125" s="794"/>
      <c r="K125" s="794"/>
      <c r="L125" s="794"/>
      <c r="M125" s="794"/>
      <c r="N125" s="794"/>
      <c r="O125" s="216" t="s">
        <v>73</v>
      </c>
      <c r="P125" s="795" t="s">
        <v>193</v>
      </c>
      <c r="Q125" s="796"/>
    </row>
    <row r="126" spans="1:17" x14ac:dyDescent="0.15">
      <c r="A126" s="790"/>
      <c r="B126" s="791"/>
      <c r="C126" s="791"/>
      <c r="D126" s="791"/>
      <c r="E126" s="791"/>
      <c r="F126" s="791"/>
      <c r="G126" s="791"/>
      <c r="H126" s="791"/>
      <c r="I126" s="791"/>
      <c r="J126" s="791"/>
      <c r="K126" s="791"/>
      <c r="L126" s="791"/>
      <c r="M126" s="791"/>
      <c r="N126" s="791"/>
      <c r="O126" s="791"/>
      <c r="P126" s="791"/>
      <c r="Q126" s="792"/>
    </row>
    <row r="127" spans="1:17" s="126" customFormat="1" x14ac:dyDescent="0.15">
      <c r="A127" s="822" t="s">
        <v>150</v>
      </c>
      <c r="B127" s="823" t="s">
        <v>151</v>
      </c>
      <c r="C127" s="823"/>
      <c r="D127" s="802"/>
      <c r="E127" s="823" t="s">
        <v>152</v>
      </c>
      <c r="F127" s="823"/>
      <c r="G127" s="823"/>
      <c r="H127" s="802" t="s">
        <v>153</v>
      </c>
      <c r="I127" s="802" t="s">
        <v>242</v>
      </c>
      <c r="J127" s="804" t="s">
        <v>73</v>
      </c>
      <c r="K127" s="216" t="s">
        <v>154</v>
      </c>
      <c r="L127" s="123"/>
      <c r="M127" s="124"/>
      <c r="N127" s="124"/>
      <c r="O127" s="124"/>
      <c r="P127" s="124"/>
      <c r="Q127" s="125"/>
    </row>
    <row r="128" spans="1:17" s="130" customFormat="1" x14ac:dyDescent="0.15">
      <c r="A128" s="822"/>
      <c r="B128" s="823"/>
      <c r="C128" s="823"/>
      <c r="D128" s="803"/>
      <c r="E128" s="217" t="s">
        <v>155</v>
      </c>
      <c r="F128" s="217" t="s">
        <v>156</v>
      </c>
      <c r="G128" s="217" t="s">
        <v>157</v>
      </c>
      <c r="H128" s="803"/>
      <c r="I128" s="803"/>
      <c r="J128" s="805"/>
      <c r="K128" s="216" t="s">
        <v>158</v>
      </c>
      <c r="L128" s="127"/>
      <c r="M128" s="128"/>
      <c r="N128" s="128"/>
      <c r="O128" s="128"/>
      <c r="P128" s="128"/>
      <c r="Q128" s="129"/>
    </row>
    <row r="129" spans="1:17" ht="26.25" customHeight="1" x14ac:dyDescent="0.15">
      <c r="A129" s="148"/>
      <c r="B129" s="788" t="s">
        <v>1013</v>
      </c>
      <c r="C129" s="789"/>
      <c r="D129" s="149"/>
      <c r="E129" s="143">
        <v>1.5</v>
      </c>
      <c r="F129" s="143">
        <v>0.45</v>
      </c>
      <c r="G129" s="143">
        <v>0.45</v>
      </c>
      <c r="H129" s="143">
        <v>1</v>
      </c>
      <c r="I129" s="143">
        <f t="shared" ref="I129" si="24">E129</f>
        <v>1.5</v>
      </c>
      <c r="J129" s="133" t="s">
        <v>193</v>
      </c>
      <c r="K129" s="143">
        <f t="shared" ref="K129" si="25">I129*H129</f>
        <v>1.5</v>
      </c>
      <c r="L129" s="127"/>
      <c r="M129" s="128"/>
      <c r="N129" s="128"/>
      <c r="O129" s="128"/>
      <c r="P129" s="128"/>
      <c r="Q129" s="129"/>
    </row>
    <row r="130" spans="1:17" ht="14" x14ac:dyDescent="0.15">
      <c r="A130" s="795" t="s">
        <v>149</v>
      </c>
      <c r="B130" s="817"/>
      <c r="C130" s="817"/>
      <c r="D130" s="817"/>
      <c r="E130" s="817"/>
      <c r="F130" s="817"/>
      <c r="G130" s="817"/>
      <c r="H130" s="817"/>
      <c r="I130" s="817"/>
      <c r="J130" s="796"/>
      <c r="K130" s="418">
        <f>SUM(K129:K129)</f>
        <v>1.5</v>
      </c>
      <c r="L130" s="134"/>
      <c r="M130" s="135"/>
      <c r="N130" s="135"/>
      <c r="O130" s="135"/>
      <c r="P130" s="135"/>
      <c r="Q130" s="136"/>
    </row>
    <row r="131" spans="1:17" x14ac:dyDescent="0.15">
      <c r="A131" s="790"/>
      <c r="B131" s="791"/>
      <c r="C131" s="791"/>
      <c r="D131" s="791"/>
      <c r="E131" s="791"/>
      <c r="F131" s="791"/>
      <c r="G131" s="791"/>
      <c r="H131" s="791"/>
      <c r="I131" s="791"/>
      <c r="J131" s="791"/>
      <c r="K131" s="791"/>
      <c r="L131" s="791"/>
      <c r="M131" s="791"/>
      <c r="N131" s="791"/>
      <c r="O131" s="791"/>
      <c r="P131" s="791"/>
      <c r="Q131" s="792"/>
    </row>
    <row r="132" spans="1:17" s="121" customFormat="1" ht="18" customHeight="1" x14ac:dyDescent="0.15">
      <c r="A132" s="218" t="s">
        <v>0</v>
      </c>
      <c r="B132" s="793" t="s">
        <v>1562</v>
      </c>
      <c r="C132" s="794"/>
      <c r="D132" s="794"/>
      <c r="E132" s="794"/>
      <c r="F132" s="794"/>
      <c r="G132" s="794"/>
      <c r="H132" s="794"/>
      <c r="I132" s="794"/>
      <c r="J132" s="794"/>
      <c r="K132" s="794"/>
      <c r="L132" s="794"/>
      <c r="M132" s="794"/>
      <c r="N132" s="794"/>
      <c r="O132" s="216" t="s">
        <v>73</v>
      </c>
      <c r="P132" s="795" t="s">
        <v>193</v>
      </c>
      <c r="Q132" s="796"/>
    </row>
    <row r="133" spans="1:17" x14ac:dyDescent="0.15">
      <c r="A133" s="790"/>
      <c r="B133" s="791"/>
      <c r="C133" s="791"/>
      <c r="D133" s="791"/>
      <c r="E133" s="791"/>
      <c r="F133" s="791"/>
      <c r="G133" s="791"/>
      <c r="H133" s="791"/>
      <c r="I133" s="791"/>
      <c r="J133" s="791"/>
      <c r="K133" s="791"/>
      <c r="L133" s="791"/>
      <c r="M133" s="791"/>
      <c r="N133" s="791"/>
      <c r="O133" s="791"/>
      <c r="P133" s="791"/>
      <c r="Q133" s="792"/>
    </row>
    <row r="134" spans="1:17" s="126" customFormat="1" x14ac:dyDescent="0.15">
      <c r="A134" s="822" t="s">
        <v>150</v>
      </c>
      <c r="B134" s="823" t="s">
        <v>151</v>
      </c>
      <c r="C134" s="823"/>
      <c r="D134" s="802"/>
      <c r="E134" s="823" t="s">
        <v>152</v>
      </c>
      <c r="F134" s="823"/>
      <c r="G134" s="823"/>
      <c r="H134" s="802" t="s">
        <v>153</v>
      </c>
      <c r="I134" s="802" t="s">
        <v>242</v>
      </c>
      <c r="J134" s="804" t="s">
        <v>73</v>
      </c>
      <c r="K134" s="216" t="s">
        <v>154</v>
      </c>
      <c r="L134" s="123"/>
      <c r="M134" s="124"/>
      <c r="N134" s="124"/>
      <c r="O134" s="124"/>
      <c r="P134" s="124"/>
      <c r="Q134" s="125"/>
    </row>
    <row r="135" spans="1:17" s="130" customFormat="1" x14ac:dyDescent="0.15">
      <c r="A135" s="822"/>
      <c r="B135" s="823"/>
      <c r="C135" s="823"/>
      <c r="D135" s="803"/>
      <c r="E135" s="217" t="s">
        <v>155</v>
      </c>
      <c r="F135" s="217" t="s">
        <v>156</v>
      </c>
      <c r="G135" s="217" t="s">
        <v>157</v>
      </c>
      <c r="H135" s="803"/>
      <c r="I135" s="803"/>
      <c r="J135" s="805"/>
      <c r="K135" s="216" t="s">
        <v>158</v>
      </c>
      <c r="L135" s="127"/>
      <c r="M135" s="128"/>
      <c r="N135" s="128"/>
      <c r="O135" s="128"/>
      <c r="P135" s="128"/>
      <c r="Q135" s="129"/>
    </row>
    <row r="136" spans="1:17" ht="26.25" customHeight="1" x14ac:dyDescent="0.15">
      <c r="A136" s="148"/>
      <c r="B136" s="788" t="s">
        <v>1582</v>
      </c>
      <c r="C136" s="789"/>
      <c r="D136" s="149"/>
      <c r="E136" s="143">
        <v>3.8</v>
      </c>
      <c r="F136" s="143">
        <v>0.3</v>
      </c>
      <c r="G136" s="143">
        <v>0.3</v>
      </c>
      <c r="H136" s="143">
        <v>1</v>
      </c>
      <c r="I136" s="143">
        <f t="shared" ref="I136" si="26">E136</f>
        <v>3.8</v>
      </c>
      <c r="J136" s="133" t="s">
        <v>193</v>
      </c>
      <c r="K136" s="143">
        <f t="shared" ref="K136" si="27">I136*H136</f>
        <v>3.8</v>
      </c>
      <c r="L136" s="127"/>
      <c r="M136" s="128"/>
      <c r="N136" s="128"/>
      <c r="O136" s="128"/>
      <c r="P136" s="128"/>
      <c r="Q136" s="129"/>
    </row>
    <row r="137" spans="1:17" ht="14" x14ac:dyDescent="0.15">
      <c r="A137" s="795" t="s">
        <v>149</v>
      </c>
      <c r="B137" s="817"/>
      <c r="C137" s="817"/>
      <c r="D137" s="817"/>
      <c r="E137" s="817"/>
      <c r="F137" s="817"/>
      <c r="G137" s="817"/>
      <c r="H137" s="817"/>
      <c r="I137" s="817"/>
      <c r="J137" s="796"/>
      <c r="K137" s="418">
        <f>SUM(K136:K136)</f>
        <v>3.8</v>
      </c>
      <c r="L137" s="134"/>
      <c r="M137" s="135"/>
      <c r="N137" s="135"/>
      <c r="O137" s="135"/>
      <c r="P137" s="135"/>
      <c r="Q137" s="136"/>
    </row>
    <row r="138" spans="1:17" x14ac:dyDescent="0.15">
      <c r="A138" s="790"/>
      <c r="B138" s="791"/>
      <c r="C138" s="791"/>
      <c r="D138" s="791"/>
      <c r="E138" s="791"/>
      <c r="F138" s="791"/>
      <c r="G138" s="791"/>
      <c r="H138" s="791"/>
      <c r="I138" s="791"/>
      <c r="J138" s="791"/>
      <c r="K138" s="791"/>
      <c r="L138" s="791"/>
      <c r="M138" s="791"/>
      <c r="N138" s="791"/>
      <c r="O138" s="791"/>
      <c r="P138" s="791"/>
      <c r="Q138" s="792"/>
    </row>
    <row r="139" spans="1:17" s="121" customFormat="1" ht="18" customHeight="1" x14ac:dyDescent="0.15">
      <c r="A139" s="218" t="s">
        <v>0</v>
      </c>
      <c r="B139" s="793" t="s">
        <v>1563</v>
      </c>
      <c r="C139" s="794"/>
      <c r="D139" s="794"/>
      <c r="E139" s="794"/>
      <c r="F139" s="794"/>
      <c r="G139" s="794"/>
      <c r="H139" s="794"/>
      <c r="I139" s="794"/>
      <c r="J139" s="794"/>
      <c r="K139" s="794"/>
      <c r="L139" s="794"/>
      <c r="M139" s="794"/>
      <c r="N139" s="794"/>
      <c r="O139" s="216" t="s">
        <v>73</v>
      </c>
      <c r="P139" s="795" t="s">
        <v>193</v>
      </c>
      <c r="Q139" s="796"/>
    </row>
    <row r="140" spans="1:17" x14ac:dyDescent="0.15">
      <c r="A140" s="790"/>
      <c r="B140" s="791"/>
      <c r="C140" s="791"/>
      <c r="D140" s="791"/>
      <c r="E140" s="791"/>
      <c r="F140" s="791"/>
      <c r="G140" s="791"/>
      <c r="H140" s="791"/>
      <c r="I140" s="791"/>
      <c r="J140" s="791"/>
      <c r="K140" s="791"/>
      <c r="L140" s="791"/>
      <c r="M140" s="791"/>
      <c r="N140" s="791"/>
      <c r="O140" s="791"/>
      <c r="P140" s="791"/>
      <c r="Q140" s="792"/>
    </row>
    <row r="141" spans="1:17" s="126" customFormat="1" x14ac:dyDescent="0.15">
      <c r="A141" s="822" t="s">
        <v>150</v>
      </c>
      <c r="B141" s="823" t="s">
        <v>151</v>
      </c>
      <c r="C141" s="823"/>
      <c r="D141" s="802"/>
      <c r="E141" s="823" t="s">
        <v>152</v>
      </c>
      <c r="F141" s="823"/>
      <c r="G141" s="823"/>
      <c r="H141" s="802" t="s">
        <v>153</v>
      </c>
      <c r="I141" s="802" t="s">
        <v>242</v>
      </c>
      <c r="J141" s="804" t="s">
        <v>73</v>
      </c>
      <c r="K141" s="216" t="s">
        <v>154</v>
      </c>
      <c r="L141" s="123"/>
      <c r="M141" s="124"/>
      <c r="N141" s="124"/>
      <c r="O141" s="124"/>
      <c r="P141" s="124"/>
      <c r="Q141" s="125"/>
    </row>
    <row r="142" spans="1:17" s="130" customFormat="1" x14ac:dyDescent="0.15">
      <c r="A142" s="822"/>
      <c r="B142" s="823"/>
      <c r="C142" s="823"/>
      <c r="D142" s="803"/>
      <c r="E142" s="217" t="s">
        <v>155</v>
      </c>
      <c r="F142" s="217" t="s">
        <v>156</v>
      </c>
      <c r="G142" s="217" t="s">
        <v>157</v>
      </c>
      <c r="H142" s="803"/>
      <c r="I142" s="803"/>
      <c r="J142" s="805"/>
      <c r="K142" s="216" t="s">
        <v>158</v>
      </c>
      <c r="L142" s="127"/>
      <c r="M142" s="128"/>
      <c r="N142" s="128"/>
      <c r="O142" s="128"/>
      <c r="P142" s="128"/>
      <c r="Q142" s="129"/>
    </row>
    <row r="143" spans="1:17" ht="39.75" customHeight="1" x14ac:dyDescent="0.15">
      <c r="A143" s="148"/>
      <c r="B143" s="788" t="s">
        <v>1515</v>
      </c>
      <c r="C143" s="789"/>
      <c r="D143" s="149"/>
      <c r="E143" s="143">
        <v>3.8</v>
      </c>
      <c r="F143" s="143">
        <v>0.2</v>
      </c>
      <c r="G143" s="143">
        <v>0.25</v>
      </c>
      <c r="H143" s="143">
        <v>13</v>
      </c>
      <c r="I143" s="143">
        <f t="shared" ref="I143:I145" si="28">E143</f>
        <v>3.8</v>
      </c>
      <c r="J143" s="133" t="s">
        <v>193</v>
      </c>
      <c r="K143" s="143">
        <f t="shared" ref="K143:K145" si="29">I143*H143</f>
        <v>49.4</v>
      </c>
      <c r="L143" s="127"/>
      <c r="M143" s="128"/>
      <c r="N143" s="128"/>
      <c r="O143" s="128"/>
      <c r="P143" s="128"/>
      <c r="Q143" s="129"/>
    </row>
    <row r="144" spans="1:17" ht="39.75" customHeight="1" x14ac:dyDescent="0.15">
      <c r="A144" s="148"/>
      <c r="B144" s="788" t="s">
        <v>1515</v>
      </c>
      <c r="C144" s="789"/>
      <c r="D144" s="149"/>
      <c r="E144" s="143">
        <v>4.5</v>
      </c>
      <c r="F144" s="143">
        <v>0.2</v>
      </c>
      <c r="G144" s="143">
        <v>0.25</v>
      </c>
      <c r="H144" s="143">
        <v>6</v>
      </c>
      <c r="I144" s="143">
        <f t="shared" ref="I144" si="30">E144</f>
        <v>4.5</v>
      </c>
      <c r="J144" s="133" t="s">
        <v>193</v>
      </c>
      <c r="K144" s="143">
        <f t="shared" ref="K144" si="31">I144*H144</f>
        <v>27</v>
      </c>
      <c r="L144" s="127"/>
      <c r="M144" s="128"/>
      <c r="N144" s="128"/>
      <c r="O144" s="128"/>
      <c r="P144" s="128"/>
      <c r="Q144" s="129"/>
    </row>
    <row r="145" spans="1:17" ht="39.75" customHeight="1" x14ac:dyDescent="0.15">
      <c r="A145" s="148"/>
      <c r="B145" s="788" t="s">
        <v>1516</v>
      </c>
      <c r="C145" s="789"/>
      <c r="D145" s="149"/>
      <c r="E145" s="143">
        <v>3.05</v>
      </c>
      <c r="F145" s="143">
        <v>0.2</v>
      </c>
      <c r="G145" s="143">
        <v>0.25</v>
      </c>
      <c r="H145" s="143">
        <v>3</v>
      </c>
      <c r="I145" s="143">
        <f t="shared" si="28"/>
        <v>3.05</v>
      </c>
      <c r="J145" s="133" t="s">
        <v>193</v>
      </c>
      <c r="K145" s="143">
        <f t="shared" si="29"/>
        <v>9.1499999999999986</v>
      </c>
      <c r="L145" s="127"/>
      <c r="M145" s="128"/>
      <c r="N145" s="128"/>
      <c r="O145" s="128"/>
      <c r="P145" s="128"/>
      <c r="Q145" s="129"/>
    </row>
    <row r="146" spans="1:17" ht="14" x14ac:dyDescent="0.15">
      <c r="A146" s="795" t="s">
        <v>149</v>
      </c>
      <c r="B146" s="817"/>
      <c r="C146" s="817"/>
      <c r="D146" s="817"/>
      <c r="E146" s="817"/>
      <c r="F146" s="817"/>
      <c r="G146" s="817"/>
      <c r="H146" s="817"/>
      <c r="I146" s="817"/>
      <c r="J146" s="796"/>
      <c r="K146" s="418">
        <f>SUM(K143:K145)</f>
        <v>85.550000000000011</v>
      </c>
      <c r="L146" s="134"/>
      <c r="M146" s="135"/>
      <c r="N146" s="135"/>
      <c r="O146" s="135"/>
      <c r="P146" s="135"/>
      <c r="Q146" s="136"/>
    </row>
    <row r="147" spans="1:17" x14ac:dyDescent="0.15">
      <c r="A147" s="790"/>
      <c r="B147" s="791"/>
      <c r="C147" s="791"/>
      <c r="D147" s="791"/>
      <c r="E147" s="791"/>
      <c r="F147" s="791"/>
      <c r="G147" s="791"/>
      <c r="H147" s="791"/>
      <c r="I147" s="791"/>
      <c r="J147" s="791"/>
      <c r="K147" s="791"/>
      <c r="L147" s="791"/>
      <c r="M147" s="791"/>
      <c r="N147" s="791"/>
      <c r="O147" s="791"/>
      <c r="P147" s="791"/>
      <c r="Q147" s="792"/>
    </row>
    <row r="148" spans="1:17" s="121" customFormat="1" ht="18" customHeight="1" x14ac:dyDescent="0.15">
      <c r="A148" s="218" t="s">
        <v>0</v>
      </c>
      <c r="B148" s="793" t="s">
        <v>1615</v>
      </c>
      <c r="C148" s="794"/>
      <c r="D148" s="794"/>
      <c r="E148" s="794"/>
      <c r="F148" s="794"/>
      <c r="G148" s="794"/>
      <c r="H148" s="794"/>
      <c r="I148" s="794"/>
      <c r="J148" s="794"/>
      <c r="K148" s="794"/>
      <c r="L148" s="794"/>
      <c r="M148" s="794"/>
      <c r="N148" s="794"/>
      <c r="O148" s="216" t="s">
        <v>73</v>
      </c>
      <c r="P148" s="795" t="s">
        <v>193</v>
      </c>
      <c r="Q148" s="796"/>
    </row>
    <row r="149" spans="1:17" x14ac:dyDescent="0.15">
      <c r="A149" s="790"/>
      <c r="B149" s="791"/>
      <c r="C149" s="791"/>
      <c r="D149" s="791"/>
      <c r="E149" s="791"/>
      <c r="F149" s="791"/>
      <c r="G149" s="791"/>
      <c r="H149" s="791"/>
      <c r="I149" s="791"/>
      <c r="J149" s="791"/>
      <c r="K149" s="791"/>
      <c r="L149" s="791"/>
      <c r="M149" s="791"/>
      <c r="N149" s="791"/>
      <c r="O149" s="791"/>
      <c r="P149" s="791"/>
      <c r="Q149" s="792"/>
    </row>
    <row r="150" spans="1:17" s="126" customFormat="1" x14ac:dyDescent="0.15">
      <c r="A150" s="822" t="s">
        <v>150</v>
      </c>
      <c r="B150" s="823" t="s">
        <v>151</v>
      </c>
      <c r="C150" s="823"/>
      <c r="D150" s="802"/>
      <c r="E150" s="823" t="s">
        <v>152</v>
      </c>
      <c r="F150" s="823"/>
      <c r="G150" s="823"/>
      <c r="H150" s="802" t="s">
        <v>153</v>
      </c>
      <c r="I150" s="802" t="s">
        <v>242</v>
      </c>
      <c r="J150" s="804" t="s">
        <v>73</v>
      </c>
      <c r="K150" s="216" t="s">
        <v>154</v>
      </c>
      <c r="L150" s="123"/>
      <c r="M150" s="124"/>
      <c r="N150" s="124"/>
      <c r="O150" s="124"/>
      <c r="P150" s="124"/>
      <c r="Q150" s="125"/>
    </row>
    <row r="151" spans="1:17" s="130" customFormat="1" x14ac:dyDescent="0.15">
      <c r="A151" s="822"/>
      <c r="B151" s="823"/>
      <c r="C151" s="823"/>
      <c r="D151" s="803"/>
      <c r="E151" s="217" t="s">
        <v>155</v>
      </c>
      <c r="F151" s="217" t="s">
        <v>156</v>
      </c>
      <c r="G151" s="217" t="s">
        <v>157</v>
      </c>
      <c r="H151" s="803"/>
      <c r="I151" s="803"/>
      <c r="J151" s="805"/>
      <c r="K151" s="216" t="s">
        <v>158</v>
      </c>
      <c r="L151" s="127"/>
      <c r="M151" s="128"/>
      <c r="N151" s="128"/>
      <c r="O151" s="128"/>
      <c r="P151" s="128"/>
      <c r="Q151" s="129"/>
    </row>
    <row r="152" spans="1:17" ht="35.25" customHeight="1" x14ac:dyDescent="0.15">
      <c r="A152" s="148"/>
      <c r="B152" s="788" t="s">
        <v>1616</v>
      </c>
      <c r="C152" s="789"/>
      <c r="D152" s="149"/>
      <c r="E152" s="143">
        <v>16.559999999999999</v>
      </c>
      <c r="F152" s="143">
        <v>0.25</v>
      </c>
      <c r="G152" s="143">
        <v>0.25</v>
      </c>
      <c r="H152" s="143">
        <v>3</v>
      </c>
      <c r="I152" s="143">
        <f t="shared" ref="I152:I154" si="32">E152</f>
        <v>16.559999999999999</v>
      </c>
      <c r="J152" s="133" t="s">
        <v>193</v>
      </c>
      <c r="K152" s="143">
        <f t="shared" ref="K152:K154" si="33">I152*H152</f>
        <v>49.679999999999993</v>
      </c>
      <c r="L152" s="127"/>
      <c r="M152" s="128"/>
      <c r="N152" s="128"/>
      <c r="O152" s="128"/>
      <c r="P152" s="128"/>
      <c r="Q152" s="129"/>
    </row>
    <row r="153" spans="1:17" ht="35.25" customHeight="1" x14ac:dyDescent="0.15">
      <c r="A153" s="148"/>
      <c r="B153" s="788" t="s">
        <v>1616</v>
      </c>
      <c r="C153" s="789"/>
      <c r="D153" s="149"/>
      <c r="E153" s="143">
        <v>6.11</v>
      </c>
      <c r="F153" s="143">
        <v>0.25</v>
      </c>
      <c r="G153" s="143">
        <v>0.25</v>
      </c>
      <c r="H153" s="143">
        <v>4</v>
      </c>
      <c r="I153" s="143">
        <f t="shared" si="32"/>
        <v>6.11</v>
      </c>
      <c r="J153" s="133" t="s">
        <v>193</v>
      </c>
      <c r="K153" s="143">
        <f t="shared" si="33"/>
        <v>24.44</v>
      </c>
      <c r="L153" s="127"/>
      <c r="M153" s="128"/>
      <c r="N153" s="128"/>
      <c r="O153" s="128"/>
      <c r="P153" s="128"/>
      <c r="Q153" s="129"/>
    </row>
    <row r="154" spans="1:17" ht="35.25" customHeight="1" x14ac:dyDescent="0.15">
      <c r="A154" s="148"/>
      <c r="B154" s="788" t="s">
        <v>1616</v>
      </c>
      <c r="C154" s="789"/>
      <c r="D154" s="149"/>
      <c r="E154" s="143">
        <v>7.41</v>
      </c>
      <c r="F154" s="143">
        <v>0.25</v>
      </c>
      <c r="G154" s="143">
        <v>0.25</v>
      </c>
      <c r="H154" s="143">
        <v>2</v>
      </c>
      <c r="I154" s="143">
        <f t="shared" si="32"/>
        <v>7.41</v>
      </c>
      <c r="J154" s="133" t="s">
        <v>193</v>
      </c>
      <c r="K154" s="143">
        <f t="shared" si="33"/>
        <v>14.82</v>
      </c>
      <c r="L154" s="127"/>
      <c r="M154" s="128"/>
      <c r="N154" s="128"/>
      <c r="O154" s="128"/>
      <c r="P154" s="128"/>
      <c r="Q154" s="129"/>
    </row>
    <row r="155" spans="1:17" ht="14" x14ac:dyDescent="0.15">
      <c r="A155" s="795" t="s">
        <v>149</v>
      </c>
      <c r="B155" s="817"/>
      <c r="C155" s="817"/>
      <c r="D155" s="817"/>
      <c r="E155" s="817"/>
      <c r="F155" s="817"/>
      <c r="G155" s="817"/>
      <c r="H155" s="817"/>
      <c r="I155" s="817"/>
      <c r="J155" s="796"/>
      <c r="K155" s="418">
        <f>SUM(K152:K154)</f>
        <v>88.94</v>
      </c>
      <c r="L155" s="134"/>
      <c r="M155" s="135"/>
      <c r="N155" s="135"/>
      <c r="O155" s="135"/>
      <c r="P155" s="135"/>
      <c r="Q155" s="136"/>
    </row>
    <row r="156" spans="1:17" x14ac:dyDescent="0.15">
      <c r="A156" s="790"/>
      <c r="B156" s="791"/>
      <c r="C156" s="791"/>
      <c r="D156" s="791"/>
      <c r="E156" s="791"/>
      <c r="F156" s="791"/>
      <c r="G156" s="791"/>
      <c r="H156" s="791"/>
      <c r="I156" s="791"/>
      <c r="J156" s="791"/>
      <c r="K156" s="791"/>
      <c r="L156" s="791"/>
      <c r="M156" s="791"/>
      <c r="N156" s="791"/>
      <c r="O156" s="791"/>
      <c r="P156" s="791"/>
      <c r="Q156" s="792"/>
    </row>
    <row r="157" spans="1:17" s="121" customFormat="1" ht="18" customHeight="1" x14ac:dyDescent="0.15">
      <c r="A157" s="218" t="s">
        <v>0</v>
      </c>
      <c r="B157" s="793" t="s">
        <v>1567</v>
      </c>
      <c r="C157" s="794"/>
      <c r="D157" s="794"/>
      <c r="E157" s="794"/>
      <c r="F157" s="794"/>
      <c r="G157" s="794"/>
      <c r="H157" s="794"/>
      <c r="I157" s="794"/>
      <c r="J157" s="794"/>
      <c r="K157" s="794"/>
      <c r="L157" s="794"/>
      <c r="M157" s="794"/>
      <c r="N157" s="794"/>
      <c r="O157" s="216" t="s">
        <v>73</v>
      </c>
      <c r="P157" s="795" t="s">
        <v>193</v>
      </c>
      <c r="Q157" s="796"/>
    </row>
    <row r="158" spans="1:17" x14ac:dyDescent="0.15">
      <c r="A158" s="790"/>
      <c r="B158" s="791"/>
      <c r="C158" s="791"/>
      <c r="D158" s="791"/>
      <c r="E158" s="791"/>
      <c r="F158" s="791"/>
      <c r="G158" s="791"/>
      <c r="H158" s="791"/>
      <c r="I158" s="791"/>
      <c r="J158" s="791"/>
      <c r="K158" s="791"/>
      <c r="L158" s="791"/>
      <c r="M158" s="791"/>
      <c r="N158" s="791"/>
      <c r="O158" s="791"/>
      <c r="P158" s="791"/>
      <c r="Q158" s="792"/>
    </row>
    <row r="159" spans="1:17" s="126" customFormat="1" x14ac:dyDescent="0.15">
      <c r="A159" s="822" t="s">
        <v>150</v>
      </c>
      <c r="B159" s="823" t="s">
        <v>151</v>
      </c>
      <c r="C159" s="823"/>
      <c r="D159" s="802"/>
      <c r="E159" s="823" t="s">
        <v>152</v>
      </c>
      <c r="F159" s="823"/>
      <c r="G159" s="823"/>
      <c r="H159" s="802" t="s">
        <v>153</v>
      </c>
      <c r="I159" s="802" t="s">
        <v>242</v>
      </c>
      <c r="J159" s="804" t="s">
        <v>73</v>
      </c>
      <c r="K159" s="216" t="s">
        <v>154</v>
      </c>
      <c r="L159" s="123"/>
      <c r="M159" s="124"/>
      <c r="N159" s="124"/>
      <c r="O159" s="124"/>
      <c r="P159" s="124"/>
      <c r="Q159" s="125"/>
    </row>
    <row r="160" spans="1:17" s="130" customFormat="1" x14ac:dyDescent="0.15">
      <c r="A160" s="822"/>
      <c r="B160" s="823"/>
      <c r="C160" s="823"/>
      <c r="D160" s="803"/>
      <c r="E160" s="217" t="s">
        <v>155</v>
      </c>
      <c r="F160" s="217" t="s">
        <v>156</v>
      </c>
      <c r="G160" s="217" t="s">
        <v>157</v>
      </c>
      <c r="H160" s="803"/>
      <c r="I160" s="803"/>
      <c r="J160" s="805"/>
      <c r="K160" s="216" t="s">
        <v>158</v>
      </c>
      <c r="L160" s="127"/>
      <c r="M160" s="128"/>
      <c r="N160" s="128"/>
      <c r="O160" s="128"/>
      <c r="P160" s="128"/>
      <c r="Q160" s="129"/>
    </row>
    <row r="161" spans="1:17" ht="35.25" customHeight="1" x14ac:dyDescent="0.15">
      <c r="A161" s="148"/>
      <c r="B161" s="788" t="s">
        <v>1512</v>
      </c>
      <c r="C161" s="789"/>
      <c r="D161" s="149"/>
      <c r="E161" s="143">
        <v>11.85</v>
      </c>
      <c r="F161" s="143">
        <v>0.1</v>
      </c>
      <c r="G161" s="143">
        <v>0.25</v>
      </c>
      <c r="H161" s="143">
        <v>1</v>
      </c>
      <c r="I161" s="143">
        <f t="shared" ref="I161" si="34">E161</f>
        <v>11.85</v>
      </c>
      <c r="J161" s="133" t="s">
        <v>193</v>
      </c>
      <c r="K161" s="143">
        <f t="shared" ref="K161" si="35">I161*H161</f>
        <v>11.85</v>
      </c>
      <c r="L161" s="127"/>
      <c r="M161" s="128"/>
      <c r="N161" s="128"/>
      <c r="O161" s="128"/>
      <c r="P161" s="128"/>
      <c r="Q161" s="129"/>
    </row>
    <row r="162" spans="1:17" ht="14" x14ac:dyDescent="0.15">
      <c r="A162" s="795" t="s">
        <v>149</v>
      </c>
      <c r="B162" s="817"/>
      <c r="C162" s="817"/>
      <c r="D162" s="817"/>
      <c r="E162" s="817"/>
      <c r="F162" s="817"/>
      <c r="G162" s="817"/>
      <c r="H162" s="817"/>
      <c r="I162" s="817"/>
      <c r="J162" s="796"/>
      <c r="K162" s="418">
        <f>SUM(K161:K161)</f>
        <v>11.85</v>
      </c>
      <c r="L162" s="134"/>
      <c r="M162" s="135"/>
      <c r="N162" s="135"/>
      <c r="O162" s="135"/>
      <c r="P162" s="135"/>
      <c r="Q162" s="136"/>
    </row>
    <row r="163" spans="1:17" x14ac:dyDescent="0.15">
      <c r="A163" s="790"/>
      <c r="B163" s="791"/>
      <c r="C163" s="791"/>
      <c r="D163" s="791"/>
      <c r="E163" s="791"/>
      <c r="F163" s="791"/>
      <c r="G163" s="791"/>
      <c r="H163" s="791"/>
      <c r="I163" s="791"/>
      <c r="J163" s="791"/>
      <c r="K163" s="791"/>
      <c r="L163" s="791"/>
      <c r="M163" s="791"/>
      <c r="N163" s="791"/>
      <c r="O163" s="791"/>
      <c r="P163" s="791"/>
      <c r="Q163" s="792"/>
    </row>
    <row r="164" spans="1:17" s="121" customFormat="1" ht="18" customHeight="1" x14ac:dyDescent="0.15">
      <c r="A164" s="218" t="s">
        <v>0</v>
      </c>
      <c r="B164" s="835" t="s">
        <v>1618</v>
      </c>
      <c r="C164" s="836"/>
      <c r="D164" s="836"/>
      <c r="E164" s="836"/>
      <c r="F164" s="836"/>
      <c r="G164" s="836"/>
      <c r="H164" s="836"/>
      <c r="I164" s="836"/>
      <c r="J164" s="836"/>
      <c r="K164" s="836"/>
      <c r="L164" s="836"/>
      <c r="M164" s="836"/>
      <c r="N164" s="837"/>
      <c r="O164" s="216" t="s">
        <v>73</v>
      </c>
      <c r="P164" s="795" t="s">
        <v>5</v>
      </c>
      <c r="Q164" s="796"/>
    </row>
    <row r="165" spans="1:17" x14ac:dyDescent="0.15">
      <c r="A165" s="790"/>
      <c r="B165" s="791"/>
      <c r="C165" s="791"/>
      <c r="D165" s="791"/>
      <c r="E165" s="791"/>
      <c r="F165" s="791"/>
      <c r="G165" s="791"/>
      <c r="H165" s="791"/>
      <c r="I165" s="791"/>
      <c r="J165" s="791"/>
      <c r="K165" s="791"/>
      <c r="L165" s="791"/>
      <c r="M165" s="791"/>
      <c r="N165" s="791"/>
      <c r="O165" s="791"/>
      <c r="P165" s="791"/>
      <c r="Q165" s="792"/>
    </row>
    <row r="166" spans="1:17" s="126" customFormat="1" x14ac:dyDescent="0.15">
      <c r="A166" s="822" t="s">
        <v>150</v>
      </c>
      <c r="B166" s="823" t="s">
        <v>151</v>
      </c>
      <c r="C166" s="823"/>
      <c r="D166" s="802"/>
      <c r="E166" s="823" t="s">
        <v>152</v>
      </c>
      <c r="F166" s="823"/>
      <c r="G166" s="823"/>
      <c r="H166" s="802" t="s">
        <v>153</v>
      </c>
      <c r="I166" s="802" t="s">
        <v>159</v>
      </c>
      <c r="J166" s="804" t="s">
        <v>73</v>
      </c>
      <c r="K166" s="216" t="s">
        <v>154</v>
      </c>
      <c r="L166" s="123"/>
      <c r="M166" s="124"/>
      <c r="N166" s="124"/>
      <c r="O166" s="124"/>
      <c r="P166" s="124"/>
      <c r="Q166" s="125"/>
    </row>
    <row r="167" spans="1:17" s="130" customFormat="1" x14ac:dyDescent="0.15">
      <c r="A167" s="822"/>
      <c r="B167" s="823"/>
      <c r="C167" s="823"/>
      <c r="D167" s="803"/>
      <c r="E167" s="217" t="s">
        <v>155</v>
      </c>
      <c r="F167" s="217" t="s">
        <v>156</v>
      </c>
      <c r="G167" s="217" t="s">
        <v>157</v>
      </c>
      <c r="H167" s="803"/>
      <c r="I167" s="803"/>
      <c r="J167" s="805"/>
      <c r="K167" s="216" t="s">
        <v>158</v>
      </c>
      <c r="L167" s="127"/>
      <c r="M167" s="128"/>
      <c r="N167" s="128"/>
      <c r="O167" s="128"/>
      <c r="P167" s="128"/>
      <c r="Q167" s="129"/>
    </row>
    <row r="168" spans="1:17" ht="30.75" customHeight="1" x14ac:dyDescent="0.15">
      <c r="A168" s="148"/>
      <c r="B168" s="788" t="s">
        <v>1012</v>
      </c>
      <c r="C168" s="789"/>
      <c r="D168" s="143"/>
      <c r="E168" s="143">
        <v>1.2</v>
      </c>
      <c r="F168" s="143">
        <v>1.2</v>
      </c>
      <c r="G168" s="143">
        <v>0.12</v>
      </c>
      <c r="H168" s="143">
        <v>1</v>
      </c>
      <c r="I168" s="143">
        <f>E168*F168</f>
        <v>1.44</v>
      </c>
      <c r="J168" s="133" t="s">
        <v>5</v>
      </c>
      <c r="K168" s="143">
        <f>I168*H168</f>
        <v>1.44</v>
      </c>
      <c r="L168" s="127"/>
      <c r="M168" s="128"/>
      <c r="N168" s="128"/>
      <c r="O168" s="128"/>
      <c r="P168" s="128"/>
      <c r="Q168" s="129"/>
    </row>
    <row r="169" spans="1:17" ht="14" x14ac:dyDescent="0.15">
      <c r="A169" s="795" t="s">
        <v>149</v>
      </c>
      <c r="B169" s="817"/>
      <c r="C169" s="817"/>
      <c r="D169" s="817"/>
      <c r="E169" s="817"/>
      <c r="F169" s="817"/>
      <c r="G169" s="817"/>
      <c r="H169" s="817"/>
      <c r="I169" s="817"/>
      <c r="J169" s="796"/>
      <c r="K169" s="418">
        <f>SUM(K168:K168)</f>
        <v>1.44</v>
      </c>
      <c r="L169" s="134"/>
      <c r="M169" s="135"/>
      <c r="N169" s="135"/>
      <c r="O169" s="135"/>
      <c r="P169" s="135"/>
      <c r="Q169" s="136"/>
    </row>
    <row r="170" spans="1:17" x14ac:dyDescent="0.15">
      <c r="A170" s="790"/>
      <c r="B170" s="791"/>
      <c r="C170" s="791"/>
      <c r="D170" s="791"/>
      <c r="E170" s="791"/>
      <c r="F170" s="791"/>
      <c r="G170" s="791"/>
      <c r="H170" s="791"/>
      <c r="I170" s="791"/>
      <c r="J170" s="791"/>
      <c r="K170" s="791"/>
      <c r="L170" s="791"/>
      <c r="M170" s="791"/>
      <c r="N170" s="791"/>
      <c r="O170" s="791"/>
      <c r="P170" s="791"/>
      <c r="Q170" s="792"/>
    </row>
    <row r="171" spans="1:17" s="121" customFormat="1" ht="18" customHeight="1" x14ac:dyDescent="0.15">
      <c r="A171" s="218" t="s">
        <v>0</v>
      </c>
      <c r="B171" s="835" t="s">
        <v>1619</v>
      </c>
      <c r="C171" s="836"/>
      <c r="D171" s="836"/>
      <c r="E171" s="836"/>
      <c r="F171" s="836"/>
      <c r="G171" s="836"/>
      <c r="H171" s="836"/>
      <c r="I171" s="836"/>
      <c r="J171" s="836"/>
      <c r="K171" s="836"/>
      <c r="L171" s="836"/>
      <c r="M171" s="836"/>
      <c r="N171" s="837"/>
      <c r="O171" s="216" t="s">
        <v>73</v>
      </c>
      <c r="P171" s="795" t="s">
        <v>5</v>
      </c>
      <c r="Q171" s="796"/>
    </row>
    <row r="172" spans="1:17" x14ac:dyDescent="0.15">
      <c r="A172" s="790"/>
      <c r="B172" s="791"/>
      <c r="C172" s="791"/>
      <c r="D172" s="791"/>
      <c r="E172" s="791"/>
      <c r="F172" s="791"/>
      <c r="G172" s="791"/>
      <c r="H172" s="791"/>
      <c r="I172" s="791"/>
      <c r="J172" s="791"/>
      <c r="K172" s="791"/>
      <c r="L172" s="791"/>
      <c r="M172" s="791"/>
      <c r="N172" s="791"/>
      <c r="O172" s="791"/>
      <c r="P172" s="791"/>
      <c r="Q172" s="792"/>
    </row>
    <row r="173" spans="1:17" s="126" customFormat="1" x14ac:dyDescent="0.15">
      <c r="A173" s="822" t="s">
        <v>150</v>
      </c>
      <c r="B173" s="823" t="s">
        <v>151</v>
      </c>
      <c r="C173" s="823"/>
      <c r="D173" s="832" t="s">
        <v>264</v>
      </c>
      <c r="E173" s="823" t="s">
        <v>152</v>
      </c>
      <c r="F173" s="823"/>
      <c r="G173" s="823"/>
      <c r="H173" s="802" t="s">
        <v>153</v>
      </c>
      <c r="I173" s="802" t="s">
        <v>159</v>
      </c>
      <c r="J173" s="804" t="s">
        <v>73</v>
      </c>
      <c r="K173" s="216" t="s">
        <v>154</v>
      </c>
      <c r="L173" s="123"/>
      <c r="M173" s="124"/>
      <c r="N173" s="124"/>
      <c r="O173" s="124"/>
      <c r="P173" s="124"/>
      <c r="Q173" s="125"/>
    </row>
    <row r="174" spans="1:17" s="130" customFormat="1" x14ac:dyDescent="0.15">
      <c r="A174" s="822"/>
      <c r="B174" s="823"/>
      <c r="C174" s="823"/>
      <c r="D174" s="833"/>
      <c r="E174" s="217" t="s">
        <v>155</v>
      </c>
      <c r="F174" s="217" t="s">
        <v>156</v>
      </c>
      <c r="G174" s="217" t="s">
        <v>157</v>
      </c>
      <c r="H174" s="803"/>
      <c r="I174" s="803"/>
      <c r="J174" s="805"/>
      <c r="K174" s="216" t="s">
        <v>158</v>
      </c>
      <c r="L174" s="127"/>
      <c r="M174" s="128"/>
      <c r="N174" s="128"/>
      <c r="O174" s="128"/>
      <c r="P174" s="128"/>
      <c r="Q174" s="129"/>
    </row>
    <row r="175" spans="1:17" ht="19.5" customHeight="1" x14ac:dyDescent="0.15">
      <c r="A175" s="148"/>
      <c r="B175" s="788" t="s">
        <v>1239</v>
      </c>
      <c r="C175" s="789"/>
      <c r="D175" s="143">
        <v>113.26</v>
      </c>
      <c r="E175" s="143">
        <v>0</v>
      </c>
      <c r="F175" s="143">
        <v>0</v>
      </c>
      <c r="G175" s="143">
        <v>0.1</v>
      </c>
      <c r="H175" s="143">
        <v>1</v>
      </c>
      <c r="I175" s="143">
        <f>D175</f>
        <v>113.26</v>
      </c>
      <c r="J175" s="133" t="s">
        <v>5</v>
      </c>
      <c r="K175" s="143">
        <f>I175*H175</f>
        <v>113.26</v>
      </c>
      <c r="L175" s="127"/>
      <c r="M175" s="128"/>
      <c r="N175" s="128"/>
      <c r="O175" s="128"/>
      <c r="P175" s="128"/>
      <c r="Q175" s="129"/>
    </row>
    <row r="176" spans="1:17" ht="19.5" customHeight="1" x14ac:dyDescent="0.15">
      <c r="A176" s="148"/>
      <c r="B176" s="815" t="s">
        <v>1240</v>
      </c>
      <c r="C176" s="816"/>
      <c r="D176" s="143">
        <v>47.56</v>
      </c>
      <c r="E176" s="143">
        <v>0</v>
      </c>
      <c r="F176" s="143">
        <v>0</v>
      </c>
      <c r="G176" s="143">
        <v>0.1</v>
      </c>
      <c r="H176" s="143">
        <v>1</v>
      </c>
      <c r="I176" s="143">
        <f>D176</f>
        <v>47.56</v>
      </c>
      <c r="J176" s="133" t="s">
        <v>5</v>
      </c>
      <c r="K176" s="143">
        <f>I176*H176</f>
        <v>47.56</v>
      </c>
      <c r="L176" s="127"/>
      <c r="M176" s="128"/>
      <c r="N176" s="128"/>
      <c r="O176" s="128"/>
      <c r="P176" s="128"/>
      <c r="Q176" s="129"/>
    </row>
    <row r="177" spans="1:17" ht="19.5" customHeight="1" x14ac:dyDescent="0.15">
      <c r="A177" s="148"/>
      <c r="B177" s="815" t="s">
        <v>1241</v>
      </c>
      <c r="C177" s="816"/>
      <c r="D177" s="143">
        <v>32.840000000000003</v>
      </c>
      <c r="E177" s="143">
        <v>0</v>
      </c>
      <c r="F177" s="143">
        <v>0</v>
      </c>
      <c r="G177" s="143">
        <v>0.1</v>
      </c>
      <c r="H177" s="143">
        <v>1</v>
      </c>
      <c r="I177" s="143">
        <f>D177</f>
        <v>32.840000000000003</v>
      </c>
      <c r="J177" s="133" t="s">
        <v>5</v>
      </c>
      <c r="K177" s="143">
        <f>I177*H177</f>
        <v>32.840000000000003</v>
      </c>
      <c r="L177" s="127"/>
      <c r="M177" s="128"/>
      <c r="N177" s="128"/>
      <c r="O177" s="128"/>
      <c r="P177" s="128"/>
      <c r="Q177" s="129"/>
    </row>
    <row r="178" spans="1:17" ht="19.5" customHeight="1" x14ac:dyDescent="0.15">
      <c r="A178" s="148"/>
      <c r="B178" s="815" t="s">
        <v>1591</v>
      </c>
      <c r="C178" s="816"/>
      <c r="D178" s="143">
        <v>0</v>
      </c>
      <c r="E178" s="143">
        <v>7.5</v>
      </c>
      <c r="F178" s="143">
        <v>3.56</v>
      </c>
      <c r="G178" s="143">
        <v>0.1</v>
      </c>
      <c r="H178" s="143">
        <v>1</v>
      </c>
      <c r="I178" s="143">
        <f>F178*E178</f>
        <v>26.7</v>
      </c>
      <c r="J178" s="133" t="s">
        <v>5</v>
      </c>
      <c r="K178" s="143">
        <f>I178*H178</f>
        <v>26.7</v>
      </c>
      <c r="L178" s="127"/>
      <c r="M178" s="128"/>
      <c r="N178" s="128"/>
      <c r="O178" s="128"/>
      <c r="P178" s="128"/>
      <c r="Q178" s="129"/>
    </row>
    <row r="179" spans="1:17" ht="14" x14ac:dyDescent="0.15">
      <c r="A179" s="795" t="s">
        <v>149</v>
      </c>
      <c r="B179" s="817"/>
      <c r="C179" s="817"/>
      <c r="D179" s="817"/>
      <c r="E179" s="817"/>
      <c r="F179" s="817"/>
      <c r="G179" s="817"/>
      <c r="H179" s="817"/>
      <c r="I179" s="817"/>
      <c r="J179" s="796"/>
      <c r="K179" s="418">
        <f>SUM(K175:K178)</f>
        <v>220.35999999999999</v>
      </c>
      <c r="L179" s="134"/>
      <c r="M179" s="135"/>
      <c r="N179" s="135"/>
      <c r="O179" s="135"/>
      <c r="P179" s="135"/>
      <c r="Q179" s="136"/>
    </row>
    <row r="180" spans="1:17" x14ac:dyDescent="0.15">
      <c r="A180" s="790"/>
      <c r="B180" s="791"/>
      <c r="C180" s="791"/>
      <c r="D180" s="791"/>
      <c r="E180" s="791"/>
      <c r="F180" s="791"/>
      <c r="G180" s="791"/>
      <c r="H180" s="791"/>
      <c r="I180" s="791"/>
      <c r="J180" s="791"/>
      <c r="K180" s="791"/>
      <c r="L180" s="791"/>
      <c r="M180" s="791"/>
      <c r="N180" s="791"/>
      <c r="O180" s="791"/>
      <c r="P180" s="791"/>
      <c r="Q180" s="792"/>
    </row>
    <row r="181" spans="1:17" s="121" customFormat="1" ht="18" customHeight="1" x14ac:dyDescent="0.15">
      <c r="A181" s="218" t="s">
        <v>0</v>
      </c>
      <c r="B181" s="793" t="s">
        <v>1620</v>
      </c>
      <c r="C181" s="794"/>
      <c r="D181" s="794"/>
      <c r="E181" s="794"/>
      <c r="F181" s="794"/>
      <c r="G181" s="794"/>
      <c r="H181" s="794"/>
      <c r="I181" s="794"/>
      <c r="J181" s="794"/>
      <c r="K181" s="794"/>
      <c r="L181" s="794"/>
      <c r="M181" s="794"/>
      <c r="N181" s="794"/>
      <c r="O181" s="216" t="s">
        <v>73</v>
      </c>
      <c r="P181" s="795" t="s">
        <v>193</v>
      </c>
      <c r="Q181" s="796"/>
    </row>
    <row r="182" spans="1:17" x14ac:dyDescent="0.15">
      <c r="A182" s="790"/>
      <c r="B182" s="791"/>
      <c r="C182" s="791"/>
      <c r="D182" s="791"/>
      <c r="E182" s="791"/>
      <c r="F182" s="791"/>
      <c r="G182" s="791"/>
      <c r="H182" s="791"/>
      <c r="I182" s="791"/>
      <c r="J182" s="791"/>
      <c r="K182" s="791"/>
      <c r="L182" s="791"/>
      <c r="M182" s="791"/>
      <c r="N182" s="791"/>
      <c r="O182" s="791"/>
      <c r="P182" s="791"/>
      <c r="Q182" s="792"/>
    </row>
    <row r="183" spans="1:17" s="126" customFormat="1" x14ac:dyDescent="0.15">
      <c r="A183" s="822" t="s">
        <v>150</v>
      </c>
      <c r="B183" s="823" t="s">
        <v>151</v>
      </c>
      <c r="C183" s="823"/>
      <c r="D183" s="802"/>
      <c r="E183" s="823" t="s">
        <v>152</v>
      </c>
      <c r="F183" s="823"/>
      <c r="G183" s="823"/>
      <c r="H183" s="802" t="s">
        <v>153</v>
      </c>
      <c r="I183" s="802" t="s">
        <v>242</v>
      </c>
      <c r="J183" s="804" t="s">
        <v>73</v>
      </c>
      <c r="K183" s="216" t="s">
        <v>154</v>
      </c>
      <c r="L183" s="123"/>
      <c r="M183" s="124"/>
      <c r="N183" s="124"/>
      <c r="O183" s="124"/>
      <c r="P183" s="124"/>
      <c r="Q183" s="125"/>
    </row>
    <row r="184" spans="1:17" s="130" customFormat="1" x14ac:dyDescent="0.15">
      <c r="A184" s="822"/>
      <c r="B184" s="823"/>
      <c r="C184" s="823"/>
      <c r="D184" s="803"/>
      <c r="E184" s="217" t="s">
        <v>155</v>
      </c>
      <c r="F184" s="217" t="s">
        <v>156</v>
      </c>
      <c r="G184" s="217" t="s">
        <v>157</v>
      </c>
      <c r="H184" s="803"/>
      <c r="I184" s="803"/>
      <c r="J184" s="805"/>
      <c r="K184" s="216" t="s">
        <v>158</v>
      </c>
      <c r="L184" s="127"/>
      <c r="M184" s="128"/>
      <c r="N184" s="128"/>
      <c r="O184" s="128"/>
      <c r="P184" s="128"/>
      <c r="Q184" s="129"/>
    </row>
    <row r="185" spans="1:17" ht="39.75" customHeight="1" x14ac:dyDescent="0.15">
      <c r="A185" s="148"/>
      <c r="B185" s="788" t="s">
        <v>1196</v>
      </c>
      <c r="C185" s="789"/>
      <c r="D185" s="149"/>
      <c r="E185" s="143">
        <v>48.94</v>
      </c>
      <c r="F185" s="143">
        <v>0.1</v>
      </c>
      <c r="G185" s="143">
        <v>0.2</v>
      </c>
      <c r="H185" s="143">
        <v>1</v>
      </c>
      <c r="I185" s="143">
        <f t="shared" ref="I185" si="36">E185</f>
        <v>48.94</v>
      </c>
      <c r="J185" s="133" t="s">
        <v>193</v>
      </c>
      <c r="K185" s="143">
        <f t="shared" ref="K185" si="37">I185*H185</f>
        <v>48.94</v>
      </c>
      <c r="L185" s="127"/>
      <c r="M185" s="128"/>
      <c r="N185" s="128"/>
      <c r="O185" s="128"/>
      <c r="P185" s="128"/>
      <c r="Q185" s="129"/>
    </row>
    <row r="186" spans="1:17" ht="39.75" customHeight="1" x14ac:dyDescent="0.15">
      <c r="A186" s="148"/>
      <c r="B186" s="788" t="s">
        <v>1196</v>
      </c>
      <c r="C186" s="789"/>
      <c r="D186" s="149"/>
      <c r="E186" s="143">
        <v>6.54</v>
      </c>
      <c r="F186" s="143">
        <v>0.1</v>
      </c>
      <c r="G186" s="143">
        <v>0.2</v>
      </c>
      <c r="H186" s="143">
        <v>2</v>
      </c>
      <c r="I186" s="143">
        <f t="shared" ref="I186" si="38">E186</f>
        <v>6.54</v>
      </c>
      <c r="J186" s="133" t="s">
        <v>193</v>
      </c>
      <c r="K186" s="143">
        <f t="shared" ref="K186" si="39">I186*H186</f>
        <v>13.08</v>
      </c>
      <c r="L186" s="127"/>
      <c r="M186" s="128"/>
      <c r="N186" s="128"/>
      <c r="O186" s="128"/>
      <c r="P186" s="128"/>
      <c r="Q186" s="129"/>
    </row>
    <row r="187" spans="1:17" ht="39.75" customHeight="1" x14ac:dyDescent="0.15">
      <c r="A187" s="148"/>
      <c r="B187" s="788" t="s">
        <v>1196</v>
      </c>
      <c r="C187" s="789"/>
      <c r="D187" s="149"/>
      <c r="E187" s="143">
        <v>7.84</v>
      </c>
      <c r="F187" s="143">
        <v>0.1</v>
      </c>
      <c r="G187" s="143">
        <v>0.2</v>
      </c>
      <c r="H187" s="143">
        <v>2</v>
      </c>
      <c r="I187" s="143">
        <f t="shared" ref="I187" si="40">E187</f>
        <v>7.84</v>
      </c>
      <c r="J187" s="133" t="s">
        <v>193</v>
      </c>
      <c r="K187" s="143">
        <f t="shared" ref="K187" si="41">I187*H187</f>
        <v>15.68</v>
      </c>
      <c r="L187" s="127"/>
      <c r="M187" s="128"/>
      <c r="N187" s="128"/>
      <c r="O187" s="128"/>
      <c r="P187" s="128"/>
      <c r="Q187" s="129"/>
    </row>
    <row r="188" spans="1:17" ht="14" x14ac:dyDescent="0.15">
      <c r="A188" s="795" t="s">
        <v>149</v>
      </c>
      <c r="B188" s="817"/>
      <c r="C188" s="817"/>
      <c r="D188" s="817"/>
      <c r="E188" s="817"/>
      <c r="F188" s="817"/>
      <c r="G188" s="817"/>
      <c r="H188" s="817"/>
      <c r="I188" s="817"/>
      <c r="J188" s="796"/>
      <c r="K188" s="418">
        <f>SUM(K185:K187)</f>
        <v>77.699999999999989</v>
      </c>
      <c r="L188" s="134"/>
      <c r="M188" s="135"/>
      <c r="N188" s="135"/>
      <c r="O188" s="135"/>
      <c r="P188" s="135"/>
      <c r="Q188" s="136"/>
    </row>
    <row r="189" spans="1:17" x14ac:dyDescent="0.15">
      <c r="A189" s="790"/>
      <c r="B189" s="791"/>
      <c r="C189" s="791"/>
      <c r="D189" s="791"/>
      <c r="E189" s="791"/>
      <c r="F189" s="791"/>
      <c r="G189" s="791"/>
      <c r="H189" s="791"/>
      <c r="I189" s="791"/>
      <c r="J189" s="791"/>
      <c r="K189" s="791"/>
      <c r="L189" s="791"/>
      <c r="M189" s="791"/>
      <c r="N189" s="791"/>
      <c r="O189" s="791"/>
      <c r="P189" s="791"/>
      <c r="Q189" s="792"/>
    </row>
    <row r="190" spans="1:17" s="121" customFormat="1" ht="18" customHeight="1" x14ac:dyDescent="0.15">
      <c r="A190" s="218" t="s">
        <v>0</v>
      </c>
      <c r="B190" s="793" t="s">
        <v>1621</v>
      </c>
      <c r="C190" s="794"/>
      <c r="D190" s="794"/>
      <c r="E190" s="794"/>
      <c r="F190" s="794"/>
      <c r="G190" s="794"/>
      <c r="H190" s="794"/>
      <c r="I190" s="794"/>
      <c r="J190" s="794"/>
      <c r="K190" s="794"/>
      <c r="L190" s="794"/>
      <c r="M190" s="794"/>
      <c r="N190" s="794"/>
      <c r="O190" s="216" t="s">
        <v>73</v>
      </c>
      <c r="P190" s="795" t="s">
        <v>193</v>
      </c>
      <c r="Q190" s="796"/>
    </row>
    <row r="191" spans="1:17" x14ac:dyDescent="0.15">
      <c r="A191" s="790"/>
      <c r="B191" s="791"/>
      <c r="C191" s="791"/>
      <c r="D191" s="791"/>
      <c r="E191" s="791"/>
      <c r="F191" s="791"/>
      <c r="G191" s="791"/>
      <c r="H191" s="791"/>
      <c r="I191" s="791"/>
      <c r="J191" s="791"/>
      <c r="K191" s="791"/>
      <c r="L191" s="791"/>
      <c r="M191" s="791"/>
      <c r="N191" s="791"/>
      <c r="O191" s="791"/>
      <c r="P191" s="791"/>
      <c r="Q191" s="792"/>
    </row>
    <row r="192" spans="1:17" s="126" customFormat="1" x14ac:dyDescent="0.15">
      <c r="A192" s="822" t="s">
        <v>150</v>
      </c>
      <c r="B192" s="823" t="s">
        <v>151</v>
      </c>
      <c r="C192" s="823"/>
      <c r="D192" s="802"/>
      <c r="E192" s="823" t="s">
        <v>152</v>
      </c>
      <c r="F192" s="823"/>
      <c r="G192" s="823"/>
      <c r="H192" s="802" t="s">
        <v>153</v>
      </c>
      <c r="I192" s="802" t="s">
        <v>242</v>
      </c>
      <c r="J192" s="804" t="s">
        <v>73</v>
      </c>
      <c r="K192" s="216" t="s">
        <v>154</v>
      </c>
      <c r="L192" s="123"/>
      <c r="M192" s="124"/>
      <c r="N192" s="124"/>
      <c r="O192" s="124"/>
      <c r="P192" s="124"/>
      <c r="Q192" s="125"/>
    </row>
    <row r="193" spans="1:17" s="130" customFormat="1" x14ac:dyDescent="0.15">
      <c r="A193" s="822"/>
      <c r="B193" s="823"/>
      <c r="C193" s="823"/>
      <c r="D193" s="803"/>
      <c r="E193" s="217" t="s">
        <v>155</v>
      </c>
      <c r="F193" s="217" t="s">
        <v>156</v>
      </c>
      <c r="G193" s="217" t="s">
        <v>157</v>
      </c>
      <c r="H193" s="803"/>
      <c r="I193" s="803"/>
      <c r="J193" s="805"/>
      <c r="K193" s="216" t="s">
        <v>158</v>
      </c>
      <c r="L193" s="127"/>
      <c r="M193" s="128"/>
      <c r="N193" s="128"/>
      <c r="O193" s="128"/>
      <c r="P193" s="128"/>
      <c r="Q193" s="129"/>
    </row>
    <row r="194" spans="1:17" ht="39.75" customHeight="1" x14ac:dyDescent="0.15">
      <c r="A194" s="148"/>
      <c r="B194" s="788" t="s">
        <v>1511</v>
      </c>
      <c r="C194" s="789"/>
      <c r="D194" s="149"/>
      <c r="E194" s="143">
        <f>29.56+11.97</f>
        <v>41.53</v>
      </c>
      <c r="F194" s="143">
        <v>0.15</v>
      </c>
      <c r="G194" s="143">
        <v>25</v>
      </c>
      <c r="H194" s="143">
        <v>1</v>
      </c>
      <c r="I194" s="143">
        <f t="shared" ref="I194" si="42">E194</f>
        <v>41.53</v>
      </c>
      <c r="J194" s="133" t="s">
        <v>193</v>
      </c>
      <c r="K194" s="143">
        <f t="shared" ref="K194" si="43">I194*H194</f>
        <v>41.53</v>
      </c>
      <c r="L194" s="127"/>
      <c r="M194" s="128"/>
      <c r="N194" s="128"/>
      <c r="O194" s="128"/>
      <c r="P194" s="128"/>
      <c r="Q194" s="129"/>
    </row>
    <row r="195" spans="1:17" ht="39.75" customHeight="1" x14ac:dyDescent="0.15">
      <c r="A195" s="148"/>
      <c r="B195" s="788" t="s">
        <v>1511</v>
      </c>
      <c r="C195" s="789"/>
      <c r="D195" s="149"/>
      <c r="E195" s="143">
        <v>7.5</v>
      </c>
      <c r="F195" s="143">
        <v>0.15</v>
      </c>
      <c r="G195" s="143">
        <v>25</v>
      </c>
      <c r="H195" s="143">
        <v>2</v>
      </c>
      <c r="I195" s="143">
        <f t="shared" ref="I195" si="44">E195</f>
        <v>7.5</v>
      </c>
      <c r="J195" s="133" t="s">
        <v>193</v>
      </c>
      <c r="K195" s="143">
        <f t="shared" ref="K195" si="45">I195*H195</f>
        <v>15</v>
      </c>
      <c r="L195" s="127"/>
      <c r="M195" s="128"/>
      <c r="N195" s="128"/>
      <c r="O195" s="128"/>
      <c r="P195" s="128"/>
      <c r="Q195" s="129"/>
    </row>
    <row r="196" spans="1:17" ht="14" x14ac:dyDescent="0.15">
      <c r="A196" s="795" t="s">
        <v>149</v>
      </c>
      <c r="B196" s="817"/>
      <c r="C196" s="817"/>
      <c r="D196" s="817"/>
      <c r="E196" s="817"/>
      <c r="F196" s="817"/>
      <c r="G196" s="817"/>
      <c r="H196" s="817"/>
      <c r="I196" s="817"/>
      <c r="J196" s="796"/>
      <c r="K196" s="418">
        <f>SUM(K194:K195)</f>
        <v>56.53</v>
      </c>
      <c r="L196" s="134"/>
      <c r="M196" s="135"/>
      <c r="N196" s="135"/>
      <c r="O196" s="135"/>
      <c r="P196" s="135"/>
      <c r="Q196" s="136"/>
    </row>
    <row r="197" spans="1:17" x14ac:dyDescent="0.15">
      <c r="A197" s="790"/>
      <c r="B197" s="791"/>
      <c r="C197" s="791"/>
      <c r="D197" s="791"/>
      <c r="E197" s="791"/>
      <c r="F197" s="791"/>
      <c r="G197" s="791"/>
      <c r="H197" s="791"/>
      <c r="I197" s="791"/>
      <c r="J197" s="791"/>
      <c r="K197" s="791"/>
      <c r="L197" s="791"/>
      <c r="M197" s="791"/>
      <c r="N197" s="791"/>
      <c r="O197" s="791"/>
      <c r="P197" s="791"/>
      <c r="Q197" s="792"/>
    </row>
    <row r="198" spans="1:17" s="121" customFormat="1" ht="18" customHeight="1" x14ac:dyDescent="0.15">
      <c r="A198" s="218" t="s">
        <v>0</v>
      </c>
      <c r="B198" s="793" t="s">
        <v>1622</v>
      </c>
      <c r="C198" s="794"/>
      <c r="D198" s="794"/>
      <c r="E198" s="794"/>
      <c r="F198" s="794"/>
      <c r="G198" s="794"/>
      <c r="H198" s="794"/>
      <c r="I198" s="794"/>
      <c r="J198" s="794"/>
      <c r="K198" s="794"/>
      <c r="L198" s="794"/>
      <c r="M198" s="794"/>
      <c r="N198" s="794"/>
      <c r="O198" s="216" t="s">
        <v>73</v>
      </c>
      <c r="P198" s="795" t="s">
        <v>193</v>
      </c>
      <c r="Q198" s="796"/>
    </row>
    <row r="199" spans="1:17" x14ac:dyDescent="0.15">
      <c r="A199" s="790"/>
      <c r="B199" s="791"/>
      <c r="C199" s="791"/>
      <c r="D199" s="791"/>
      <c r="E199" s="791"/>
      <c r="F199" s="791"/>
      <c r="G199" s="791"/>
      <c r="H199" s="791"/>
      <c r="I199" s="791"/>
      <c r="J199" s="791"/>
      <c r="K199" s="791"/>
      <c r="L199" s="791"/>
      <c r="M199" s="791"/>
      <c r="N199" s="791"/>
      <c r="O199" s="791"/>
      <c r="P199" s="791"/>
      <c r="Q199" s="792"/>
    </row>
    <row r="200" spans="1:17" s="126" customFormat="1" x14ac:dyDescent="0.15">
      <c r="A200" s="822" t="s">
        <v>150</v>
      </c>
      <c r="B200" s="823" t="s">
        <v>151</v>
      </c>
      <c r="C200" s="823"/>
      <c r="D200" s="802"/>
      <c r="E200" s="823" t="s">
        <v>152</v>
      </c>
      <c r="F200" s="823"/>
      <c r="G200" s="823"/>
      <c r="H200" s="802" t="s">
        <v>153</v>
      </c>
      <c r="I200" s="802" t="s">
        <v>242</v>
      </c>
      <c r="J200" s="804" t="s">
        <v>73</v>
      </c>
      <c r="K200" s="216" t="s">
        <v>154</v>
      </c>
      <c r="L200" s="123"/>
      <c r="M200" s="124"/>
      <c r="N200" s="124"/>
      <c r="O200" s="124"/>
      <c r="P200" s="124"/>
      <c r="Q200" s="125"/>
    </row>
    <row r="201" spans="1:17" s="130" customFormat="1" x14ac:dyDescent="0.15">
      <c r="A201" s="822"/>
      <c r="B201" s="823"/>
      <c r="C201" s="823"/>
      <c r="D201" s="803"/>
      <c r="E201" s="217" t="s">
        <v>155</v>
      </c>
      <c r="F201" s="217" t="s">
        <v>156</v>
      </c>
      <c r="G201" s="217" t="s">
        <v>157</v>
      </c>
      <c r="H201" s="803"/>
      <c r="I201" s="803"/>
      <c r="J201" s="805"/>
      <c r="K201" s="216" t="s">
        <v>158</v>
      </c>
      <c r="L201" s="127"/>
      <c r="M201" s="128"/>
      <c r="N201" s="128"/>
      <c r="O201" s="128"/>
      <c r="P201" s="128"/>
      <c r="Q201" s="129"/>
    </row>
    <row r="202" spans="1:17" ht="24.75" customHeight="1" x14ac:dyDescent="0.15">
      <c r="A202" s="148"/>
      <c r="B202" s="788" t="s">
        <v>1176</v>
      </c>
      <c r="C202" s="789"/>
      <c r="D202" s="149"/>
      <c r="E202" s="143">
        <v>1.2</v>
      </c>
      <c r="F202" s="143">
        <v>0.15</v>
      </c>
      <c r="G202" s="143">
        <v>0.3</v>
      </c>
      <c r="H202" s="143">
        <v>8</v>
      </c>
      <c r="I202" s="143">
        <f t="shared" ref="I202" si="46">E202</f>
        <v>1.2</v>
      </c>
      <c r="J202" s="133" t="s">
        <v>193</v>
      </c>
      <c r="K202" s="143">
        <f t="shared" ref="K202" si="47">I202*H202</f>
        <v>9.6</v>
      </c>
      <c r="L202" s="127"/>
      <c r="M202" s="128"/>
      <c r="N202" s="128"/>
      <c r="O202" s="128"/>
      <c r="P202" s="128"/>
      <c r="Q202" s="129"/>
    </row>
    <row r="203" spans="1:17" ht="14" x14ac:dyDescent="0.15">
      <c r="A203" s="795" t="s">
        <v>149</v>
      </c>
      <c r="B203" s="817"/>
      <c r="C203" s="817"/>
      <c r="D203" s="817"/>
      <c r="E203" s="817"/>
      <c r="F203" s="817"/>
      <c r="G203" s="817"/>
      <c r="H203" s="817"/>
      <c r="I203" s="817"/>
      <c r="J203" s="796"/>
      <c r="K203" s="418">
        <f>SUM(K202:K202)</f>
        <v>9.6</v>
      </c>
      <c r="L203" s="134"/>
      <c r="M203" s="135"/>
      <c r="N203" s="135"/>
      <c r="O203" s="135"/>
      <c r="P203" s="135"/>
      <c r="Q203" s="136"/>
    </row>
    <row r="204" spans="1:17" x14ac:dyDescent="0.15">
      <c r="A204" s="790"/>
      <c r="B204" s="791"/>
      <c r="C204" s="791"/>
      <c r="D204" s="791"/>
      <c r="E204" s="791"/>
      <c r="F204" s="791"/>
      <c r="G204" s="791"/>
      <c r="H204" s="791"/>
      <c r="I204" s="791"/>
      <c r="J204" s="791"/>
      <c r="K204" s="791"/>
      <c r="L204" s="791"/>
      <c r="M204" s="791"/>
      <c r="N204" s="791"/>
      <c r="O204" s="791"/>
      <c r="P204" s="791"/>
      <c r="Q204" s="792"/>
    </row>
    <row r="205" spans="1:17" s="121" customFormat="1" ht="18" customHeight="1" x14ac:dyDescent="0.15">
      <c r="A205" s="218" t="s">
        <v>0</v>
      </c>
      <c r="B205" s="835" t="s">
        <v>1623</v>
      </c>
      <c r="C205" s="836"/>
      <c r="D205" s="836"/>
      <c r="E205" s="836"/>
      <c r="F205" s="836"/>
      <c r="G205" s="836"/>
      <c r="H205" s="836"/>
      <c r="I205" s="836"/>
      <c r="J205" s="836"/>
      <c r="K205" s="836"/>
      <c r="L205" s="836"/>
      <c r="M205" s="836"/>
      <c r="N205" s="837"/>
      <c r="O205" s="216" t="s">
        <v>73</v>
      </c>
      <c r="P205" s="795" t="s">
        <v>5</v>
      </c>
      <c r="Q205" s="796"/>
    </row>
    <row r="206" spans="1:17" x14ac:dyDescent="0.15">
      <c r="A206" s="790"/>
      <c r="B206" s="791"/>
      <c r="C206" s="791"/>
      <c r="D206" s="791"/>
      <c r="E206" s="791"/>
      <c r="F206" s="791"/>
      <c r="G206" s="791"/>
      <c r="H206" s="791"/>
      <c r="I206" s="791"/>
      <c r="J206" s="791"/>
      <c r="K206" s="791"/>
      <c r="L206" s="791"/>
      <c r="M206" s="791"/>
      <c r="N206" s="791"/>
      <c r="O206" s="791"/>
      <c r="P206" s="791"/>
      <c r="Q206" s="792"/>
    </row>
    <row r="207" spans="1:17" s="126" customFormat="1" x14ac:dyDescent="0.15">
      <c r="A207" s="822" t="s">
        <v>150</v>
      </c>
      <c r="B207" s="823" t="s">
        <v>151</v>
      </c>
      <c r="C207" s="823"/>
      <c r="D207" s="832" t="s">
        <v>264</v>
      </c>
      <c r="E207" s="823" t="s">
        <v>152</v>
      </c>
      <c r="F207" s="823"/>
      <c r="G207" s="823"/>
      <c r="H207" s="802" t="s">
        <v>153</v>
      </c>
      <c r="I207" s="802" t="s">
        <v>159</v>
      </c>
      <c r="J207" s="804" t="s">
        <v>73</v>
      </c>
      <c r="K207" s="216" t="s">
        <v>154</v>
      </c>
      <c r="L207" s="123"/>
      <c r="M207" s="124"/>
      <c r="N207" s="124"/>
      <c r="O207" s="124"/>
      <c r="P207" s="124"/>
      <c r="Q207" s="125"/>
    </row>
    <row r="208" spans="1:17" s="130" customFormat="1" x14ac:dyDescent="0.15">
      <c r="A208" s="822"/>
      <c r="B208" s="823"/>
      <c r="C208" s="823"/>
      <c r="D208" s="833"/>
      <c r="E208" s="217" t="s">
        <v>155</v>
      </c>
      <c r="F208" s="217" t="s">
        <v>156</v>
      </c>
      <c r="G208" s="217" t="s">
        <v>157</v>
      </c>
      <c r="H208" s="803"/>
      <c r="I208" s="803"/>
      <c r="J208" s="805"/>
      <c r="K208" s="216" t="s">
        <v>158</v>
      </c>
      <c r="L208" s="127"/>
      <c r="M208" s="128"/>
      <c r="N208" s="128"/>
      <c r="O208" s="128"/>
      <c r="P208" s="128"/>
      <c r="Q208" s="129"/>
    </row>
    <row r="209" spans="1:17" ht="37.5" customHeight="1" x14ac:dyDescent="0.15">
      <c r="A209" s="148"/>
      <c r="B209" s="788" t="s">
        <v>1235</v>
      </c>
      <c r="C209" s="789"/>
      <c r="D209" s="149"/>
      <c r="E209" s="143">
        <f>16.81-1.5</f>
        <v>15.309999999999999</v>
      </c>
      <c r="F209" s="143">
        <v>0.15</v>
      </c>
      <c r="G209" s="143">
        <v>0.2</v>
      </c>
      <c r="H209" s="143">
        <v>3</v>
      </c>
      <c r="I209" s="143">
        <f t="shared" ref="I209:I211" si="48">G209*E209</f>
        <v>3.0619999999999998</v>
      </c>
      <c r="J209" s="133" t="s">
        <v>5</v>
      </c>
      <c r="K209" s="143">
        <f t="shared" ref="K209:K211" si="49">I209*H209</f>
        <v>9.1859999999999999</v>
      </c>
      <c r="L209" s="127"/>
      <c r="M209" s="128"/>
      <c r="N209" s="128"/>
      <c r="O209" s="128"/>
      <c r="P209" s="128"/>
      <c r="Q209" s="129"/>
    </row>
    <row r="210" spans="1:17" ht="37.5" customHeight="1" x14ac:dyDescent="0.15">
      <c r="A210" s="148"/>
      <c r="B210" s="788" t="s">
        <v>1236</v>
      </c>
      <c r="C210" s="789"/>
      <c r="D210" s="149"/>
      <c r="E210" s="143">
        <f>6.36-0.75</f>
        <v>5.61</v>
      </c>
      <c r="F210" s="143">
        <v>0.15</v>
      </c>
      <c r="G210" s="143">
        <v>0.2</v>
      </c>
      <c r="H210" s="143">
        <v>4</v>
      </c>
      <c r="I210" s="143">
        <f t="shared" si="48"/>
        <v>1.1220000000000001</v>
      </c>
      <c r="J210" s="133" t="s">
        <v>5</v>
      </c>
      <c r="K210" s="143">
        <f t="shared" si="49"/>
        <v>4.4880000000000004</v>
      </c>
      <c r="L210" s="127"/>
      <c r="M210" s="128"/>
      <c r="N210" s="128"/>
      <c r="O210" s="128"/>
      <c r="P210" s="128"/>
      <c r="Q210" s="129"/>
    </row>
    <row r="211" spans="1:17" ht="37.5" customHeight="1" x14ac:dyDescent="0.15">
      <c r="A211" s="148"/>
      <c r="B211" s="788" t="s">
        <v>1237</v>
      </c>
      <c r="C211" s="789"/>
      <c r="D211" s="149"/>
      <c r="E211" s="143">
        <f>7.67-1</f>
        <v>6.67</v>
      </c>
      <c r="F211" s="143">
        <v>0.15</v>
      </c>
      <c r="G211" s="143">
        <v>0.2</v>
      </c>
      <c r="H211" s="143">
        <v>2</v>
      </c>
      <c r="I211" s="143">
        <f t="shared" si="48"/>
        <v>1.3340000000000001</v>
      </c>
      <c r="J211" s="133" t="s">
        <v>5</v>
      </c>
      <c r="K211" s="143">
        <f t="shared" si="49"/>
        <v>2.6680000000000001</v>
      </c>
      <c r="L211" s="127"/>
      <c r="M211" s="128"/>
      <c r="N211" s="128"/>
      <c r="O211" s="128"/>
      <c r="P211" s="128"/>
      <c r="Q211" s="129"/>
    </row>
    <row r="212" spans="1:17" ht="37.5" customHeight="1" x14ac:dyDescent="0.15">
      <c r="A212" s="148"/>
      <c r="B212" s="788" t="s">
        <v>1238</v>
      </c>
      <c r="C212" s="789"/>
      <c r="D212" s="149"/>
      <c r="E212" s="143">
        <v>4.41</v>
      </c>
      <c r="F212" s="143">
        <v>0.15</v>
      </c>
      <c r="G212" s="143">
        <v>0.2</v>
      </c>
      <c r="H212" s="143">
        <v>1</v>
      </c>
      <c r="I212" s="143">
        <f t="shared" ref="I212" si="50">G212*E212</f>
        <v>0.88200000000000012</v>
      </c>
      <c r="J212" s="133" t="s">
        <v>5</v>
      </c>
      <c r="K212" s="143">
        <f t="shared" ref="K212" si="51">I212*H212</f>
        <v>0.88200000000000012</v>
      </c>
      <c r="L212" s="127"/>
      <c r="M212" s="128"/>
      <c r="N212" s="128"/>
      <c r="O212" s="128"/>
      <c r="P212" s="128"/>
      <c r="Q212" s="129"/>
    </row>
    <row r="213" spans="1:17" ht="14" x14ac:dyDescent="0.15">
      <c r="A213" s="795" t="s">
        <v>149</v>
      </c>
      <c r="B213" s="817"/>
      <c r="C213" s="817"/>
      <c r="D213" s="817"/>
      <c r="E213" s="817"/>
      <c r="F213" s="817"/>
      <c r="G213" s="817"/>
      <c r="H213" s="817"/>
      <c r="I213" s="817"/>
      <c r="J213" s="796"/>
      <c r="K213" s="418">
        <f>SUM(K209:K212)</f>
        <v>17.224</v>
      </c>
      <c r="L213" s="134"/>
      <c r="M213" s="135"/>
      <c r="N213" s="135"/>
      <c r="O213" s="135"/>
      <c r="P213" s="135"/>
      <c r="Q213" s="136"/>
    </row>
    <row r="214" spans="1:17" x14ac:dyDescent="0.15">
      <c r="A214" s="790"/>
      <c r="B214" s="791"/>
      <c r="C214" s="791"/>
      <c r="D214" s="791"/>
      <c r="E214" s="791"/>
      <c r="F214" s="791"/>
      <c r="G214" s="791"/>
      <c r="H214" s="791"/>
      <c r="I214" s="791"/>
      <c r="J214" s="791"/>
      <c r="K214" s="791"/>
      <c r="L214" s="791"/>
      <c r="M214" s="791"/>
      <c r="N214" s="791"/>
      <c r="O214" s="791"/>
      <c r="P214" s="791"/>
      <c r="Q214" s="792"/>
    </row>
    <row r="215" spans="1:17" s="121" customFormat="1" ht="18" customHeight="1" x14ac:dyDescent="0.15">
      <c r="A215" s="218" t="s">
        <v>0</v>
      </c>
      <c r="B215" s="835" t="s">
        <v>1624</v>
      </c>
      <c r="C215" s="836"/>
      <c r="D215" s="836"/>
      <c r="E215" s="836"/>
      <c r="F215" s="836"/>
      <c r="G215" s="836"/>
      <c r="H215" s="836"/>
      <c r="I215" s="836"/>
      <c r="J215" s="836"/>
      <c r="K215" s="836"/>
      <c r="L215" s="836"/>
      <c r="M215" s="836"/>
      <c r="N215" s="837"/>
      <c r="O215" s="216" t="s">
        <v>73</v>
      </c>
      <c r="P215" s="795" t="s">
        <v>5</v>
      </c>
      <c r="Q215" s="796"/>
    </row>
    <row r="216" spans="1:17" x14ac:dyDescent="0.15">
      <c r="A216" s="790"/>
      <c r="B216" s="791"/>
      <c r="C216" s="791"/>
      <c r="D216" s="791"/>
      <c r="E216" s="791"/>
      <c r="F216" s="791"/>
      <c r="G216" s="791"/>
      <c r="H216" s="791"/>
      <c r="I216" s="791"/>
      <c r="J216" s="791"/>
      <c r="K216" s="791"/>
      <c r="L216" s="791"/>
      <c r="M216" s="791"/>
      <c r="N216" s="791"/>
      <c r="O216" s="791"/>
      <c r="P216" s="791"/>
      <c r="Q216" s="792"/>
    </row>
    <row r="217" spans="1:17" s="126" customFormat="1" x14ac:dyDescent="0.15">
      <c r="A217" s="822" t="s">
        <v>150</v>
      </c>
      <c r="B217" s="823" t="s">
        <v>151</v>
      </c>
      <c r="C217" s="823"/>
      <c r="D217" s="832" t="s">
        <v>264</v>
      </c>
      <c r="E217" s="823" t="s">
        <v>152</v>
      </c>
      <c r="F217" s="823"/>
      <c r="G217" s="823"/>
      <c r="H217" s="802" t="s">
        <v>153</v>
      </c>
      <c r="I217" s="802" t="s">
        <v>159</v>
      </c>
      <c r="J217" s="804" t="s">
        <v>73</v>
      </c>
      <c r="K217" s="216" t="s">
        <v>154</v>
      </c>
      <c r="L217" s="123"/>
      <c r="M217" s="124"/>
      <c r="N217" s="124"/>
      <c r="O217" s="124"/>
      <c r="P217" s="124"/>
      <c r="Q217" s="125"/>
    </row>
    <row r="218" spans="1:17" s="130" customFormat="1" x14ac:dyDescent="0.15">
      <c r="A218" s="822"/>
      <c r="B218" s="823"/>
      <c r="C218" s="823"/>
      <c r="D218" s="833"/>
      <c r="E218" s="217" t="s">
        <v>155</v>
      </c>
      <c r="F218" s="217" t="s">
        <v>156</v>
      </c>
      <c r="G218" s="217" t="s">
        <v>157</v>
      </c>
      <c r="H218" s="803"/>
      <c r="I218" s="803"/>
      <c r="J218" s="805"/>
      <c r="K218" s="216" t="s">
        <v>158</v>
      </c>
      <c r="L218" s="127"/>
      <c r="M218" s="128"/>
      <c r="N218" s="128"/>
      <c r="O218" s="128"/>
      <c r="P218" s="128"/>
      <c r="Q218" s="129"/>
    </row>
    <row r="219" spans="1:17" ht="24" customHeight="1" x14ac:dyDescent="0.15">
      <c r="A219" s="148"/>
      <c r="B219" s="788" t="s">
        <v>1251</v>
      </c>
      <c r="C219" s="789"/>
      <c r="D219" s="149"/>
      <c r="E219" s="143">
        <v>16.809999999999999</v>
      </c>
      <c r="F219" s="143">
        <v>0.6</v>
      </c>
      <c r="G219" s="143">
        <v>0.1</v>
      </c>
      <c r="H219" s="143">
        <v>2</v>
      </c>
      <c r="I219" s="143">
        <f>F219*E219</f>
        <v>10.085999999999999</v>
      </c>
      <c r="J219" s="133" t="s">
        <v>5</v>
      </c>
      <c r="K219" s="143">
        <f t="shared" ref="K219" si="52">I219*H219</f>
        <v>20.171999999999997</v>
      </c>
      <c r="L219" s="127"/>
      <c r="M219" s="128"/>
      <c r="N219" s="128"/>
      <c r="O219" s="128"/>
      <c r="P219" s="128"/>
      <c r="Q219" s="129"/>
    </row>
    <row r="220" spans="1:17" ht="24" customHeight="1" x14ac:dyDescent="0.15">
      <c r="A220" s="148"/>
      <c r="B220" s="788" t="s">
        <v>1252</v>
      </c>
      <c r="C220" s="789"/>
      <c r="D220" s="149"/>
      <c r="E220" s="143">
        <v>4.91</v>
      </c>
      <c r="F220" s="143">
        <v>1.3</v>
      </c>
      <c r="G220" s="143">
        <v>0.1</v>
      </c>
      <c r="H220" s="143">
        <v>1</v>
      </c>
      <c r="I220" s="143">
        <f>F220*E220</f>
        <v>6.383</v>
      </c>
      <c r="J220" s="133" t="s">
        <v>5</v>
      </c>
      <c r="K220" s="143">
        <f t="shared" ref="K220" si="53">I220*H220</f>
        <v>6.383</v>
      </c>
      <c r="L220" s="127"/>
      <c r="M220" s="128"/>
      <c r="N220" s="128"/>
      <c r="O220" s="128"/>
      <c r="P220" s="128"/>
      <c r="Q220" s="129"/>
    </row>
    <row r="221" spans="1:17" ht="24" customHeight="1" x14ac:dyDescent="0.15">
      <c r="A221" s="148"/>
      <c r="B221" s="788" t="s">
        <v>1253</v>
      </c>
      <c r="C221" s="789"/>
      <c r="D221" s="149"/>
      <c r="E221" s="143">
        <v>3.86</v>
      </c>
      <c r="F221" s="143">
        <v>0.8</v>
      </c>
      <c r="G221" s="143">
        <v>0.1</v>
      </c>
      <c r="H221" s="143">
        <v>1</v>
      </c>
      <c r="I221" s="143">
        <f>F221*E221</f>
        <v>3.0880000000000001</v>
      </c>
      <c r="J221" s="133" t="s">
        <v>5</v>
      </c>
      <c r="K221" s="143">
        <f t="shared" ref="K221" si="54">I221*H221</f>
        <v>3.0880000000000001</v>
      </c>
      <c r="L221" s="127"/>
      <c r="M221" s="128"/>
      <c r="N221" s="128"/>
      <c r="O221" s="128"/>
      <c r="P221" s="128"/>
      <c r="Q221" s="129"/>
    </row>
    <row r="222" spans="1:17" ht="14" x14ac:dyDescent="0.15">
      <c r="A222" s="795" t="s">
        <v>149</v>
      </c>
      <c r="B222" s="817"/>
      <c r="C222" s="817"/>
      <c r="D222" s="817"/>
      <c r="E222" s="817"/>
      <c r="F222" s="817"/>
      <c r="G222" s="817"/>
      <c r="H222" s="817"/>
      <c r="I222" s="817"/>
      <c r="J222" s="796"/>
      <c r="K222" s="418">
        <f>SUM(K219:K221)</f>
        <v>29.642999999999997</v>
      </c>
      <c r="L222" s="134"/>
      <c r="M222" s="135"/>
      <c r="N222" s="135"/>
      <c r="O222" s="135"/>
      <c r="P222" s="135"/>
      <c r="Q222" s="136"/>
    </row>
    <row r="223" spans="1:17" x14ac:dyDescent="0.15">
      <c r="A223" s="790"/>
      <c r="B223" s="791"/>
      <c r="C223" s="791"/>
      <c r="D223" s="791"/>
      <c r="E223" s="791"/>
      <c r="F223" s="791"/>
      <c r="G223" s="791"/>
      <c r="H223" s="791"/>
      <c r="I223" s="791"/>
      <c r="J223" s="791"/>
      <c r="K223" s="791"/>
      <c r="L223" s="791"/>
      <c r="M223" s="791"/>
      <c r="N223" s="791"/>
      <c r="O223" s="791"/>
      <c r="P223" s="791"/>
      <c r="Q223" s="792"/>
    </row>
    <row r="224" spans="1:17" s="121" customFormat="1" ht="18" customHeight="1" x14ac:dyDescent="0.15">
      <c r="A224" s="218" t="s">
        <v>0</v>
      </c>
      <c r="B224" s="838" t="s">
        <v>180</v>
      </c>
      <c r="C224" s="839"/>
      <c r="D224" s="839"/>
      <c r="E224" s="839"/>
      <c r="F224" s="839"/>
      <c r="G224" s="839"/>
      <c r="H224" s="839"/>
      <c r="I224" s="839"/>
      <c r="J224" s="839"/>
      <c r="K224" s="839"/>
      <c r="L224" s="839"/>
      <c r="M224" s="839"/>
      <c r="N224" s="840"/>
      <c r="O224" s="216" t="s">
        <v>73</v>
      </c>
      <c r="P224" s="795" t="s">
        <v>5</v>
      </c>
      <c r="Q224" s="796"/>
    </row>
    <row r="225" spans="1:17" x14ac:dyDescent="0.15">
      <c r="A225" s="790"/>
      <c r="B225" s="791"/>
      <c r="C225" s="791"/>
      <c r="D225" s="791"/>
      <c r="E225" s="791"/>
      <c r="F225" s="791"/>
      <c r="G225" s="791"/>
      <c r="H225" s="791"/>
      <c r="I225" s="791"/>
      <c r="J225" s="791"/>
      <c r="K225" s="791"/>
      <c r="L225" s="791"/>
      <c r="M225" s="791"/>
      <c r="N225" s="791"/>
      <c r="O225" s="791"/>
      <c r="P225" s="791"/>
      <c r="Q225" s="792"/>
    </row>
    <row r="226" spans="1:17" s="126" customFormat="1" x14ac:dyDescent="0.15">
      <c r="A226" s="822" t="s">
        <v>150</v>
      </c>
      <c r="B226" s="823" t="s">
        <v>151</v>
      </c>
      <c r="C226" s="823"/>
      <c r="D226" s="832" t="s">
        <v>1244</v>
      </c>
      <c r="E226" s="823" t="s">
        <v>152</v>
      </c>
      <c r="F226" s="823"/>
      <c r="G226" s="823"/>
      <c r="H226" s="802" t="s">
        <v>153</v>
      </c>
      <c r="I226" s="802" t="s">
        <v>159</v>
      </c>
      <c r="J226" s="804" t="s">
        <v>73</v>
      </c>
      <c r="K226" s="216" t="s">
        <v>154</v>
      </c>
      <c r="L226" s="123"/>
      <c r="M226" s="124"/>
      <c r="N226" s="124"/>
      <c r="O226" s="124"/>
      <c r="P226" s="124"/>
      <c r="Q226" s="125"/>
    </row>
    <row r="227" spans="1:17" s="130" customFormat="1" ht="28.5" customHeight="1" x14ac:dyDescent="0.15">
      <c r="A227" s="822"/>
      <c r="B227" s="823"/>
      <c r="C227" s="823"/>
      <c r="D227" s="833"/>
      <c r="E227" s="217" t="s">
        <v>155</v>
      </c>
      <c r="F227" s="217" t="s">
        <v>156</v>
      </c>
      <c r="G227" s="217" t="s">
        <v>157</v>
      </c>
      <c r="H227" s="803"/>
      <c r="I227" s="803"/>
      <c r="J227" s="805"/>
      <c r="K227" s="216" t="s">
        <v>158</v>
      </c>
      <c r="L227" s="127"/>
      <c r="M227" s="128"/>
      <c r="N227" s="128"/>
      <c r="O227" s="128"/>
      <c r="P227" s="128"/>
      <c r="Q227" s="129"/>
    </row>
    <row r="228" spans="1:17" ht="29.25" customHeight="1" x14ac:dyDescent="0.15">
      <c r="A228" s="148"/>
      <c r="B228" s="815" t="s">
        <v>1243</v>
      </c>
      <c r="C228" s="816"/>
      <c r="D228" s="143">
        <f>(9+2+1.08)+(4*2)</f>
        <v>20.079999999999998</v>
      </c>
      <c r="E228" s="143">
        <f>(2.74+2.85+4.46+2.92+2.59+2.8+2.91+2.59+2.92+1.1+4.96+1.1+2.85+2.74+2.91+2.8)</f>
        <v>45.240000000000009</v>
      </c>
      <c r="F228" s="143">
        <v>0.09</v>
      </c>
      <c r="G228" s="143">
        <v>2.5</v>
      </c>
      <c r="H228" s="143">
        <v>1</v>
      </c>
      <c r="I228" s="143">
        <f t="shared" ref="I228:I230" si="55">G228*E228</f>
        <v>113.10000000000002</v>
      </c>
      <c r="J228" s="133" t="s">
        <v>5</v>
      </c>
      <c r="K228" s="143">
        <f t="shared" ref="K228:K230" si="56">(I228*H228)-D228</f>
        <v>93.020000000000024</v>
      </c>
      <c r="L228" s="127"/>
      <c r="M228" s="128"/>
      <c r="N228" s="128"/>
      <c r="O228" s="128"/>
      <c r="P228" s="128"/>
      <c r="Q228" s="129"/>
    </row>
    <row r="229" spans="1:17" ht="29.25" customHeight="1" x14ac:dyDescent="0.15">
      <c r="A229" s="148"/>
      <c r="B229" s="815" t="s">
        <v>1245</v>
      </c>
      <c r="C229" s="816"/>
      <c r="D229" s="143">
        <f>2.4*2.5</f>
        <v>6</v>
      </c>
      <c r="E229" s="143">
        <f>(15.43+21.99)</f>
        <v>37.42</v>
      </c>
      <c r="F229" s="143">
        <v>0.09</v>
      </c>
      <c r="G229" s="143">
        <v>2.5</v>
      </c>
      <c r="H229" s="143">
        <v>1</v>
      </c>
      <c r="I229" s="143">
        <f t="shared" ref="I229" si="57">G229*E229</f>
        <v>93.550000000000011</v>
      </c>
      <c r="J229" s="133" t="s">
        <v>5</v>
      </c>
      <c r="K229" s="143">
        <f t="shared" ref="K229" si="58">(I229*H229)-D229</f>
        <v>87.550000000000011</v>
      </c>
      <c r="L229" s="127"/>
      <c r="M229" s="128"/>
      <c r="N229" s="128"/>
      <c r="O229" s="128"/>
      <c r="P229" s="128"/>
      <c r="Q229" s="129"/>
    </row>
    <row r="230" spans="1:17" ht="21" customHeight="1" x14ac:dyDescent="0.15">
      <c r="A230" s="148"/>
      <c r="B230" s="788" t="s">
        <v>1246</v>
      </c>
      <c r="C230" s="789"/>
      <c r="D230" s="143">
        <v>0</v>
      </c>
      <c r="E230" s="143">
        <f>2.46</f>
        <v>2.46</v>
      </c>
      <c r="F230" s="143">
        <v>0.09</v>
      </c>
      <c r="G230" s="143">
        <v>0.435</v>
      </c>
      <c r="H230" s="143">
        <v>12</v>
      </c>
      <c r="I230" s="143">
        <f t="shared" si="55"/>
        <v>1.0701000000000001</v>
      </c>
      <c r="J230" s="133" t="s">
        <v>5</v>
      </c>
      <c r="K230" s="143">
        <f t="shared" si="56"/>
        <v>12.841200000000001</v>
      </c>
      <c r="L230" s="127"/>
      <c r="M230" s="128"/>
      <c r="N230" s="128"/>
      <c r="O230" s="128"/>
      <c r="P230" s="128"/>
      <c r="Q230" s="129"/>
    </row>
    <row r="231" spans="1:17" ht="21" customHeight="1" x14ac:dyDescent="0.15">
      <c r="A231" s="148"/>
      <c r="B231" s="788" t="s">
        <v>1083</v>
      </c>
      <c r="C231" s="789"/>
      <c r="D231" s="143">
        <v>0</v>
      </c>
      <c r="E231" s="143">
        <v>1.35</v>
      </c>
      <c r="F231" s="143">
        <v>0.09</v>
      </c>
      <c r="G231" s="143">
        <v>2.5</v>
      </c>
      <c r="H231" s="143">
        <v>1</v>
      </c>
      <c r="I231" s="143">
        <f t="shared" ref="I231" si="59">G231*E231</f>
        <v>3.375</v>
      </c>
      <c r="J231" s="133" t="s">
        <v>5</v>
      </c>
      <c r="K231" s="143">
        <f t="shared" ref="K231" si="60">(I231*H231)-D231</f>
        <v>3.375</v>
      </c>
      <c r="L231" s="127"/>
      <c r="M231" s="128"/>
      <c r="N231" s="128"/>
      <c r="O231" s="128"/>
      <c r="P231" s="128"/>
      <c r="Q231" s="129"/>
    </row>
    <row r="232" spans="1:17" ht="21" customHeight="1" x14ac:dyDescent="0.15">
      <c r="A232" s="148"/>
      <c r="B232" s="788" t="s">
        <v>1254</v>
      </c>
      <c r="C232" s="789"/>
      <c r="D232" s="143">
        <v>0</v>
      </c>
      <c r="E232" s="143">
        <v>2.4</v>
      </c>
      <c r="F232" s="143">
        <v>0.09</v>
      </c>
      <c r="G232" s="143">
        <v>2.9</v>
      </c>
      <c r="H232" s="143">
        <v>1</v>
      </c>
      <c r="I232" s="143">
        <f t="shared" ref="I232" si="61">G232*E232</f>
        <v>6.96</v>
      </c>
      <c r="J232" s="133" t="s">
        <v>5</v>
      </c>
      <c r="K232" s="143">
        <f t="shared" ref="K232" si="62">(I232*H232)-D232</f>
        <v>6.96</v>
      </c>
      <c r="L232" s="127"/>
      <c r="M232" s="128"/>
      <c r="N232" s="128"/>
      <c r="O232" s="128"/>
      <c r="P232" s="128"/>
      <c r="Q232" s="129"/>
    </row>
    <row r="233" spans="1:17" ht="21" customHeight="1" x14ac:dyDescent="0.15">
      <c r="A233" s="148"/>
      <c r="B233" s="788" t="s">
        <v>1254</v>
      </c>
      <c r="C233" s="789"/>
      <c r="D233" s="143">
        <v>0</v>
      </c>
      <c r="E233" s="143">
        <v>1.35</v>
      </c>
      <c r="F233" s="143">
        <v>0.09</v>
      </c>
      <c r="G233" s="143">
        <v>2.65</v>
      </c>
      <c r="H233" s="143">
        <v>2</v>
      </c>
      <c r="I233" s="143">
        <f t="shared" ref="I233" si="63">G233*E233</f>
        <v>3.5775000000000001</v>
      </c>
      <c r="J233" s="133" t="s">
        <v>5</v>
      </c>
      <c r="K233" s="143">
        <f t="shared" ref="K233" si="64">(I233*H233)-D233</f>
        <v>7.1550000000000002</v>
      </c>
      <c r="L233" s="127"/>
      <c r="M233" s="128"/>
      <c r="N233" s="128"/>
      <c r="O233" s="128"/>
      <c r="P233" s="128"/>
      <c r="Q233" s="129"/>
    </row>
    <row r="234" spans="1:17" ht="14" x14ac:dyDescent="0.15">
      <c r="A234" s="795" t="s">
        <v>149</v>
      </c>
      <c r="B234" s="817"/>
      <c r="C234" s="817"/>
      <c r="D234" s="817"/>
      <c r="E234" s="817"/>
      <c r="F234" s="817"/>
      <c r="G234" s="817"/>
      <c r="H234" s="817"/>
      <c r="I234" s="817"/>
      <c r="J234" s="796"/>
      <c r="K234" s="418">
        <f>SUM(K228:K233)</f>
        <v>210.90120000000007</v>
      </c>
      <c r="L234" s="134"/>
      <c r="M234" s="135"/>
      <c r="N234" s="135"/>
      <c r="O234" s="135"/>
      <c r="P234" s="135"/>
      <c r="Q234" s="136"/>
    </row>
    <row r="235" spans="1:17" x14ac:dyDescent="0.15">
      <c r="A235" s="790"/>
      <c r="B235" s="791"/>
      <c r="C235" s="791"/>
      <c r="D235" s="791"/>
      <c r="E235" s="791"/>
      <c r="F235" s="791"/>
      <c r="G235" s="791"/>
      <c r="H235" s="791"/>
      <c r="I235" s="791"/>
      <c r="J235" s="791"/>
      <c r="K235" s="791"/>
      <c r="L235" s="791"/>
      <c r="M235" s="791"/>
      <c r="N235" s="791"/>
      <c r="O235" s="791"/>
      <c r="P235" s="791"/>
      <c r="Q235" s="792"/>
    </row>
    <row r="236" spans="1:17" s="121" customFormat="1" ht="18" customHeight="1" x14ac:dyDescent="0.15">
      <c r="A236" s="218" t="s">
        <v>0</v>
      </c>
      <c r="B236" s="838" t="s">
        <v>1026</v>
      </c>
      <c r="C236" s="839"/>
      <c r="D236" s="839"/>
      <c r="E236" s="839"/>
      <c r="F236" s="839"/>
      <c r="G236" s="839"/>
      <c r="H236" s="839"/>
      <c r="I236" s="839"/>
      <c r="J236" s="839"/>
      <c r="K236" s="839"/>
      <c r="L236" s="839"/>
      <c r="M236" s="839"/>
      <c r="N236" s="839"/>
      <c r="O236" s="216" t="s">
        <v>73</v>
      </c>
      <c r="P236" s="795" t="s">
        <v>5</v>
      </c>
      <c r="Q236" s="796"/>
    </row>
    <row r="237" spans="1:17" x14ac:dyDescent="0.15">
      <c r="A237" s="790"/>
      <c r="B237" s="791"/>
      <c r="C237" s="791"/>
      <c r="D237" s="791"/>
      <c r="E237" s="791"/>
      <c r="F237" s="791"/>
      <c r="G237" s="791"/>
      <c r="H237" s="791"/>
      <c r="I237" s="791"/>
      <c r="J237" s="791"/>
      <c r="K237" s="791"/>
      <c r="L237" s="791"/>
      <c r="M237" s="791"/>
      <c r="N237" s="791"/>
      <c r="O237" s="791"/>
      <c r="P237" s="791"/>
      <c r="Q237" s="792"/>
    </row>
    <row r="238" spans="1:17" s="126" customFormat="1" ht="12.75" customHeight="1" x14ac:dyDescent="0.15">
      <c r="A238" s="822" t="s">
        <v>150</v>
      </c>
      <c r="B238" s="823" t="s">
        <v>151</v>
      </c>
      <c r="C238" s="823"/>
      <c r="D238" s="832" t="s">
        <v>241</v>
      </c>
      <c r="E238" s="823" t="s">
        <v>152</v>
      </c>
      <c r="F238" s="823"/>
      <c r="G238" s="823"/>
      <c r="H238" s="802" t="s">
        <v>153</v>
      </c>
      <c r="I238" s="802" t="s">
        <v>159</v>
      </c>
      <c r="J238" s="804" t="s">
        <v>73</v>
      </c>
      <c r="K238" s="216" t="s">
        <v>154</v>
      </c>
      <c r="L238" s="123"/>
      <c r="M238" s="124"/>
      <c r="N238" s="124"/>
      <c r="O238" s="124"/>
      <c r="P238" s="124"/>
      <c r="Q238" s="125"/>
    </row>
    <row r="239" spans="1:17" s="130" customFormat="1" x14ac:dyDescent="0.15">
      <c r="A239" s="822"/>
      <c r="B239" s="823"/>
      <c r="C239" s="823"/>
      <c r="D239" s="833"/>
      <c r="E239" s="217" t="s">
        <v>155</v>
      </c>
      <c r="F239" s="217" t="s">
        <v>206</v>
      </c>
      <c r="G239" s="217" t="s">
        <v>157</v>
      </c>
      <c r="H239" s="803"/>
      <c r="I239" s="803"/>
      <c r="J239" s="805"/>
      <c r="K239" s="216" t="s">
        <v>158</v>
      </c>
      <c r="L239" s="127"/>
      <c r="M239" s="128"/>
      <c r="N239" s="128"/>
      <c r="O239" s="128"/>
      <c r="P239" s="128"/>
      <c r="Q239" s="129"/>
    </row>
    <row r="240" spans="1:17" ht="29.25" customHeight="1" x14ac:dyDescent="0.15">
      <c r="A240" s="148"/>
      <c r="B240" s="815" t="s">
        <v>1247</v>
      </c>
      <c r="C240" s="816"/>
      <c r="D240" s="143">
        <f>(9+2+1.08)+(4*2)</f>
        <v>20.079999999999998</v>
      </c>
      <c r="E240" s="143">
        <v>48.94</v>
      </c>
      <c r="F240" s="143">
        <v>0.02</v>
      </c>
      <c r="G240" s="143">
        <v>3.05</v>
      </c>
      <c r="H240" s="143">
        <v>1</v>
      </c>
      <c r="I240" s="143">
        <f t="shared" ref="I240:I252" si="65">G240*E240</f>
        <v>149.267</v>
      </c>
      <c r="J240" s="133" t="s">
        <v>5</v>
      </c>
      <c r="K240" s="143">
        <f t="shared" ref="K240:K252" si="66">(I240*H240)-D240</f>
        <v>129.18700000000001</v>
      </c>
      <c r="L240" s="127"/>
      <c r="M240" s="128"/>
      <c r="N240" s="128"/>
      <c r="O240" s="128"/>
      <c r="P240" s="128"/>
      <c r="Q240" s="129"/>
    </row>
    <row r="241" spans="1:17" ht="29.25" customHeight="1" x14ac:dyDescent="0.15">
      <c r="A241" s="148"/>
      <c r="B241" s="815" t="s">
        <v>1248</v>
      </c>
      <c r="C241" s="816"/>
      <c r="D241" s="143">
        <f>(9+2+1.08)+(4*2)</f>
        <v>20.079999999999998</v>
      </c>
      <c r="E241" s="143">
        <f>(2.74+2.85+4.46+2.92+2.59+2.8+2.91+2.59+2.92+1.1+4.96+1.1+2.85+2.74+2.91+2.8)</f>
        <v>45.240000000000009</v>
      </c>
      <c r="F241" s="143">
        <v>0.02</v>
      </c>
      <c r="G241" s="143">
        <v>2.5</v>
      </c>
      <c r="H241" s="143">
        <v>1</v>
      </c>
      <c r="I241" s="143">
        <f t="shared" si="65"/>
        <v>113.10000000000002</v>
      </c>
      <c r="J241" s="133" t="s">
        <v>5</v>
      </c>
      <c r="K241" s="143">
        <f t="shared" si="66"/>
        <v>93.020000000000024</v>
      </c>
      <c r="L241" s="127"/>
      <c r="M241" s="128"/>
      <c r="N241" s="128"/>
      <c r="O241" s="128"/>
      <c r="P241" s="128"/>
      <c r="Q241" s="129"/>
    </row>
    <row r="242" spans="1:17" ht="29.25" customHeight="1" x14ac:dyDescent="0.15">
      <c r="A242" s="148"/>
      <c r="B242" s="815" t="s">
        <v>1249</v>
      </c>
      <c r="C242" s="816"/>
      <c r="D242" s="143">
        <v>0</v>
      </c>
      <c r="E242" s="143">
        <v>5.16</v>
      </c>
      <c r="F242" s="143">
        <v>0.02</v>
      </c>
      <c r="G242" s="143">
        <v>0.35</v>
      </c>
      <c r="H242" s="143">
        <v>4</v>
      </c>
      <c r="I242" s="143">
        <f t="shared" ref="I242:I243" si="67">G242*E242</f>
        <v>1.8059999999999998</v>
      </c>
      <c r="J242" s="133" t="s">
        <v>5</v>
      </c>
      <c r="K242" s="143">
        <f t="shared" ref="K242:K243" si="68">(I242*H242)-D242</f>
        <v>7.2239999999999993</v>
      </c>
      <c r="L242" s="127"/>
      <c r="M242" s="128"/>
      <c r="N242" s="128"/>
      <c r="O242" s="128"/>
      <c r="P242" s="128"/>
      <c r="Q242" s="129"/>
    </row>
    <row r="243" spans="1:17" ht="29.25" customHeight="1" x14ac:dyDescent="0.15">
      <c r="A243" s="148"/>
      <c r="B243" s="815" t="s">
        <v>1250</v>
      </c>
      <c r="C243" s="816"/>
      <c r="D243" s="143">
        <v>0</v>
      </c>
      <c r="E243" s="143">
        <v>48.94</v>
      </c>
      <c r="F243" s="143">
        <v>0.02</v>
      </c>
      <c r="G243" s="143">
        <v>0.45</v>
      </c>
      <c r="H243" s="143">
        <v>1</v>
      </c>
      <c r="I243" s="143">
        <f t="shared" si="67"/>
        <v>22.023</v>
      </c>
      <c r="J243" s="133" t="s">
        <v>5</v>
      </c>
      <c r="K243" s="143">
        <f t="shared" si="68"/>
        <v>22.023</v>
      </c>
      <c r="L243" s="127"/>
      <c r="M243" s="128"/>
      <c r="N243" s="128"/>
      <c r="O243" s="128"/>
      <c r="P243" s="128"/>
      <c r="Q243" s="129"/>
    </row>
    <row r="244" spans="1:17" ht="29.25" customHeight="1" x14ac:dyDescent="0.15">
      <c r="A244" s="148"/>
      <c r="B244" s="815" t="s">
        <v>1245</v>
      </c>
      <c r="C244" s="816"/>
      <c r="D244" s="143">
        <f>2.4*2.5</f>
        <v>6</v>
      </c>
      <c r="E244" s="143">
        <f>(15.43+21.99)</f>
        <v>37.42</v>
      </c>
      <c r="F244" s="143">
        <v>0.02</v>
      </c>
      <c r="G244" s="143">
        <v>2.5</v>
      </c>
      <c r="H244" s="143">
        <v>2</v>
      </c>
      <c r="I244" s="143">
        <f t="shared" si="65"/>
        <v>93.550000000000011</v>
      </c>
      <c r="J244" s="133" t="s">
        <v>5</v>
      </c>
      <c r="K244" s="143">
        <f t="shared" si="66"/>
        <v>181.10000000000002</v>
      </c>
      <c r="L244" s="127"/>
      <c r="M244" s="128"/>
      <c r="N244" s="128"/>
      <c r="O244" s="128"/>
      <c r="P244" s="128"/>
      <c r="Q244" s="129"/>
    </row>
    <row r="245" spans="1:17" ht="21" customHeight="1" x14ac:dyDescent="0.15">
      <c r="A245" s="148"/>
      <c r="B245" s="788" t="s">
        <v>1246</v>
      </c>
      <c r="C245" s="789"/>
      <c r="D245" s="143">
        <v>0</v>
      </c>
      <c r="E245" s="143">
        <f>2.46</f>
        <v>2.46</v>
      </c>
      <c r="F245" s="143">
        <v>0.02</v>
      </c>
      <c r="G245" s="143">
        <v>0.435</v>
      </c>
      <c r="H245" s="143">
        <v>8</v>
      </c>
      <c r="I245" s="143">
        <f t="shared" si="65"/>
        <v>1.0701000000000001</v>
      </c>
      <c r="J245" s="133" t="s">
        <v>5</v>
      </c>
      <c r="K245" s="143">
        <f t="shared" si="66"/>
        <v>8.5608000000000004</v>
      </c>
      <c r="L245" s="127"/>
      <c r="M245" s="128"/>
      <c r="N245" s="128"/>
      <c r="O245" s="128"/>
      <c r="P245" s="128"/>
      <c r="Q245" s="129"/>
    </row>
    <row r="246" spans="1:17" ht="21" customHeight="1" x14ac:dyDescent="0.15">
      <c r="A246" s="148"/>
      <c r="B246" s="788" t="s">
        <v>1014</v>
      </c>
      <c r="C246" s="789"/>
      <c r="D246" s="143">
        <v>0</v>
      </c>
      <c r="E246" s="143">
        <v>0.5</v>
      </c>
      <c r="F246" s="143">
        <v>0.02</v>
      </c>
      <c r="G246" s="143">
        <v>2.5</v>
      </c>
      <c r="H246" s="143">
        <v>10</v>
      </c>
      <c r="I246" s="143">
        <f t="shared" si="65"/>
        <v>1.25</v>
      </c>
      <c r="J246" s="133" t="s">
        <v>5</v>
      </c>
      <c r="K246" s="143">
        <f t="shared" ref="K246" si="69">(I246*H246)-D246</f>
        <v>12.5</v>
      </c>
      <c r="L246" s="127"/>
      <c r="M246" s="128"/>
      <c r="N246" s="128"/>
      <c r="O246" s="128"/>
      <c r="P246" s="128"/>
      <c r="Q246" s="129"/>
    </row>
    <row r="247" spans="1:17" ht="21" customHeight="1" x14ac:dyDescent="0.15">
      <c r="A247" s="148"/>
      <c r="B247" s="788" t="s">
        <v>1261</v>
      </c>
      <c r="C247" s="789"/>
      <c r="D247" s="143">
        <v>0</v>
      </c>
      <c r="E247" s="143">
        <v>48.94</v>
      </c>
      <c r="F247" s="143">
        <v>0.02</v>
      </c>
      <c r="G247" s="143">
        <v>0.31</v>
      </c>
      <c r="H247" s="143">
        <v>1</v>
      </c>
      <c r="I247" s="143">
        <f t="shared" ref="I247" si="70">G247*E247</f>
        <v>15.171399999999998</v>
      </c>
      <c r="J247" s="133" t="s">
        <v>5</v>
      </c>
      <c r="K247" s="143">
        <f t="shared" ref="K247" si="71">(I247*H247)-D247</f>
        <v>15.171399999999998</v>
      </c>
      <c r="L247" s="127"/>
      <c r="M247" s="128"/>
      <c r="N247" s="128"/>
      <c r="O247" s="128"/>
      <c r="P247" s="128"/>
      <c r="Q247" s="129"/>
    </row>
    <row r="248" spans="1:17" ht="21" customHeight="1" x14ac:dyDescent="0.15">
      <c r="A248" s="148"/>
      <c r="B248" s="788" t="s">
        <v>1262</v>
      </c>
      <c r="C248" s="789"/>
      <c r="D248" s="143">
        <v>0</v>
      </c>
      <c r="E248" s="143">
        <v>40.96</v>
      </c>
      <c r="F248" s="143">
        <v>0.02</v>
      </c>
      <c r="G248" s="143">
        <v>0.31</v>
      </c>
      <c r="H248" s="143">
        <v>2</v>
      </c>
      <c r="I248" s="143">
        <f t="shared" ref="I248" si="72">G248*E248</f>
        <v>12.6976</v>
      </c>
      <c r="J248" s="133" t="s">
        <v>5</v>
      </c>
      <c r="K248" s="143">
        <f t="shared" ref="K248" si="73">(I248*H248)-D248</f>
        <v>25.395199999999999</v>
      </c>
      <c r="L248" s="127"/>
      <c r="M248" s="128"/>
      <c r="N248" s="128"/>
      <c r="O248" s="128"/>
      <c r="P248" s="128"/>
      <c r="Q248" s="129"/>
    </row>
    <row r="249" spans="1:17" ht="21" customHeight="1" x14ac:dyDescent="0.15">
      <c r="A249" s="148"/>
      <c r="B249" s="788" t="s">
        <v>1083</v>
      </c>
      <c r="C249" s="789"/>
      <c r="D249" s="143">
        <v>0</v>
      </c>
      <c r="E249" s="143">
        <v>1.35</v>
      </c>
      <c r="F249" s="143">
        <v>0.02</v>
      </c>
      <c r="G249" s="143">
        <v>2.5</v>
      </c>
      <c r="H249" s="143">
        <v>2</v>
      </c>
      <c r="I249" s="143">
        <f t="shared" si="65"/>
        <v>3.375</v>
      </c>
      <c r="J249" s="133" t="s">
        <v>5</v>
      </c>
      <c r="K249" s="143">
        <f t="shared" si="66"/>
        <v>6.75</v>
      </c>
      <c r="L249" s="127"/>
      <c r="M249" s="128"/>
      <c r="N249" s="128"/>
      <c r="O249" s="128"/>
      <c r="P249" s="128"/>
      <c r="Q249" s="129"/>
    </row>
    <row r="250" spans="1:17" ht="20.25" customHeight="1" x14ac:dyDescent="0.15">
      <c r="A250" s="148"/>
      <c r="B250" s="788" t="s">
        <v>1256</v>
      </c>
      <c r="C250" s="789"/>
      <c r="D250" s="143">
        <v>0</v>
      </c>
      <c r="E250" s="143">
        <v>8.08</v>
      </c>
      <c r="F250" s="143">
        <v>0.02</v>
      </c>
      <c r="G250" s="143">
        <v>0.75</v>
      </c>
      <c r="H250" s="143">
        <v>1</v>
      </c>
      <c r="I250" s="143">
        <f t="shared" si="65"/>
        <v>6.0600000000000005</v>
      </c>
      <c r="J250" s="133" t="s">
        <v>5</v>
      </c>
      <c r="K250" s="143">
        <f t="shared" si="66"/>
        <v>6.0600000000000005</v>
      </c>
      <c r="L250" s="127"/>
      <c r="M250" s="128"/>
      <c r="N250" s="128"/>
      <c r="O250" s="128"/>
      <c r="P250" s="128"/>
      <c r="Q250" s="129"/>
    </row>
    <row r="251" spans="1:17" ht="20.25" customHeight="1" x14ac:dyDescent="0.15">
      <c r="A251" s="148"/>
      <c r="B251" s="788" t="s">
        <v>1257</v>
      </c>
      <c r="C251" s="789"/>
      <c r="D251" s="143">
        <v>0</v>
      </c>
      <c r="E251" s="143">
        <v>3.05</v>
      </c>
      <c r="F251" s="143">
        <v>0.02</v>
      </c>
      <c r="G251" s="143">
        <v>0.75</v>
      </c>
      <c r="H251" s="143">
        <v>1</v>
      </c>
      <c r="I251" s="143">
        <f t="shared" ref="I251" si="74">G251*E251</f>
        <v>2.2874999999999996</v>
      </c>
      <c r="J251" s="133" t="s">
        <v>5</v>
      </c>
      <c r="K251" s="143">
        <f t="shared" ref="K251" si="75">(I251*H251)-D251</f>
        <v>2.2874999999999996</v>
      </c>
      <c r="L251" s="127"/>
      <c r="M251" s="128"/>
      <c r="N251" s="128"/>
      <c r="O251" s="128"/>
      <c r="P251" s="128"/>
      <c r="Q251" s="129"/>
    </row>
    <row r="252" spans="1:17" ht="20.25" customHeight="1" x14ac:dyDescent="0.15">
      <c r="A252" s="148"/>
      <c r="B252" s="788" t="s">
        <v>1258</v>
      </c>
      <c r="C252" s="789"/>
      <c r="D252" s="143">
        <v>0</v>
      </c>
      <c r="E252" s="143">
        <v>1.35</v>
      </c>
      <c r="F252" s="143">
        <v>0.02</v>
      </c>
      <c r="G252" s="143">
        <v>3.03</v>
      </c>
      <c r="H252" s="143">
        <v>2</v>
      </c>
      <c r="I252" s="143">
        <f t="shared" si="65"/>
        <v>4.0904999999999996</v>
      </c>
      <c r="J252" s="133" t="s">
        <v>5</v>
      </c>
      <c r="K252" s="143">
        <f t="shared" si="66"/>
        <v>8.1809999999999992</v>
      </c>
      <c r="L252" s="127"/>
      <c r="M252" s="128"/>
      <c r="N252" s="128"/>
      <c r="O252" s="128"/>
      <c r="P252" s="128"/>
      <c r="Q252" s="129"/>
    </row>
    <row r="253" spans="1:17" ht="20.25" customHeight="1" x14ac:dyDescent="0.15">
      <c r="A253" s="148"/>
      <c r="B253" s="788" t="s">
        <v>1259</v>
      </c>
      <c r="C253" s="789"/>
      <c r="D253" s="143">
        <v>0</v>
      </c>
      <c r="E253" s="143">
        <v>1.05</v>
      </c>
      <c r="F253" s="143">
        <v>0.02</v>
      </c>
      <c r="G253" s="143">
        <v>2.88</v>
      </c>
      <c r="H253" s="143">
        <v>4</v>
      </c>
      <c r="I253" s="143">
        <f t="shared" ref="I253" si="76">G253*E253</f>
        <v>3.024</v>
      </c>
      <c r="J253" s="133" t="s">
        <v>5</v>
      </c>
      <c r="K253" s="143">
        <f t="shared" ref="K253" si="77">(I253*H253)-D253</f>
        <v>12.096</v>
      </c>
      <c r="L253" s="127"/>
      <c r="M253" s="128"/>
      <c r="N253" s="128"/>
      <c r="O253" s="128"/>
      <c r="P253" s="128"/>
      <c r="Q253" s="129"/>
    </row>
    <row r="254" spans="1:17" ht="20.25" customHeight="1" x14ac:dyDescent="0.15">
      <c r="A254" s="148"/>
      <c r="B254" s="788" t="s">
        <v>1260</v>
      </c>
      <c r="C254" s="789"/>
      <c r="D254" s="143">
        <v>0</v>
      </c>
      <c r="E254" s="143">
        <v>0.9</v>
      </c>
      <c r="F254" s="143">
        <v>0.02</v>
      </c>
      <c r="G254" s="143">
        <v>3.36</v>
      </c>
      <c r="H254" s="143">
        <v>2</v>
      </c>
      <c r="I254" s="143">
        <f t="shared" ref="I254" si="78">G254*E254</f>
        <v>3.024</v>
      </c>
      <c r="J254" s="133" t="s">
        <v>5</v>
      </c>
      <c r="K254" s="143">
        <f t="shared" ref="K254" si="79">(I254*H254)-D254</f>
        <v>6.048</v>
      </c>
      <c r="L254" s="127"/>
      <c r="M254" s="128"/>
      <c r="N254" s="128"/>
      <c r="O254" s="128"/>
      <c r="P254" s="128"/>
      <c r="Q254" s="129"/>
    </row>
    <row r="255" spans="1:17" ht="14" x14ac:dyDescent="0.15">
      <c r="A255" s="795" t="s">
        <v>149</v>
      </c>
      <c r="B255" s="817"/>
      <c r="C255" s="817"/>
      <c r="D255" s="817"/>
      <c r="E255" s="817"/>
      <c r="F255" s="817"/>
      <c r="G255" s="817"/>
      <c r="H255" s="817"/>
      <c r="I255" s="817"/>
      <c r="J255" s="796"/>
      <c r="K255" s="418">
        <f>SUM(K240:K254)</f>
        <v>535.60390000000007</v>
      </c>
      <c r="L255" s="134"/>
      <c r="M255" s="135"/>
      <c r="N255" s="135"/>
      <c r="O255" s="135"/>
      <c r="P255" s="135"/>
      <c r="Q255" s="136"/>
    </row>
    <row r="256" spans="1:17" x14ac:dyDescent="0.15">
      <c r="A256" s="790"/>
      <c r="B256" s="791"/>
      <c r="C256" s="791"/>
      <c r="D256" s="791"/>
      <c r="E256" s="791"/>
      <c r="F256" s="791"/>
      <c r="G256" s="791"/>
      <c r="H256" s="791"/>
      <c r="I256" s="791"/>
      <c r="J256" s="791"/>
      <c r="K256" s="791"/>
      <c r="L256" s="791"/>
      <c r="M256" s="791"/>
      <c r="N256" s="791"/>
      <c r="O256" s="791"/>
      <c r="P256" s="791"/>
      <c r="Q256" s="792"/>
    </row>
    <row r="257" spans="1:20" s="121" customFormat="1" ht="18" customHeight="1" x14ac:dyDescent="0.15">
      <c r="A257" s="218" t="s">
        <v>0</v>
      </c>
      <c r="B257" s="838" t="s">
        <v>1095</v>
      </c>
      <c r="C257" s="839"/>
      <c r="D257" s="839"/>
      <c r="E257" s="839"/>
      <c r="F257" s="839"/>
      <c r="G257" s="839"/>
      <c r="H257" s="839"/>
      <c r="I257" s="839"/>
      <c r="J257" s="839"/>
      <c r="K257" s="839"/>
      <c r="L257" s="839"/>
      <c r="M257" s="839"/>
      <c r="N257" s="839"/>
      <c r="O257" s="216" t="s">
        <v>73</v>
      </c>
      <c r="P257" s="795" t="s">
        <v>5</v>
      </c>
      <c r="Q257" s="796"/>
    </row>
    <row r="258" spans="1:20" x14ac:dyDescent="0.15">
      <c r="A258" s="790"/>
      <c r="B258" s="791"/>
      <c r="C258" s="791"/>
      <c r="D258" s="791"/>
      <c r="E258" s="791"/>
      <c r="F258" s="791"/>
      <c r="G258" s="791"/>
      <c r="H258" s="791"/>
      <c r="I258" s="791"/>
      <c r="J258" s="791"/>
      <c r="K258" s="791"/>
      <c r="L258" s="791"/>
      <c r="M258" s="791"/>
      <c r="N258" s="791"/>
      <c r="O258" s="791"/>
      <c r="P258" s="791"/>
      <c r="Q258" s="792"/>
      <c r="T258" s="221"/>
    </row>
    <row r="259" spans="1:20" s="126" customFormat="1" ht="12.75" customHeight="1" x14ac:dyDescent="0.15">
      <c r="A259" s="822" t="s">
        <v>150</v>
      </c>
      <c r="B259" s="823" t="s">
        <v>151</v>
      </c>
      <c r="C259" s="823"/>
      <c r="D259" s="832" t="s">
        <v>241</v>
      </c>
      <c r="E259" s="823" t="s">
        <v>152</v>
      </c>
      <c r="F259" s="823"/>
      <c r="G259" s="823"/>
      <c r="H259" s="802" t="s">
        <v>153</v>
      </c>
      <c r="I259" s="802" t="s">
        <v>1096</v>
      </c>
      <c r="J259" s="804" t="s">
        <v>73</v>
      </c>
      <c r="K259" s="216" t="s">
        <v>154</v>
      </c>
      <c r="L259" s="123"/>
      <c r="M259" s="124"/>
      <c r="N259" s="124"/>
      <c r="O259" s="124"/>
      <c r="P259" s="124"/>
      <c r="Q259" s="125"/>
    </row>
    <row r="260" spans="1:20" s="130" customFormat="1" x14ac:dyDescent="0.15">
      <c r="A260" s="822"/>
      <c r="B260" s="823"/>
      <c r="C260" s="823"/>
      <c r="D260" s="833"/>
      <c r="E260" s="217" t="s">
        <v>155</v>
      </c>
      <c r="F260" s="217" t="s">
        <v>206</v>
      </c>
      <c r="G260" s="217" t="s">
        <v>1093</v>
      </c>
      <c r="H260" s="803"/>
      <c r="I260" s="803"/>
      <c r="J260" s="805"/>
      <c r="K260" s="216" t="s">
        <v>158</v>
      </c>
      <c r="L260" s="127"/>
      <c r="M260" s="128"/>
      <c r="N260" s="128"/>
      <c r="O260" s="128"/>
      <c r="P260" s="128"/>
      <c r="Q260" s="129"/>
    </row>
    <row r="261" spans="1:20" ht="29.25" customHeight="1" x14ac:dyDescent="0.15">
      <c r="A261" s="148"/>
      <c r="B261" s="815" t="s">
        <v>1097</v>
      </c>
      <c r="C261" s="816"/>
      <c r="D261" s="143">
        <v>0</v>
      </c>
      <c r="E261" s="143">
        <f>1.35+1.35+2.5+2.5</f>
        <v>7.7</v>
      </c>
      <c r="F261" s="143">
        <v>0.02</v>
      </c>
      <c r="G261" s="143">
        <v>0.12</v>
      </c>
      <c r="H261" s="143">
        <v>1</v>
      </c>
      <c r="I261" s="143">
        <f>E261</f>
        <v>7.7</v>
      </c>
      <c r="J261" s="133" t="s">
        <v>7</v>
      </c>
      <c r="K261" s="143">
        <f t="shared" ref="K261" si="80">(I261*H261)-D261</f>
        <v>7.7</v>
      </c>
      <c r="L261" s="127"/>
      <c r="M261" s="128"/>
      <c r="N261" s="128"/>
      <c r="O261" s="128"/>
      <c r="P261" s="128"/>
      <c r="Q261" s="129"/>
      <c r="T261" s="221"/>
    </row>
    <row r="262" spans="1:20" ht="14" x14ac:dyDescent="0.15">
      <c r="A262" s="795" t="s">
        <v>149</v>
      </c>
      <c r="B262" s="817"/>
      <c r="C262" s="817"/>
      <c r="D262" s="817"/>
      <c r="E262" s="817"/>
      <c r="F262" s="817"/>
      <c r="G262" s="817"/>
      <c r="H262" s="817"/>
      <c r="I262" s="817"/>
      <c r="J262" s="796"/>
      <c r="K262" s="418">
        <f>SUM(K261:K261)</f>
        <v>7.7</v>
      </c>
      <c r="L262" s="134"/>
      <c r="M262" s="135"/>
      <c r="N262" s="135"/>
      <c r="O262" s="135"/>
      <c r="P262" s="135"/>
      <c r="Q262" s="136"/>
      <c r="T262" s="121"/>
    </row>
    <row r="263" spans="1:20" x14ac:dyDescent="0.15">
      <c r="A263" s="790"/>
      <c r="B263" s="791"/>
      <c r="C263" s="791"/>
      <c r="D263" s="791"/>
      <c r="E263" s="791"/>
      <c r="F263" s="791"/>
      <c r="G263" s="791"/>
      <c r="H263" s="791"/>
      <c r="I263" s="791"/>
      <c r="J263" s="791"/>
      <c r="K263" s="791"/>
      <c r="L263" s="791"/>
      <c r="M263" s="791"/>
      <c r="N263" s="791"/>
      <c r="O263" s="791"/>
      <c r="P263" s="791"/>
      <c r="Q263" s="792"/>
    </row>
    <row r="264" spans="1:20" s="121" customFormat="1" ht="18" customHeight="1" x14ac:dyDescent="0.15">
      <c r="A264" s="218" t="s">
        <v>0</v>
      </c>
      <c r="B264" s="838" t="s">
        <v>1024</v>
      </c>
      <c r="C264" s="839"/>
      <c r="D264" s="839"/>
      <c r="E264" s="839"/>
      <c r="F264" s="839"/>
      <c r="G264" s="839"/>
      <c r="H264" s="839"/>
      <c r="I264" s="839"/>
      <c r="J264" s="839"/>
      <c r="K264" s="839"/>
      <c r="L264" s="839"/>
      <c r="M264" s="839"/>
      <c r="N264" s="840"/>
      <c r="O264" s="216" t="s">
        <v>73</v>
      </c>
      <c r="P264" s="795" t="s">
        <v>5</v>
      </c>
      <c r="Q264" s="796"/>
    </row>
    <row r="265" spans="1:20" x14ac:dyDescent="0.15">
      <c r="A265" s="790"/>
      <c r="B265" s="791"/>
      <c r="C265" s="791"/>
      <c r="D265" s="791"/>
      <c r="E265" s="791"/>
      <c r="F265" s="791"/>
      <c r="G265" s="791"/>
      <c r="H265" s="791"/>
      <c r="I265" s="791"/>
      <c r="J265" s="791"/>
      <c r="K265" s="791"/>
      <c r="L265" s="791"/>
      <c r="M265" s="791"/>
      <c r="N265" s="791"/>
      <c r="O265" s="791"/>
      <c r="P265" s="791"/>
      <c r="Q265" s="792"/>
    </row>
    <row r="266" spans="1:20" s="126" customFormat="1" ht="12.75" customHeight="1" x14ac:dyDescent="0.15">
      <c r="A266" s="822" t="s">
        <v>150</v>
      </c>
      <c r="B266" s="823" t="s">
        <v>151</v>
      </c>
      <c r="C266" s="823"/>
      <c r="D266" s="832" t="s">
        <v>241</v>
      </c>
      <c r="E266" s="823" t="s">
        <v>152</v>
      </c>
      <c r="F266" s="823"/>
      <c r="G266" s="823"/>
      <c r="H266" s="802" t="s">
        <v>153</v>
      </c>
      <c r="I266" s="802" t="s">
        <v>159</v>
      </c>
      <c r="J266" s="804" t="s">
        <v>73</v>
      </c>
      <c r="K266" s="216" t="s">
        <v>154</v>
      </c>
      <c r="L266" s="123"/>
      <c r="M266" s="124"/>
      <c r="N266" s="124"/>
      <c r="O266" s="124"/>
      <c r="P266" s="124"/>
      <c r="Q266" s="125"/>
    </row>
    <row r="267" spans="1:20" s="130" customFormat="1" x14ac:dyDescent="0.15">
      <c r="A267" s="822"/>
      <c r="B267" s="823"/>
      <c r="C267" s="823"/>
      <c r="D267" s="833"/>
      <c r="E267" s="217" t="s">
        <v>155</v>
      </c>
      <c r="F267" s="217" t="s">
        <v>156</v>
      </c>
      <c r="G267" s="217" t="s">
        <v>157</v>
      </c>
      <c r="H267" s="803"/>
      <c r="I267" s="803"/>
      <c r="J267" s="805"/>
      <c r="K267" s="216" t="s">
        <v>158</v>
      </c>
      <c r="L267" s="127"/>
      <c r="M267" s="128"/>
      <c r="N267" s="128"/>
      <c r="O267" s="128"/>
      <c r="P267" s="128"/>
      <c r="Q267" s="129"/>
    </row>
    <row r="268" spans="1:20" ht="29.25" customHeight="1" x14ac:dyDescent="0.15">
      <c r="A268" s="148"/>
      <c r="B268" s="815" t="s">
        <v>1247</v>
      </c>
      <c r="C268" s="816"/>
      <c r="D268" s="143">
        <f>(9+2+1.08)+(4*2)</f>
        <v>20.079999999999998</v>
      </c>
      <c r="E268" s="143">
        <v>48.94</v>
      </c>
      <c r="F268" s="143">
        <v>0</v>
      </c>
      <c r="G268" s="143">
        <v>3.05</v>
      </c>
      <c r="H268" s="143">
        <v>1</v>
      </c>
      <c r="I268" s="143">
        <f t="shared" ref="I268:I283" si="81">G268*E268</f>
        <v>149.267</v>
      </c>
      <c r="J268" s="133" t="s">
        <v>5</v>
      </c>
      <c r="K268" s="143">
        <f t="shared" ref="K268:K284" si="82">(I268*H268)-D268</f>
        <v>129.18700000000001</v>
      </c>
      <c r="L268" s="127"/>
      <c r="M268" s="128"/>
      <c r="N268" s="128"/>
      <c r="O268" s="128"/>
      <c r="P268" s="128"/>
      <c r="Q268" s="129"/>
    </row>
    <row r="269" spans="1:20" ht="29.25" customHeight="1" x14ac:dyDescent="0.15">
      <c r="A269" s="148"/>
      <c r="B269" s="815" t="s">
        <v>1248</v>
      </c>
      <c r="C269" s="816"/>
      <c r="D269" s="143">
        <f>(9+2+1.08)+(4*2)</f>
        <v>20.079999999999998</v>
      </c>
      <c r="E269" s="143">
        <f>(2.74+2.85+4.46+2.92+2.59+2.8+2.91+2.59+2.92+1.1+4.96+1.1+2.85+2.74+2.91+2.8)</f>
        <v>45.240000000000009</v>
      </c>
      <c r="F269" s="143">
        <v>0</v>
      </c>
      <c r="G269" s="143">
        <v>2.5</v>
      </c>
      <c r="H269" s="143">
        <v>1</v>
      </c>
      <c r="I269" s="143">
        <f t="shared" si="81"/>
        <v>113.10000000000002</v>
      </c>
      <c r="J269" s="133" t="s">
        <v>5</v>
      </c>
      <c r="K269" s="143">
        <f t="shared" si="82"/>
        <v>93.020000000000024</v>
      </c>
      <c r="L269" s="127"/>
      <c r="M269" s="128"/>
      <c r="N269" s="128"/>
      <c r="O269" s="128"/>
      <c r="P269" s="128"/>
      <c r="Q269" s="129"/>
    </row>
    <row r="270" spans="1:20" ht="29.25" customHeight="1" x14ac:dyDescent="0.15">
      <c r="A270" s="148"/>
      <c r="B270" s="815" t="s">
        <v>1249</v>
      </c>
      <c r="C270" s="816"/>
      <c r="D270" s="143">
        <v>0</v>
      </c>
      <c r="E270" s="143">
        <v>5.16</v>
      </c>
      <c r="F270" s="143">
        <v>0</v>
      </c>
      <c r="G270" s="143">
        <v>0.35</v>
      </c>
      <c r="H270" s="143">
        <v>4</v>
      </c>
      <c r="I270" s="143">
        <f t="shared" si="81"/>
        <v>1.8059999999999998</v>
      </c>
      <c r="J270" s="133" t="s">
        <v>5</v>
      </c>
      <c r="K270" s="143">
        <f t="shared" si="82"/>
        <v>7.2239999999999993</v>
      </c>
      <c r="L270" s="127"/>
      <c r="M270" s="128"/>
      <c r="N270" s="128"/>
      <c r="O270" s="128"/>
      <c r="P270" s="128"/>
      <c r="Q270" s="129"/>
    </row>
    <row r="271" spans="1:20" ht="29.25" customHeight="1" x14ac:dyDescent="0.15">
      <c r="A271" s="148"/>
      <c r="B271" s="815" t="s">
        <v>1250</v>
      </c>
      <c r="C271" s="816"/>
      <c r="D271" s="143">
        <v>0</v>
      </c>
      <c r="E271" s="143">
        <v>48.94</v>
      </c>
      <c r="F271" s="143">
        <v>0</v>
      </c>
      <c r="G271" s="143">
        <v>0.45</v>
      </c>
      <c r="H271" s="143">
        <v>1</v>
      </c>
      <c r="I271" s="143">
        <f t="shared" si="81"/>
        <v>22.023</v>
      </c>
      <c r="J271" s="133" t="s">
        <v>5</v>
      </c>
      <c r="K271" s="143">
        <f t="shared" si="82"/>
        <v>22.023</v>
      </c>
      <c r="L271" s="127"/>
      <c r="M271" s="128"/>
      <c r="N271" s="128"/>
      <c r="O271" s="128"/>
      <c r="P271" s="128"/>
      <c r="Q271" s="129"/>
    </row>
    <row r="272" spans="1:20" ht="29.25" customHeight="1" x14ac:dyDescent="0.15">
      <c r="A272" s="148"/>
      <c r="B272" s="815" t="s">
        <v>1245</v>
      </c>
      <c r="C272" s="816"/>
      <c r="D272" s="143">
        <f>2.4*2.5</f>
        <v>6</v>
      </c>
      <c r="E272" s="143">
        <f>(15.43+21.99)</f>
        <v>37.42</v>
      </c>
      <c r="F272" s="143">
        <v>0</v>
      </c>
      <c r="G272" s="143">
        <v>2.5</v>
      </c>
      <c r="H272" s="143">
        <v>2</v>
      </c>
      <c r="I272" s="143">
        <f t="shared" si="81"/>
        <v>93.550000000000011</v>
      </c>
      <c r="J272" s="133" t="s">
        <v>5</v>
      </c>
      <c r="K272" s="143">
        <f t="shared" si="82"/>
        <v>181.10000000000002</v>
      </c>
      <c r="L272" s="127"/>
      <c r="M272" s="128"/>
      <c r="N272" s="128"/>
      <c r="O272" s="128"/>
      <c r="P272" s="128"/>
      <c r="Q272" s="129"/>
    </row>
    <row r="273" spans="1:20" ht="21" customHeight="1" x14ac:dyDescent="0.15">
      <c r="A273" s="148"/>
      <c r="B273" s="788" t="s">
        <v>1246</v>
      </c>
      <c r="C273" s="789"/>
      <c r="D273" s="143">
        <v>0</v>
      </c>
      <c r="E273" s="143">
        <f>2.46</f>
        <v>2.46</v>
      </c>
      <c r="F273" s="143">
        <v>0</v>
      </c>
      <c r="G273" s="143">
        <v>0.435</v>
      </c>
      <c r="H273" s="143">
        <v>8</v>
      </c>
      <c r="I273" s="143">
        <f t="shared" si="81"/>
        <v>1.0701000000000001</v>
      </c>
      <c r="J273" s="133" t="s">
        <v>5</v>
      </c>
      <c r="K273" s="143">
        <f t="shared" si="82"/>
        <v>8.5608000000000004</v>
      </c>
      <c r="L273" s="127"/>
      <c r="M273" s="128"/>
      <c r="N273" s="128"/>
      <c r="O273" s="128"/>
      <c r="P273" s="128"/>
      <c r="Q273" s="129"/>
    </row>
    <row r="274" spans="1:20" ht="21" customHeight="1" x14ac:dyDescent="0.15">
      <c r="A274" s="148"/>
      <c r="B274" s="788" t="s">
        <v>1014</v>
      </c>
      <c r="C274" s="789"/>
      <c r="D274" s="143">
        <v>0</v>
      </c>
      <c r="E274" s="143">
        <v>0.5</v>
      </c>
      <c r="F274" s="143">
        <v>0</v>
      </c>
      <c r="G274" s="143">
        <v>2.5</v>
      </c>
      <c r="H274" s="143">
        <v>10</v>
      </c>
      <c r="I274" s="143">
        <f t="shared" si="81"/>
        <v>1.25</v>
      </c>
      <c r="J274" s="133" t="s">
        <v>5</v>
      </c>
      <c r="K274" s="143">
        <f t="shared" si="82"/>
        <v>12.5</v>
      </c>
      <c r="L274" s="127"/>
      <c r="M274" s="128"/>
      <c r="N274" s="128"/>
      <c r="O274" s="128"/>
      <c r="P274" s="128"/>
      <c r="Q274" s="129"/>
    </row>
    <row r="275" spans="1:20" ht="21" customHeight="1" x14ac:dyDescent="0.15">
      <c r="A275" s="148"/>
      <c r="B275" s="788" t="s">
        <v>1261</v>
      </c>
      <c r="C275" s="789"/>
      <c r="D275" s="143">
        <v>0</v>
      </c>
      <c r="E275" s="143">
        <v>48.94</v>
      </c>
      <c r="F275" s="143">
        <v>0</v>
      </c>
      <c r="G275" s="143">
        <v>0.31</v>
      </c>
      <c r="H275" s="143">
        <v>1</v>
      </c>
      <c r="I275" s="143">
        <f t="shared" si="81"/>
        <v>15.171399999999998</v>
      </c>
      <c r="J275" s="133" t="s">
        <v>5</v>
      </c>
      <c r="K275" s="143">
        <f t="shared" si="82"/>
        <v>15.171399999999998</v>
      </c>
      <c r="L275" s="127"/>
      <c r="M275" s="128"/>
      <c r="N275" s="128"/>
      <c r="O275" s="128"/>
      <c r="P275" s="128"/>
      <c r="Q275" s="129"/>
    </row>
    <row r="276" spans="1:20" ht="21" customHeight="1" x14ac:dyDescent="0.15">
      <c r="A276" s="148"/>
      <c r="B276" s="788" t="s">
        <v>1262</v>
      </c>
      <c r="C276" s="789"/>
      <c r="D276" s="143">
        <v>0</v>
      </c>
      <c r="E276" s="143">
        <v>40.96</v>
      </c>
      <c r="F276" s="143">
        <v>0</v>
      </c>
      <c r="G276" s="143">
        <v>0.31</v>
      </c>
      <c r="H276" s="143">
        <v>2</v>
      </c>
      <c r="I276" s="143">
        <f t="shared" si="81"/>
        <v>12.6976</v>
      </c>
      <c r="J276" s="133" t="s">
        <v>5</v>
      </c>
      <c r="K276" s="143">
        <f t="shared" si="82"/>
        <v>25.395199999999999</v>
      </c>
      <c r="L276" s="127"/>
      <c r="M276" s="128"/>
      <c r="N276" s="128"/>
      <c r="O276" s="128"/>
      <c r="P276" s="128"/>
      <c r="Q276" s="129"/>
    </row>
    <row r="277" spans="1:20" ht="21" customHeight="1" x14ac:dyDescent="0.15">
      <c r="A277" s="148"/>
      <c r="B277" s="788" t="s">
        <v>1083</v>
      </c>
      <c r="C277" s="789"/>
      <c r="D277" s="143">
        <v>0</v>
      </c>
      <c r="E277" s="143">
        <v>1.35</v>
      </c>
      <c r="F277" s="143">
        <v>0</v>
      </c>
      <c r="G277" s="143">
        <v>2.5</v>
      </c>
      <c r="H277" s="143">
        <v>2</v>
      </c>
      <c r="I277" s="143">
        <f t="shared" si="81"/>
        <v>3.375</v>
      </c>
      <c r="J277" s="133" t="s">
        <v>5</v>
      </c>
      <c r="K277" s="143">
        <f t="shared" si="82"/>
        <v>6.75</v>
      </c>
      <c r="L277" s="127"/>
      <c r="M277" s="128"/>
      <c r="N277" s="128"/>
      <c r="O277" s="128"/>
      <c r="P277" s="128"/>
      <c r="Q277" s="129"/>
    </row>
    <row r="278" spans="1:20" ht="20.25" customHeight="1" x14ac:dyDescent="0.15">
      <c r="A278" s="148"/>
      <c r="B278" s="788" t="s">
        <v>1255</v>
      </c>
      <c r="C278" s="789"/>
      <c r="D278" s="143">
        <v>0</v>
      </c>
      <c r="E278" s="143">
        <v>0.25</v>
      </c>
      <c r="F278" s="143">
        <v>0</v>
      </c>
      <c r="G278" s="143">
        <v>2.5</v>
      </c>
      <c r="H278" s="143">
        <v>3</v>
      </c>
      <c r="I278" s="143">
        <f t="shared" si="81"/>
        <v>0.625</v>
      </c>
      <c r="J278" s="133" t="s">
        <v>5</v>
      </c>
      <c r="K278" s="143">
        <f t="shared" si="82"/>
        <v>1.875</v>
      </c>
      <c r="L278" s="127"/>
      <c r="M278" s="128"/>
      <c r="N278" s="128"/>
      <c r="O278" s="128"/>
      <c r="P278" s="128"/>
      <c r="Q278" s="129"/>
    </row>
    <row r="279" spans="1:20" ht="20.25" customHeight="1" x14ac:dyDescent="0.15">
      <c r="A279" s="148"/>
      <c r="B279" s="788" t="s">
        <v>1256</v>
      </c>
      <c r="C279" s="789"/>
      <c r="D279" s="143">
        <v>0</v>
      </c>
      <c r="E279" s="143">
        <v>8.08</v>
      </c>
      <c r="F279" s="143">
        <v>0</v>
      </c>
      <c r="G279" s="143">
        <v>0.75</v>
      </c>
      <c r="H279" s="143">
        <v>1</v>
      </c>
      <c r="I279" s="143">
        <f t="shared" si="81"/>
        <v>6.0600000000000005</v>
      </c>
      <c r="J279" s="133" t="s">
        <v>5</v>
      </c>
      <c r="K279" s="143">
        <f t="shared" si="82"/>
        <v>6.0600000000000005</v>
      </c>
      <c r="L279" s="127"/>
      <c r="M279" s="128"/>
      <c r="N279" s="128"/>
      <c r="O279" s="128"/>
      <c r="P279" s="128"/>
      <c r="Q279" s="129"/>
    </row>
    <row r="280" spans="1:20" ht="20.25" customHeight="1" x14ac:dyDescent="0.15">
      <c r="A280" s="148"/>
      <c r="B280" s="788" t="s">
        <v>1257</v>
      </c>
      <c r="C280" s="789"/>
      <c r="D280" s="143">
        <v>0</v>
      </c>
      <c r="E280" s="143">
        <v>3.05</v>
      </c>
      <c r="F280" s="143">
        <v>0</v>
      </c>
      <c r="G280" s="143">
        <v>0.75</v>
      </c>
      <c r="H280" s="143">
        <v>1</v>
      </c>
      <c r="I280" s="143">
        <f t="shared" si="81"/>
        <v>2.2874999999999996</v>
      </c>
      <c r="J280" s="133" t="s">
        <v>5</v>
      </c>
      <c r="K280" s="143">
        <f t="shared" si="82"/>
        <v>2.2874999999999996</v>
      </c>
      <c r="L280" s="127"/>
      <c r="M280" s="128"/>
      <c r="N280" s="128"/>
      <c r="O280" s="128"/>
      <c r="P280" s="128"/>
      <c r="Q280" s="129"/>
    </row>
    <row r="281" spans="1:20" ht="20.25" customHeight="1" x14ac:dyDescent="0.15">
      <c r="A281" s="148"/>
      <c r="B281" s="788" t="s">
        <v>1258</v>
      </c>
      <c r="C281" s="789"/>
      <c r="D281" s="143">
        <v>0</v>
      </c>
      <c r="E281" s="143">
        <v>1.35</v>
      </c>
      <c r="F281" s="143">
        <v>0</v>
      </c>
      <c r="G281" s="143">
        <v>3.03</v>
      </c>
      <c r="H281" s="143">
        <v>2</v>
      </c>
      <c r="I281" s="143">
        <f t="shared" si="81"/>
        <v>4.0904999999999996</v>
      </c>
      <c r="J281" s="133" t="s">
        <v>5</v>
      </c>
      <c r="K281" s="143">
        <f t="shared" si="82"/>
        <v>8.1809999999999992</v>
      </c>
      <c r="L281" s="127"/>
      <c r="M281" s="128"/>
      <c r="N281" s="128"/>
      <c r="O281" s="128"/>
      <c r="P281" s="128"/>
      <c r="Q281" s="129"/>
    </row>
    <row r="282" spans="1:20" ht="20.25" customHeight="1" x14ac:dyDescent="0.15">
      <c r="A282" s="148"/>
      <c r="B282" s="788" t="s">
        <v>1259</v>
      </c>
      <c r="C282" s="789"/>
      <c r="D282" s="143">
        <v>0</v>
      </c>
      <c r="E282" s="143">
        <v>1.05</v>
      </c>
      <c r="F282" s="143">
        <v>0</v>
      </c>
      <c r="G282" s="143">
        <v>2.88</v>
      </c>
      <c r="H282" s="143">
        <v>4</v>
      </c>
      <c r="I282" s="143">
        <f t="shared" si="81"/>
        <v>3.024</v>
      </c>
      <c r="J282" s="133" t="s">
        <v>5</v>
      </c>
      <c r="K282" s="143">
        <f t="shared" si="82"/>
        <v>12.096</v>
      </c>
      <c r="L282" s="127"/>
      <c r="M282" s="128"/>
      <c r="N282" s="128"/>
      <c r="O282" s="128"/>
      <c r="P282" s="128"/>
      <c r="Q282" s="129"/>
    </row>
    <row r="283" spans="1:20" ht="20.25" customHeight="1" x14ac:dyDescent="0.15">
      <c r="A283" s="148"/>
      <c r="B283" s="788" t="s">
        <v>1260</v>
      </c>
      <c r="C283" s="789"/>
      <c r="D283" s="143">
        <v>0</v>
      </c>
      <c r="E283" s="143">
        <v>0.9</v>
      </c>
      <c r="F283" s="143">
        <v>0</v>
      </c>
      <c r="G283" s="143">
        <v>3.36</v>
      </c>
      <c r="H283" s="143">
        <v>2</v>
      </c>
      <c r="I283" s="143">
        <f t="shared" si="81"/>
        <v>3.024</v>
      </c>
      <c r="J283" s="133" t="s">
        <v>5</v>
      </c>
      <c r="K283" s="143">
        <f t="shared" si="82"/>
        <v>6.048</v>
      </c>
      <c r="L283" s="127"/>
      <c r="M283" s="128"/>
      <c r="N283" s="128"/>
      <c r="O283" s="128"/>
      <c r="P283" s="128"/>
      <c r="Q283" s="129"/>
    </row>
    <row r="284" spans="1:20" ht="29.25" customHeight="1" x14ac:dyDescent="0.15">
      <c r="A284" s="148"/>
      <c r="B284" s="815" t="s">
        <v>1097</v>
      </c>
      <c r="C284" s="816"/>
      <c r="D284" s="143">
        <v>0</v>
      </c>
      <c r="E284" s="143">
        <v>9.6</v>
      </c>
      <c r="F284" s="143">
        <v>0</v>
      </c>
      <c r="G284" s="143">
        <v>0.12</v>
      </c>
      <c r="H284" s="143">
        <v>3</v>
      </c>
      <c r="I284" s="143">
        <f>E284*G284</f>
        <v>1.1519999999999999</v>
      </c>
      <c r="J284" s="133" t="s">
        <v>7</v>
      </c>
      <c r="K284" s="143">
        <f t="shared" si="82"/>
        <v>3.4559999999999995</v>
      </c>
      <c r="L284" s="127"/>
      <c r="M284" s="128"/>
      <c r="N284" s="128"/>
      <c r="O284" s="128"/>
      <c r="P284" s="128"/>
      <c r="Q284" s="129"/>
      <c r="T284" s="221"/>
    </row>
    <row r="285" spans="1:20" ht="14" x14ac:dyDescent="0.15">
      <c r="A285" s="795" t="s">
        <v>149</v>
      </c>
      <c r="B285" s="817"/>
      <c r="C285" s="817"/>
      <c r="D285" s="817"/>
      <c r="E285" s="817"/>
      <c r="F285" s="817"/>
      <c r="G285" s="817"/>
      <c r="H285" s="817"/>
      <c r="I285" s="817"/>
      <c r="J285" s="796"/>
      <c r="K285" s="418">
        <f>SUM(K268:K284)</f>
        <v>540.93490000000008</v>
      </c>
      <c r="L285" s="134"/>
      <c r="M285" s="135"/>
      <c r="N285" s="135"/>
      <c r="O285" s="135"/>
      <c r="P285" s="135"/>
      <c r="Q285" s="136"/>
    </row>
    <row r="286" spans="1:20" x14ac:dyDescent="0.15">
      <c r="A286" s="790"/>
      <c r="B286" s="791"/>
      <c r="C286" s="791"/>
      <c r="D286" s="791"/>
      <c r="E286" s="791"/>
      <c r="F286" s="791"/>
      <c r="G286" s="791"/>
      <c r="H286" s="791"/>
      <c r="I286" s="791"/>
      <c r="J286" s="791"/>
      <c r="K286" s="791"/>
      <c r="L286" s="791"/>
      <c r="M286" s="791"/>
      <c r="N286" s="791"/>
      <c r="O286" s="791"/>
      <c r="P286" s="791"/>
      <c r="Q286" s="792"/>
    </row>
    <row r="287" spans="1:20" s="121" customFormat="1" ht="18" customHeight="1" x14ac:dyDescent="0.15">
      <c r="A287" s="218" t="s">
        <v>0</v>
      </c>
      <c r="B287" s="838" t="s">
        <v>1032</v>
      </c>
      <c r="C287" s="839"/>
      <c r="D287" s="839"/>
      <c r="E287" s="839"/>
      <c r="F287" s="839"/>
      <c r="G287" s="839"/>
      <c r="H287" s="839"/>
      <c r="I287" s="839"/>
      <c r="J287" s="839"/>
      <c r="K287" s="839"/>
      <c r="L287" s="839"/>
      <c r="M287" s="839"/>
      <c r="N287" s="839"/>
      <c r="O287" s="216" t="s">
        <v>73</v>
      </c>
      <c r="P287" s="795" t="s">
        <v>5</v>
      </c>
      <c r="Q287" s="796"/>
    </row>
    <row r="288" spans="1:20" x14ac:dyDescent="0.15">
      <c r="A288" s="790"/>
      <c r="B288" s="791"/>
      <c r="C288" s="791"/>
      <c r="D288" s="791"/>
      <c r="E288" s="791"/>
      <c r="F288" s="791"/>
      <c r="G288" s="791"/>
      <c r="H288" s="791"/>
      <c r="I288" s="791"/>
      <c r="J288" s="791"/>
      <c r="K288" s="791"/>
      <c r="L288" s="791"/>
      <c r="M288" s="791"/>
      <c r="N288" s="791"/>
      <c r="O288" s="791"/>
      <c r="P288" s="791"/>
      <c r="Q288" s="792"/>
    </row>
    <row r="289" spans="1:17" s="126" customFormat="1" ht="12.75" customHeight="1" x14ac:dyDescent="0.15">
      <c r="A289" s="822" t="s">
        <v>150</v>
      </c>
      <c r="B289" s="823" t="s">
        <v>151</v>
      </c>
      <c r="C289" s="823"/>
      <c r="D289" s="832" t="s">
        <v>241</v>
      </c>
      <c r="E289" s="823" t="s">
        <v>152</v>
      </c>
      <c r="F289" s="823"/>
      <c r="G289" s="823"/>
      <c r="H289" s="802" t="s">
        <v>153</v>
      </c>
      <c r="I289" s="802" t="s">
        <v>159</v>
      </c>
      <c r="J289" s="804" t="s">
        <v>73</v>
      </c>
      <c r="K289" s="216" t="s">
        <v>154</v>
      </c>
      <c r="L289" s="123"/>
      <c r="M289" s="124"/>
      <c r="N289" s="124"/>
      <c r="O289" s="124"/>
      <c r="P289" s="124"/>
      <c r="Q289" s="125"/>
    </row>
    <row r="290" spans="1:17" s="130" customFormat="1" x14ac:dyDescent="0.15">
      <c r="A290" s="822"/>
      <c r="B290" s="823"/>
      <c r="C290" s="823"/>
      <c r="D290" s="833"/>
      <c r="E290" s="217" t="s">
        <v>155</v>
      </c>
      <c r="F290" s="217" t="s">
        <v>156</v>
      </c>
      <c r="G290" s="217" t="s">
        <v>157</v>
      </c>
      <c r="H290" s="803"/>
      <c r="I290" s="803"/>
      <c r="J290" s="805"/>
      <c r="K290" s="216" t="s">
        <v>158</v>
      </c>
      <c r="L290" s="127"/>
      <c r="M290" s="128"/>
      <c r="N290" s="128"/>
      <c r="O290" s="128"/>
      <c r="P290" s="128"/>
      <c r="Q290" s="129"/>
    </row>
    <row r="291" spans="1:17" ht="29.25" customHeight="1" x14ac:dyDescent="0.15">
      <c r="A291" s="148"/>
      <c r="B291" s="815" t="s">
        <v>1247</v>
      </c>
      <c r="C291" s="816"/>
      <c r="D291" s="143">
        <f>(9+2+1.08)+(4*2)</f>
        <v>20.079999999999998</v>
      </c>
      <c r="E291" s="143">
        <v>48.94</v>
      </c>
      <c r="F291" s="143">
        <v>0</v>
      </c>
      <c r="G291" s="143">
        <v>3.05</v>
      </c>
      <c r="H291" s="143">
        <v>1</v>
      </c>
      <c r="I291" s="143">
        <f t="shared" ref="I291:I306" si="83">G291*E291</f>
        <v>149.267</v>
      </c>
      <c r="J291" s="133" t="s">
        <v>5</v>
      </c>
      <c r="K291" s="143">
        <f t="shared" ref="K291:K307" si="84">(I291*H291)-D291</f>
        <v>129.18700000000001</v>
      </c>
      <c r="L291" s="127"/>
      <c r="M291" s="128"/>
      <c r="N291" s="128"/>
      <c r="O291" s="128"/>
      <c r="P291" s="128"/>
      <c r="Q291" s="129"/>
    </row>
    <row r="292" spans="1:17" ht="29.25" customHeight="1" x14ac:dyDescent="0.15">
      <c r="A292" s="148"/>
      <c r="B292" s="815" t="s">
        <v>1248</v>
      </c>
      <c r="C292" s="816"/>
      <c r="D292" s="143">
        <f>(9+2+1.08)+(4*2)</f>
        <v>20.079999999999998</v>
      </c>
      <c r="E292" s="143">
        <f>(2.74+2.85+4.46+2.92+2.59+2.8+2.91+2.59+2.92+1.1+4.96+1.1+2.85+2.74+2.91+2.8)</f>
        <v>45.240000000000009</v>
      </c>
      <c r="F292" s="143">
        <v>0</v>
      </c>
      <c r="G292" s="143">
        <v>2.5</v>
      </c>
      <c r="H292" s="143">
        <v>1</v>
      </c>
      <c r="I292" s="143">
        <f t="shared" si="83"/>
        <v>113.10000000000002</v>
      </c>
      <c r="J292" s="133" t="s">
        <v>5</v>
      </c>
      <c r="K292" s="143">
        <f t="shared" si="84"/>
        <v>93.020000000000024</v>
      </c>
      <c r="L292" s="127"/>
      <c r="M292" s="128"/>
      <c r="N292" s="128"/>
      <c r="O292" s="128"/>
      <c r="P292" s="128"/>
      <c r="Q292" s="129"/>
    </row>
    <row r="293" spans="1:17" ht="29.25" customHeight="1" x14ac:dyDescent="0.15">
      <c r="A293" s="148"/>
      <c r="B293" s="815" t="s">
        <v>1249</v>
      </c>
      <c r="C293" s="816"/>
      <c r="D293" s="143">
        <v>0</v>
      </c>
      <c r="E293" s="143">
        <v>5.16</v>
      </c>
      <c r="F293" s="143">
        <v>0</v>
      </c>
      <c r="G293" s="143">
        <v>0.35</v>
      </c>
      <c r="H293" s="143">
        <v>4</v>
      </c>
      <c r="I293" s="143">
        <f t="shared" si="83"/>
        <v>1.8059999999999998</v>
      </c>
      <c r="J293" s="133" t="s">
        <v>5</v>
      </c>
      <c r="K293" s="143">
        <f t="shared" si="84"/>
        <v>7.2239999999999993</v>
      </c>
      <c r="L293" s="127"/>
      <c r="M293" s="128"/>
      <c r="N293" s="128"/>
      <c r="O293" s="128"/>
      <c r="P293" s="128"/>
      <c r="Q293" s="129"/>
    </row>
    <row r="294" spans="1:17" ht="29.25" customHeight="1" x14ac:dyDescent="0.15">
      <c r="A294" s="148"/>
      <c r="B294" s="815" t="s">
        <v>1250</v>
      </c>
      <c r="C294" s="816"/>
      <c r="D294" s="143">
        <v>0</v>
      </c>
      <c r="E294" s="143">
        <v>48.94</v>
      </c>
      <c r="F294" s="143">
        <v>0</v>
      </c>
      <c r="G294" s="143">
        <v>0.45</v>
      </c>
      <c r="H294" s="143">
        <v>1</v>
      </c>
      <c r="I294" s="143">
        <f t="shared" si="83"/>
        <v>22.023</v>
      </c>
      <c r="J294" s="133" t="s">
        <v>5</v>
      </c>
      <c r="K294" s="143">
        <f t="shared" si="84"/>
        <v>22.023</v>
      </c>
      <c r="L294" s="127"/>
      <c r="M294" s="128"/>
      <c r="N294" s="128"/>
      <c r="O294" s="128"/>
      <c r="P294" s="128"/>
      <c r="Q294" s="129"/>
    </row>
    <row r="295" spans="1:17" ht="29.25" customHeight="1" x14ac:dyDescent="0.15">
      <c r="A295" s="148"/>
      <c r="B295" s="815" t="s">
        <v>1245</v>
      </c>
      <c r="C295" s="816"/>
      <c r="D295" s="143">
        <f>2.4*2.5</f>
        <v>6</v>
      </c>
      <c r="E295" s="143">
        <f>(15.43+21.99)</f>
        <v>37.42</v>
      </c>
      <c r="F295" s="143">
        <v>0</v>
      </c>
      <c r="G295" s="143">
        <v>2.5</v>
      </c>
      <c r="H295" s="143">
        <v>2</v>
      </c>
      <c r="I295" s="143">
        <f t="shared" si="83"/>
        <v>93.550000000000011</v>
      </c>
      <c r="J295" s="133" t="s">
        <v>5</v>
      </c>
      <c r="K295" s="143">
        <f t="shared" si="84"/>
        <v>181.10000000000002</v>
      </c>
      <c r="L295" s="127"/>
      <c r="M295" s="128"/>
      <c r="N295" s="128"/>
      <c r="O295" s="128"/>
      <c r="P295" s="128"/>
      <c r="Q295" s="129"/>
    </row>
    <row r="296" spans="1:17" ht="21" customHeight="1" x14ac:dyDescent="0.15">
      <c r="A296" s="148"/>
      <c r="B296" s="788" t="s">
        <v>1246</v>
      </c>
      <c r="C296" s="789"/>
      <c r="D296" s="143">
        <v>0</v>
      </c>
      <c r="E296" s="143">
        <f>2.46</f>
        <v>2.46</v>
      </c>
      <c r="F296" s="143">
        <v>0</v>
      </c>
      <c r="G296" s="143">
        <v>0.435</v>
      </c>
      <c r="H296" s="143">
        <v>8</v>
      </c>
      <c r="I296" s="143">
        <f t="shared" si="83"/>
        <v>1.0701000000000001</v>
      </c>
      <c r="J296" s="133" t="s">
        <v>5</v>
      </c>
      <c r="K296" s="143">
        <f t="shared" si="84"/>
        <v>8.5608000000000004</v>
      </c>
      <c r="L296" s="127"/>
      <c r="M296" s="128"/>
      <c r="N296" s="128"/>
      <c r="O296" s="128"/>
      <c r="P296" s="128"/>
      <c r="Q296" s="129"/>
    </row>
    <row r="297" spans="1:17" ht="21" customHeight="1" x14ac:dyDescent="0.15">
      <c r="A297" s="148"/>
      <c r="B297" s="788" t="s">
        <v>1014</v>
      </c>
      <c r="C297" s="789"/>
      <c r="D297" s="143">
        <v>0</v>
      </c>
      <c r="E297" s="143">
        <v>0.5</v>
      </c>
      <c r="F297" s="143">
        <v>0</v>
      </c>
      <c r="G297" s="143">
        <v>2.5</v>
      </c>
      <c r="H297" s="143">
        <v>10</v>
      </c>
      <c r="I297" s="143">
        <f t="shared" si="83"/>
        <v>1.25</v>
      </c>
      <c r="J297" s="133" t="s">
        <v>5</v>
      </c>
      <c r="K297" s="143">
        <f t="shared" si="84"/>
        <v>12.5</v>
      </c>
      <c r="L297" s="127"/>
      <c r="M297" s="128"/>
      <c r="N297" s="128"/>
      <c r="O297" s="128"/>
      <c r="P297" s="128"/>
      <c r="Q297" s="129"/>
    </row>
    <row r="298" spans="1:17" ht="21" customHeight="1" x14ac:dyDescent="0.15">
      <c r="A298" s="148"/>
      <c r="B298" s="788" t="s">
        <v>1261</v>
      </c>
      <c r="C298" s="789"/>
      <c r="D298" s="143">
        <v>0</v>
      </c>
      <c r="E298" s="143">
        <v>48.94</v>
      </c>
      <c r="F298" s="143">
        <v>0</v>
      </c>
      <c r="G298" s="143">
        <v>0.31</v>
      </c>
      <c r="H298" s="143">
        <v>1</v>
      </c>
      <c r="I298" s="143">
        <f t="shared" si="83"/>
        <v>15.171399999999998</v>
      </c>
      <c r="J298" s="133" t="s">
        <v>5</v>
      </c>
      <c r="K298" s="143">
        <f t="shared" si="84"/>
        <v>15.171399999999998</v>
      </c>
      <c r="L298" s="127"/>
      <c r="M298" s="128"/>
      <c r="N298" s="128"/>
      <c r="O298" s="128"/>
      <c r="P298" s="128"/>
      <c r="Q298" s="129"/>
    </row>
    <row r="299" spans="1:17" ht="21" customHeight="1" x14ac:dyDescent="0.15">
      <c r="A299" s="148"/>
      <c r="B299" s="788" t="s">
        <v>1262</v>
      </c>
      <c r="C299" s="789"/>
      <c r="D299" s="143">
        <v>0</v>
      </c>
      <c r="E299" s="143">
        <v>40.96</v>
      </c>
      <c r="F299" s="143">
        <v>0</v>
      </c>
      <c r="G299" s="143">
        <v>0.31</v>
      </c>
      <c r="H299" s="143">
        <v>2</v>
      </c>
      <c r="I299" s="143">
        <f t="shared" si="83"/>
        <v>12.6976</v>
      </c>
      <c r="J299" s="133" t="s">
        <v>5</v>
      </c>
      <c r="K299" s="143">
        <f t="shared" si="84"/>
        <v>25.395199999999999</v>
      </c>
      <c r="L299" s="127"/>
      <c r="M299" s="128"/>
      <c r="N299" s="128"/>
      <c r="O299" s="128"/>
      <c r="P299" s="128"/>
      <c r="Q299" s="129"/>
    </row>
    <row r="300" spans="1:17" ht="21" customHeight="1" x14ac:dyDescent="0.15">
      <c r="A300" s="148"/>
      <c r="B300" s="788" t="s">
        <v>1083</v>
      </c>
      <c r="C300" s="789"/>
      <c r="D300" s="143">
        <v>0</v>
      </c>
      <c r="E300" s="143">
        <v>1.35</v>
      </c>
      <c r="F300" s="143">
        <v>0</v>
      </c>
      <c r="G300" s="143">
        <v>2.5</v>
      </c>
      <c r="H300" s="143">
        <v>2</v>
      </c>
      <c r="I300" s="143">
        <f t="shared" si="83"/>
        <v>3.375</v>
      </c>
      <c r="J300" s="133" t="s">
        <v>5</v>
      </c>
      <c r="K300" s="143">
        <f t="shared" si="84"/>
        <v>6.75</v>
      </c>
      <c r="L300" s="127"/>
      <c r="M300" s="128"/>
      <c r="N300" s="128"/>
      <c r="O300" s="128"/>
      <c r="P300" s="128"/>
      <c r="Q300" s="129"/>
    </row>
    <row r="301" spans="1:17" ht="20.25" customHeight="1" x14ac:dyDescent="0.15">
      <c r="A301" s="148"/>
      <c r="B301" s="788" t="s">
        <v>1255</v>
      </c>
      <c r="C301" s="789"/>
      <c r="D301" s="143">
        <v>0</v>
      </c>
      <c r="E301" s="143">
        <v>0.25</v>
      </c>
      <c r="F301" s="143">
        <v>0</v>
      </c>
      <c r="G301" s="143">
        <v>2.5</v>
      </c>
      <c r="H301" s="143">
        <v>3</v>
      </c>
      <c r="I301" s="143">
        <f t="shared" si="83"/>
        <v>0.625</v>
      </c>
      <c r="J301" s="133" t="s">
        <v>5</v>
      </c>
      <c r="K301" s="143">
        <f t="shared" si="84"/>
        <v>1.875</v>
      </c>
      <c r="L301" s="127"/>
      <c r="M301" s="128"/>
      <c r="N301" s="128"/>
      <c r="O301" s="128"/>
      <c r="P301" s="128"/>
      <c r="Q301" s="129"/>
    </row>
    <row r="302" spans="1:17" ht="20.25" customHeight="1" x14ac:dyDescent="0.15">
      <c r="A302" s="148"/>
      <c r="B302" s="788" t="s">
        <v>1256</v>
      </c>
      <c r="C302" s="789"/>
      <c r="D302" s="143">
        <v>0</v>
      </c>
      <c r="E302" s="143">
        <v>8.08</v>
      </c>
      <c r="F302" s="143">
        <v>0</v>
      </c>
      <c r="G302" s="143">
        <v>0.75</v>
      </c>
      <c r="H302" s="143">
        <v>1</v>
      </c>
      <c r="I302" s="143">
        <f t="shared" si="83"/>
        <v>6.0600000000000005</v>
      </c>
      <c r="J302" s="133" t="s">
        <v>5</v>
      </c>
      <c r="K302" s="143">
        <f t="shared" si="84"/>
        <v>6.0600000000000005</v>
      </c>
      <c r="L302" s="127"/>
      <c r="M302" s="128"/>
      <c r="N302" s="128"/>
      <c r="O302" s="128"/>
      <c r="P302" s="128"/>
      <c r="Q302" s="129"/>
    </row>
    <row r="303" spans="1:17" ht="20.25" customHeight="1" x14ac:dyDescent="0.15">
      <c r="A303" s="148"/>
      <c r="B303" s="788" t="s">
        <v>1257</v>
      </c>
      <c r="C303" s="789"/>
      <c r="D303" s="143">
        <v>0</v>
      </c>
      <c r="E303" s="143">
        <v>3.05</v>
      </c>
      <c r="F303" s="143">
        <v>0</v>
      </c>
      <c r="G303" s="143">
        <v>0.75</v>
      </c>
      <c r="H303" s="143">
        <v>1</v>
      </c>
      <c r="I303" s="143">
        <f t="shared" si="83"/>
        <v>2.2874999999999996</v>
      </c>
      <c r="J303" s="133" t="s">
        <v>5</v>
      </c>
      <c r="K303" s="143">
        <f t="shared" si="84"/>
        <v>2.2874999999999996</v>
      </c>
      <c r="L303" s="127"/>
      <c r="M303" s="128"/>
      <c r="N303" s="128"/>
      <c r="O303" s="128"/>
      <c r="P303" s="128"/>
      <c r="Q303" s="129"/>
    </row>
    <row r="304" spans="1:17" ht="20.25" customHeight="1" x14ac:dyDescent="0.15">
      <c r="A304" s="148"/>
      <c r="B304" s="788" t="s">
        <v>1258</v>
      </c>
      <c r="C304" s="789"/>
      <c r="D304" s="143">
        <v>0</v>
      </c>
      <c r="E304" s="143">
        <v>1.35</v>
      </c>
      <c r="F304" s="143">
        <v>0</v>
      </c>
      <c r="G304" s="143">
        <v>3.03</v>
      </c>
      <c r="H304" s="143">
        <v>2</v>
      </c>
      <c r="I304" s="143">
        <f t="shared" si="83"/>
        <v>4.0904999999999996</v>
      </c>
      <c r="J304" s="133" t="s">
        <v>5</v>
      </c>
      <c r="K304" s="143">
        <f t="shared" si="84"/>
        <v>8.1809999999999992</v>
      </c>
      <c r="L304" s="127"/>
      <c r="M304" s="128"/>
      <c r="N304" s="128"/>
      <c r="O304" s="128"/>
      <c r="P304" s="128"/>
      <c r="Q304" s="129"/>
    </row>
    <row r="305" spans="1:20" ht="20.25" customHeight="1" x14ac:dyDescent="0.15">
      <c r="A305" s="148"/>
      <c r="B305" s="788" t="s">
        <v>1259</v>
      </c>
      <c r="C305" s="789"/>
      <c r="D305" s="143">
        <v>0</v>
      </c>
      <c r="E305" s="143">
        <v>1.05</v>
      </c>
      <c r="F305" s="143">
        <v>0</v>
      </c>
      <c r="G305" s="143">
        <v>2.88</v>
      </c>
      <c r="H305" s="143">
        <v>4</v>
      </c>
      <c r="I305" s="143">
        <f t="shared" si="83"/>
        <v>3.024</v>
      </c>
      <c r="J305" s="133" t="s">
        <v>5</v>
      </c>
      <c r="K305" s="143">
        <f t="shared" si="84"/>
        <v>12.096</v>
      </c>
      <c r="L305" s="127"/>
      <c r="M305" s="128"/>
      <c r="N305" s="128"/>
      <c r="O305" s="128"/>
      <c r="P305" s="128"/>
      <c r="Q305" s="129"/>
    </row>
    <row r="306" spans="1:20" ht="20.25" customHeight="1" x14ac:dyDescent="0.15">
      <c r="A306" s="148"/>
      <c r="B306" s="788" t="s">
        <v>1260</v>
      </c>
      <c r="C306" s="789"/>
      <c r="D306" s="143">
        <v>0</v>
      </c>
      <c r="E306" s="143">
        <v>0.9</v>
      </c>
      <c r="F306" s="143">
        <v>0</v>
      </c>
      <c r="G306" s="143">
        <v>3.36</v>
      </c>
      <c r="H306" s="143">
        <v>2</v>
      </c>
      <c r="I306" s="143">
        <f t="shared" si="83"/>
        <v>3.024</v>
      </c>
      <c r="J306" s="133" t="s">
        <v>5</v>
      </c>
      <c r="K306" s="143">
        <f t="shared" si="84"/>
        <v>6.048</v>
      </c>
      <c r="L306" s="127"/>
      <c r="M306" s="128"/>
      <c r="N306" s="128"/>
      <c r="O306" s="128"/>
      <c r="P306" s="128"/>
      <c r="Q306" s="129"/>
    </row>
    <row r="307" spans="1:20" ht="29.25" customHeight="1" x14ac:dyDescent="0.15">
      <c r="A307" s="148"/>
      <c r="B307" s="815" t="s">
        <v>1097</v>
      </c>
      <c r="C307" s="816"/>
      <c r="D307" s="143">
        <v>0</v>
      </c>
      <c r="E307" s="143">
        <v>9.6</v>
      </c>
      <c r="F307" s="143">
        <v>0</v>
      </c>
      <c r="G307" s="143">
        <v>0.12</v>
      </c>
      <c r="H307" s="143">
        <v>3</v>
      </c>
      <c r="I307" s="143">
        <f>E307*G307</f>
        <v>1.1519999999999999</v>
      </c>
      <c r="J307" s="133" t="s">
        <v>7</v>
      </c>
      <c r="K307" s="143">
        <f t="shared" si="84"/>
        <v>3.4559999999999995</v>
      </c>
      <c r="L307" s="127"/>
      <c r="M307" s="128"/>
      <c r="N307" s="128"/>
      <c r="O307" s="128"/>
      <c r="P307" s="128"/>
      <c r="Q307" s="129"/>
      <c r="T307" s="221"/>
    </row>
    <row r="308" spans="1:20" ht="14" x14ac:dyDescent="0.15">
      <c r="A308" s="795" t="s">
        <v>149</v>
      </c>
      <c r="B308" s="817"/>
      <c r="C308" s="817"/>
      <c r="D308" s="817"/>
      <c r="E308" s="817"/>
      <c r="F308" s="817"/>
      <c r="G308" s="817"/>
      <c r="H308" s="817"/>
      <c r="I308" s="817"/>
      <c r="J308" s="796"/>
      <c r="K308" s="418">
        <f>SUM(K291:K307)</f>
        <v>540.93490000000008</v>
      </c>
      <c r="L308" s="134"/>
      <c r="M308" s="135"/>
      <c r="N308" s="135"/>
      <c r="O308" s="135"/>
      <c r="P308" s="135"/>
      <c r="Q308" s="136"/>
    </row>
    <row r="309" spans="1:20" x14ac:dyDescent="0.15">
      <c r="A309" s="790"/>
      <c r="B309" s="791"/>
      <c r="C309" s="791"/>
      <c r="D309" s="791"/>
      <c r="E309" s="791"/>
      <c r="F309" s="791"/>
      <c r="G309" s="791"/>
      <c r="H309" s="791"/>
      <c r="I309" s="791"/>
      <c r="J309" s="791"/>
      <c r="K309" s="791"/>
      <c r="L309" s="791"/>
      <c r="M309" s="791"/>
      <c r="N309" s="791"/>
      <c r="O309" s="791"/>
      <c r="P309" s="791"/>
      <c r="Q309" s="792"/>
    </row>
    <row r="310" spans="1:20" s="121" customFormat="1" ht="18" customHeight="1" x14ac:dyDescent="0.15">
      <c r="A310" s="218" t="s">
        <v>0</v>
      </c>
      <c r="B310" s="838" t="s">
        <v>1029</v>
      </c>
      <c r="C310" s="839"/>
      <c r="D310" s="839"/>
      <c r="E310" s="839"/>
      <c r="F310" s="839"/>
      <c r="G310" s="839"/>
      <c r="H310" s="839"/>
      <c r="I310" s="839"/>
      <c r="J310" s="839"/>
      <c r="K310" s="839"/>
      <c r="L310" s="839"/>
      <c r="M310" s="839"/>
      <c r="N310" s="839"/>
      <c r="O310" s="216" t="s">
        <v>73</v>
      </c>
      <c r="P310" s="795" t="s">
        <v>5</v>
      </c>
      <c r="Q310" s="796"/>
    </row>
    <row r="311" spans="1:20" x14ac:dyDescent="0.15">
      <c r="A311" s="790"/>
      <c r="B311" s="791"/>
      <c r="C311" s="791"/>
      <c r="D311" s="791"/>
      <c r="E311" s="791"/>
      <c r="F311" s="791"/>
      <c r="G311" s="791"/>
      <c r="H311" s="791"/>
      <c r="I311" s="791"/>
      <c r="J311" s="791"/>
      <c r="K311" s="791"/>
      <c r="L311" s="791"/>
      <c r="M311" s="791"/>
      <c r="N311" s="791"/>
      <c r="O311" s="791"/>
      <c r="P311" s="791"/>
      <c r="Q311" s="792"/>
    </row>
    <row r="312" spans="1:20" s="126" customFormat="1" x14ac:dyDescent="0.15">
      <c r="A312" s="822" t="s">
        <v>150</v>
      </c>
      <c r="B312" s="823" t="s">
        <v>151</v>
      </c>
      <c r="C312" s="823"/>
      <c r="D312" s="832" t="s">
        <v>264</v>
      </c>
      <c r="E312" s="823" t="s">
        <v>152</v>
      </c>
      <c r="F312" s="823"/>
      <c r="G312" s="823"/>
      <c r="H312" s="802" t="s">
        <v>153</v>
      </c>
      <c r="I312" s="802" t="s">
        <v>159</v>
      </c>
      <c r="J312" s="804" t="s">
        <v>73</v>
      </c>
      <c r="K312" s="216" t="s">
        <v>154</v>
      </c>
      <c r="L312" s="123"/>
      <c r="M312" s="124"/>
      <c r="N312" s="124"/>
      <c r="O312" s="124"/>
      <c r="P312" s="124"/>
      <c r="Q312" s="125"/>
    </row>
    <row r="313" spans="1:20" s="130" customFormat="1" x14ac:dyDescent="0.15">
      <c r="A313" s="822"/>
      <c r="B313" s="823"/>
      <c r="C313" s="823"/>
      <c r="D313" s="833"/>
      <c r="E313" s="217" t="s">
        <v>155</v>
      </c>
      <c r="F313" s="217" t="s">
        <v>156</v>
      </c>
      <c r="G313" s="217" t="s">
        <v>157</v>
      </c>
      <c r="H313" s="803"/>
      <c r="I313" s="803"/>
      <c r="J313" s="805"/>
      <c r="K313" s="216" t="s">
        <v>158</v>
      </c>
      <c r="L313" s="127"/>
      <c r="M313" s="128"/>
      <c r="N313" s="128"/>
      <c r="O313" s="128"/>
      <c r="P313" s="128"/>
      <c r="Q313" s="129"/>
    </row>
    <row r="314" spans="1:20" ht="19.5" customHeight="1" x14ac:dyDescent="0.15">
      <c r="A314" s="148"/>
      <c r="B314" s="815" t="s">
        <v>1240</v>
      </c>
      <c r="C314" s="816"/>
      <c r="D314" s="143">
        <v>47.56</v>
      </c>
      <c r="E314" s="143">
        <v>0</v>
      </c>
      <c r="F314" s="143">
        <v>0</v>
      </c>
      <c r="G314" s="143">
        <v>0</v>
      </c>
      <c r="H314" s="143">
        <v>1</v>
      </c>
      <c r="I314" s="143">
        <f>D314</f>
        <v>47.56</v>
      </c>
      <c r="J314" s="133" t="s">
        <v>5</v>
      </c>
      <c r="K314" s="143">
        <f>I314*H314</f>
        <v>47.56</v>
      </c>
      <c r="L314" s="127"/>
      <c r="M314" s="128"/>
      <c r="N314" s="128"/>
      <c r="O314" s="128"/>
      <c r="P314" s="128"/>
      <c r="Q314" s="129"/>
    </row>
    <row r="315" spans="1:20" ht="19.5" customHeight="1" x14ac:dyDescent="0.15">
      <c r="A315" s="148"/>
      <c r="B315" s="815" t="s">
        <v>1241</v>
      </c>
      <c r="C315" s="816"/>
      <c r="D315" s="143">
        <v>32.840000000000003</v>
      </c>
      <c r="E315" s="143">
        <v>0</v>
      </c>
      <c r="F315" s="143">
        <v>0</v>
      </c>
      <c r="G315" s="143">
        <v>0</v>
      </c>
      <c r="H315" s="143">
        <v>1</v>
      </c>
      <c r="I315" s="143">
        <f>D315</f>
        <v>32.840000000000003</v>
      </c>
      <c r="J315" s="133" t="s">
        <v>5</v>
      </c>
      <c r="K315" s="143">
        <f>I315*H315</f>
        <v>32.840000000000003</v>
      </c>
      <c r="L315" s="127"/>
      <c r="M315" s="128"/>
      <c r="N315" s="128"/>
      <c r="O315" s="128"/>
      <c r="P315" s="128"/>
      <c r="Q315" s="129"/>
    </row>
    <row r="316" spans="1:20" ht="19.5" customHeight="1" x14ac:dyDescent="0.15">
      <c r="A316" s="148"/>
      <c r="B316" s="815" t="s">
        <v>1591</v>
      </c>
      <c r="C316" s="816"/>
      <c r="D316" s="143">
        <v>0</v>
      </c>
      <c r="E316" s="143">
        <v>7.5</v>
      </c>
      <c r="F316" s="143">
        <v>3.56</v>
      </c>
      <c r="G316" s="143">
        <v>0</v>
      </c>
      <c r="H316" s="143">
        <v>1</v>
      </c>
      <c r="I316" s="143">
        <f>E316*F316</f>
        <v>26.7</v>
      </c>
      <c r="J316" s="133" t="s">
        <v>5</v>
      </c>
      <c r="K316" s="143">
        <f>I316*H316</f>
        <v>26.7</v>
      </c>
      <c r="L316" s="127"/>
      <c r="M316" s="128"/>
      <c r="N316" s="128"/>
      <c r="O316" s="128"/>
      <c r="P316" s="128"/>
      <c r="Q316" s="129"/>
    </row>
    <row r="317" spans="1:20" ht="14" x14ac:dyDescent="0.15">
      <c r="A317" s="795" t="s">
        <v>149</v>
      </c>
      <c r="B317" s="817"/>
      <c r="C317" s="817"/>
      <c r="D317" s="817"/>
      <c r="E317" s="817"/>
      <c r="F317" s="817"/>
      <c r="G317" s="817"/>
      <c r="H317" s="817"/>
      <c r="I317" s="817"/>
      <c r="J317" s="796"/>
      <c r="K317" s="418">
        <f>SUM(K314:K316)</f>
        <v>107.10000000000001</v>
      </c>
      <c r="L317" s="134"/>
      <c r="M317" s="135"/>
      <c r="N317" s="135"/>
      <c r="O317" s="135"/>
      <c r="P317" s="135"/>
      <c r="Q317" s="136"/>
    </row>
    <row r="318" spans="1:20" x14ac:dyDescent="0.15">
      <c r="A318" s="790"/>
      <c r="B318" s="791"/>
      <c r="C318" s="791"/>
      <c r="D318" s="791"/>
      <c r="E318" s="791"/>
      <c r="F318" s="791"/>
      <c r="G318" s="791"/>
      <c r="H318" s="791"/>
      <c r="I318" s="791"/>
      <c r="J318" s="791"/>
      <c r="K318" s="791"/>
      <c r="L318" s="791"/>
      <c r="M318" s="791"/>
      <c r="N318" s="791"/>
      <c r="O318" s="791"/>
      <c r="P318" s="791"/>
      <c r="Q318" s="792"/>
    </row>
    <row r="319" spans="1:20" s="121" customFormat="1" ht="18" customHeight="1" x14ac:dyDescent="0.15">
      <c r="A319" s="218" t="s">
        <v>0</v>
      </c>
      <c r="B319" s="838" t="s">
        <v>1030</v>
      </c>
      <c r="C319" s="839"/>
      <c r="D319" s="839"/>
      <c r="E319" s="839"/>
      <c r="F319" s="839"/>
      <c r="G319" s="839"/>
      <c r="H319" s="839"/>
      <c r="I319" s="839"/>
      <c r="J319" s="839"/>
      <c r="K319" s="839"/>
      <c r="L319" s="839"/>
      <c r="M319" s="839"/>
      <c r="N319" s="839"/>
      <c r="O319" s="216" t="s">
        <v>73</v>
      </c>
      <c r="P319" s="795" t="s">
        <v>193</v>
      </c>
      <c r="Q319" s="796"/>
    </row>
    <row r="320" spans="1:20" x14ac:dyDescent="0.15">
      <c r="A320" s="790"/>
      <c r="B320" s="791"/>
      <c r="C320" s="791"/>
      <c r="D320" s="791"/>
      <c r="E320" s="791"/>
      <c r="F320" s="791"/>
      <c r="G320" s="791"/>
      <c r="H320" s="791"/>
      <c r="I320" s="791"/>
      <c r="J320" s="791"/>
      <c r="K320" s="791"/>
      <c r="L320" s="791"/>
      <c r="M320" s="791"/>
      <c r="N320" s="791"/>
      <c r="O320" s="791"/>
      <c r="P320" s="791"/>
      <c r="Q320" s="792"/>
    </row>
    <row r="321" spans="1:17" s="126" customFormat="1" x14ac:dyDescent="0.15">
      <c r="A321" s="822" t="s">
        <v>150</v>
      </c>
      <c r="B321" s="823" t="s">
        <v>151</v>
      </c>
      <c r="C321" s="823"/>
      <c r="D321" s="832" t="s">
        <v>246</v>
      </c>
      <c r="E321" s="823" t="s">
        <v>152</v>
      </c>
      <c r="F321" s="823"/>
      <c r="G321" s="823"/>
      <c r="H321" s="802" t="s">
        <v>153</v>
      </c>
      <c r="I321" s="802" t="s">
        <v>242</v>
      </c>
      <c r="J321" s="804" t="s">
        <v>73</v>
      </c>
      <c r="K321" s="216" t="s">
        <v>154</v>
      </c>
      <c r="L321" s="123"/>
      <c r="M321" s="124"/>
      <c r="N321" s="124"/>
      <c r="O321" s="124"/>
      <c r="P321" s="124"/>
      <c r="Q321" s="125"/>
    </row>
    <row r="322" spans="1:17" s="130" customFormat="1" x14ac:dyDescent="0.15">
      <c r="A322" s="822"/>
      <c r="B322" s="823"/>
      <c r="C322" s="823"/>
      <c r="D322" s="833"/>
      <c r="E322" s="217" t="s">
        <v>155</v>
      </c>
      <c r="F322" s="217" t="s">
        <v>156</v>
      </c>
      <c r="G322" s="217" t="s">
        <v>157</v>
      </c>
      <c r="H322" s="803"/>
      <c r="I322" s="803"/>
      <c r="J322" s="805"/>
      <c r="K322" s="216" t="s">
        <v>158</v>
      </c>
      <c r="L322" s="127"/>
      <c r="M322" s="128"/>
      <c r="N322" s="128"/>
      <c r="O322" s="128"/>
      <c r="P322" s="128"/>
      <c r="Q322" s="129"/>
    </row>
    <row r="323" spans="1:17" ht="27" customHeight="1" x14ac:dyDescent="0.15">
      <c r="A323" s="148"/>
      <c r="B323" s="788" t="s">
        <v>1263</v>
      </c>
      <c r="C323" s="789"/>
      <c r="D323" s="149"/>
      <c r="E323" s="143">
        <f>14.52+46.39+16.25+17.21</f>
        <v>94.37</v>
      </c>
      <c r="F323" s="672">
        <v>0</v>
      </c>
      <c r="G323" s="143">
        <v>0.2</v>
      </c>
      <c r="H323" s="143">
        <v>1</v>
      </c>
      <c r="I323" s="143">
        <f t="shared" ref="I323" si="85">E323</f>
        <v>94.37</v>
      </c>
      <c r="J323" s="133" t="s">
        <v>7</v>
      </c>
      <c r="K323" s="143">
        <f>I323*H323</f>
        <v>94.37</v>
      </c>
      <c r="L323" s="127"/>
      <c r="M323" s="128"/>
      <c r="N323" s="128"/>
      <c r="O323" s="128"/>
      <c r="P323" s="128"/>
      <c r="Q323" s="129"/>
    </row>
    <row r="324" spans="1:17" ht="14" x14ac:dyDescent="0.15">
      <c r="A324" s="795" t="s">
        <v>149</v>
      </c>
      <c r="B324" s="817"/>
      <c r="C324" s="817"/>
      <c r="D324" s="817"/>
      <c r="E324" s="817"/>
      <c r="F324" s="817"/>
      <c r="G324" s="817"/>
      <c r="H324" s="817"/>
      <c r="I324" s="817"/>
      <c r="J324" s="796"/>
      <c r="K324" s="418">
        <f>SUM(K323:K323)</f>
        <v>94.37</v>
      </c>
      <c r="L324" s="134"/>
      <c r="M324" s="135"/>
      <c r="N324" s="135"/>
      <c r="O324" s="135"/>
      <c r="P324" s="135"/>
      <c r="Q324" s="136"/>
    </row>
    <row r="325" spans="1:17" x14ac:dyDescent="0.15">
      <c r="A325" s="790"/>
      <c r="B325" s="791"/>
      <c r="C325" s="791"/>
      <c r="D325" s="791"/>
      <c r="E325" s="791"/>
      <c r="F325" s="791"/>
      <c r="G325" s="791"/>
      <c r="H325" s="791"/>
      <c r="I325" s="791"/>
      <c r="J325" s="791"/>
      <c r="K325" s="791"/>
      <c r="L325" s="791"/>
      <c r="M325" s="791"/>
      <c r="N325" s="791"/>
      <c r="O325" s="791"/>
      <c r="P325" s="791"/>
      <c r="Q325" s="792"/>
    </row>
    <row r="326" spans="1:17" s="121" customFormat="1" ht="18" customHeight="1" x14ac:dyDescent="0.15">
      <c r="A326" s="218" t="s">
        <v>0</v>
      </c>
      <c r="B326" s="838" t="s">
        <v>1031</v>
      </c>
      <c r="C326" s="839"/>
      <c r="D326" s="839"/>
      <c r="E326" s="839"/>
      <c r="F326" s="839"/>
      <c r="G326" s="839"/>
      <c r="H326" s="839"/>
      <c r="I326" s="839"/>
      <c r="J326" s="839"/>
      <c r="K326" s="839"/>
      <c r="L326" s="839"/>
      <c r="M326" s="839"/>
      <c r="N326" s="839"/>
      <c r="O326" s="216" t="s">
        <v>73</v>
      </c>
      <c r="P326" s="795" t="s">
        <v>5</v>
      </c>
      <c r="Q326" s="796"/>
    </row>
    <row r="327" spans="1:17" x14ac:dyDescent="0.15">
      <c r="A327" s="790"/>
      <c r="B327" s="791"/>
      <c r="C327" s="791"/>
      <c r="D327" s="791"/>
      <c r="E327" s="791"/>
      <c r="F327" s="791"/>
      <c r="G327" s="791"/>
      <c r="H327" s="791"/>
      <c r="I327" s="791"/>
      <c r="J327" s="791"/>
      <c r="K327" s="791"/>
      <c r="L327" s="791"/>
      <c r="M327" s="791"/>
      <c r="N327" s="791"/>
      <c r="O327" s="791"/>
      <c r="P327" s="791"/>
      <c r="Q327" s="792"/>
    </row>
    <row r="328" spans="1:17" s="126" customFormat="1" ht="12.75" customHeight="1" x14ac:dyDescent="0.15">
      <c r="A328" s="822" t="s">
        <v>150</v>
      </c>
      <c r="B328" s="823" t="s">
        <v>151</v>
      </c>
      <c r="C328" s="823"/>
      <c r="D328" s="832" t="s">
        <v>241</v>
      </c>
      <c r="E328" s="823" t="s">
        <v>152</v>
      </c>
      <c r="F328" s="823"/>
      <c r="G328" s="823"/>
      <c r="H328" s="802" t="s">
        <v>153</v>
      </c>
      <c r="I328" s="802" t="s">
        <v>159</v>
      </c>
      <c r="J328" s="804" t="s">
        <v>73</v>
      </c>
      <c r="K328" s="216" t="s">
        <v>154</v>
      </c>
      <c r="L328" s="123"/>
      <c r="M328" s="124"/>
      <c r="N328" s="124"/>
      <c r="O328" s="124"/>
      <c r="P328" s="124"/>
      <c r="Q328" s="125"/>
    </row>
    <row r="329" spans="1:17" s="130" customFormat="1" x14ac:dyDescent="0.15">
      <c r="A329" s="822"/>
      <c r="B329" s="823"/>
      <c r="C329" s="823"/>
      <c r="D329" s="833"/>
      <c r="E329" s="217" t="s">
        <v>155</v>
      </c>
      <c r="F329" s="217" t="s">
        <v>156</v>
      </c>
      <c r="G329" s="217" t="s">
        <v>157</v>
      </c>
      <c r="H329" s="803"/>
      <c r="I329" s="803"/>
      <c r="J329" s="805"/>
      <c r="K329" s="216" t="s">
        <v>158</v>
      </c>
      <c r="L329" s="127"/>
      <c r="M329" s="128"/>
      <c r="N329" s="128"/>
      <c r="O329" s="128"/>
      <c r="P329" s="128"/>
      <c r="Q329" s="129"/>
    </row>
    <row r="330" spans="1:17" ht="29.25" customHeight="1" x14ac:dyDescent="0.15">
      <c r="A330" s="148"/>
      <c r="B330" s="788" t="s">
        <v>1263</v>
      </c>
      <c r="C330" s="789"/>
      <c r="D330" s="143">
        <v>101.28</v>
      </c>
      <c r="E330" s="143">
        <v>0</v>
      </c>
      <c r="F330" s="143">
        <v>0</v>
      </c>
      <c r="G330" s="143">
        <v>0</v>
      </c>
      <c r="H330" s="143">
        <v>1</v>
      </c>
      <c r="I330" s="143">
        <f>D330</f>
        <v>101.28</v>
      </c>
      <c r="J330" s="133" t="s">
        <v>5</v>
      </c>
      <c r="K330" s="143">
        <f>I330*H330</f>
        <v>101.28</v>
      </c>
      <c r="L330" s="127"/>
      <c r="M330" s="128"/>
      <c r="N330" s="128"/>
      <c r="O330" s="128"/>
      <c r="P330" s="128"/>
      <c r="Q330" s="129"/>
    </row>
    <row r="331" spans="1:17" ht="14" x14ac:dyDescent="0.15">
      <c r="A331" s="795" t="s">
        <v>149</v>
      </c>
      <c r="B331" s="817"/>
      <c r="C331" s="817"/>
      <c r="D331" s="817"/>
      <c r="E331" s="817"/>
      <c r="F331" s="817"/>
      <c r="G331" s="817"/>
      <c r="H331" s="817"/>
      <c r="I331" s="817"/>
      <c r="J331" s="796"/>
      <c r="K331" s="418">
        <f>SUM(K330:K330)</f>
        <v>101.28</v>
      </c>
      <c r="L331" s="134"/>
      <c r="M331" s="135"/>
      <c r="N331" s="135"/>
      <c r="O331" s="135"/>
      <c r="P331" s="135"/>
      <c r="Q331" s="136"/>
    </row>
    <row r="332" spans="1:17" x14ac:dyDescent="0.15">
      <c r="A332" s="790"/>
      <c r="B332" s="791"/>
      <c r="C332" s="791"/>
      <c r="D332" s="791"/>
      <c r="E332" s="791"/>
      <c r="F332" s="791"/>
      <c r="G332" s="791"/>
      <c r="H332" s="791"/>
      <c r="I332" s="791"/>
      <c r="J332" s="791"/>
      <c r="K332" s="791"/>
      <c r="L332" s="791"/>
      <c r="M332" s="791"/>
      <c r="N332" s="791"/>
      <c r="O332" s="791"/>
      <c r="P332" s="791"/>
      <c r="Q332" s="792"/>
    </row>
    <row r="333" spans="1:17" s="121" customFormat="1" ht="18" customHeight="1" x14ac:dyDescent="0.15">
      <c r="A333" s="218" t="s">
        <v>0</v>
      </c>
      <c r="B333" s="838" t="s">
        <v>1033</v>
      </c>
      <c r="C333" s="839"/>
      <c r="D333" s="839"/>
      <c r="E333" s="839"/>
      <c r="F333" s="839"/>
      <c r="G333" s="839"/>
      <c r="H333" s="839"/>
      <c r="I333" s="839"/>
      <c r="J333" s="839"/>
      <c r="K333" s="839"/>
      <c r="L333" s="839"/>
      <c r="M333" s="839"/>
      <c r="N333" s="839"/>
      <c r="O333" s="216" t="s">
        <v>73</v>
      </c>
      <c r="P333" s="795" t="s">
        <v>5</v>
      </c>
      <c r="Q333" s="796"/>
    </row>
    <row r="334" spans="1:17" x14ac:dyDescent="0.15">
      <c r="A334" s="790"/>
      <c r="B334" s="791"/>
      <c r="C334" s="791"/>
      <c r="D334" s="791"/>
      <c r="E334" s="791"/>
      <c r="F334" s="791"/>
      <c r="G334" s="791"/>
      <c r="H334" s="791"/>
      <c r="I334" s="791"/>
      <c r="J334" s="791"/>
      <c r="K334" s="791"/>
      <c r="L334" s="791"/>
      <c r="M334" s="791"/>
      <c r="N334" s="791"/>
      <c r="O334" s="791"/>
      <c r="P334" s="791"/>
      <c r="Q334" s="792"/>
    </row>
    <row r="335" spans="1:17" s="126" customFormat="1" x14ac:dyDescent="0.15">
      <c r="A335" s="822" t="s">
        <v>150</v>
      </c>
      <c r="B335" s="823" t="s">
        <v>151</v>
      </c>
      <c r="C335" s="823"/>
      <c r="D335" s="832" t="s">
        <v>264</v>
      </c>
      <c r="E335" s="823" t="s">
        <v>152</v>
      </c>
      <c r="F335" s="823"/>
      <c r="G335" s="823"/>
      <c r="H335" s="802" t="s">
        <v>153</v>
      </c>
      <c r="I335" s="802" t="s">
        <v>159</v>
      </c>
      <c r="J335" s="804" t="s">
        <v>73</v>
      </c>
      <c r="K335" s="216" t="s">
        <v>154</v>
      </c>
      <c r="L335" s="123"/>
      <c r="M335" s="124"/>
      <c r="N335" s="124"/>
      <c r="O335" s="124"/>
      <c r="P335" s="124"/>
      <c r="Q335" s="125"/>
    </row>
    <row r="336" spans="1:17" s="130" customFormat="1" x14ac:dyDescent="0.15">
      <c r="A336" s="822"/>
      <c r="B336" s="823"/>
      <c r="C336" s="823"/>
      <c r="D336" s="833"/>
      <c r="E336" s="217" t="s">
        <v>155</v>
      </c>
      <c r="F336" s="217" t="s">
        <v>156</v>
      </c>
      <c r="G336" s="217" t="s">
        <v>157</v>
      </c>
      <c r="H336" s="803"/>
      <c r="I336" s="803"/>
      <c r="J336" s="805"/>
      <c r="K336" s="216" t="s">
        <v>158</v>
      </c>
      <c r="L336" s="127"/>
      <c r="M336" s="128"/>
      <c r="N336" s="128"/>
      <c r="O336" s="128"/>
      <c r="P336" s="128"/>
      <c r="Q336" s="129"/>
    </row>
    <row r="337" spans="1:17" ht="27" customHeight="1" x14ac:dyDescent="0.15">
      <c r="A337" s="148"/>
      <c r="B337" s="788" t="s">
        <v>1264</v>
      </c>
      <c r="C337" s="789"/>
      <c r="D337" s="143">
        <v>12.4</v>
      </c>
      <c r="E337" s="143">
        <v>0</v>
      </c>
      <c r="F337" s="143">
        <v>0</v>
      </c>
      <c r="G337" s="143">
        <v>0</v>
      </c>
      <c r="H337" s="143">
        <v>1</v>
      </c>
      <c r="I337" s="143">
        <f>D337</f>
        <v>12.4</v>
      </c>
      <c r="J337" s="133" t="s">
        <v>5</v>
      </c>
      <c r="K337" s="143">
        <f>I337*H337</f>
        <v>12.4</v>
      </c>
      <c r="L337" s="127"/>
      <c r="M337" s="128"/>
      <c r="N337" s="128"/>
      <c r="O337" s="128"/>
      <c r="P337" s="128"/>
      <c r="Q337" s="129"/>
    </row>
    <row r="338" spans="1:17" ht="27" customHeight="1" x14ac:dyDescent="0.15">
      <c r="A338" s="148"/>
      <c r="B338" s="788" t="s">
        <v>1265</v>
      </c>
      <c r="C338" s="789"/>
      <c r="D338" s="143">
        <v>62.04</v>
      </c>
      <c r="E338" s="143">
        <v>0</v>
      </c>
      <c r="F338" s="143">
        <v>0</v>
      </c>
      <c r="G338" s="143">
        <v>0</v>
      </c>
      <c r="H338" s="143">
        <v>1</v>
      </c>
      <c r="I338" s="143">
        <f>D338</f>
        <v>62.04</v>
      </c>
      <c r="J338" s="133" t="s">
        <v>5</v>
      </c>
      <c r="K338" s="143">
        <f>I338*H338</f>
        <v>62.04</v>
      </c>
      <c r="L338" s="127"/>
      <c r="M338" s="128"/>
      <c r="N338" s="128"/>
      <c r="O338" s="128"/>
      <c r="P338" s="128"/>
      <c r="Q338" s="129"/>
    </row>
    <row r="339" spans="1:17" ht="27" customHeight="1" x14ac:dyDescent="0.15">
      <c r="A339" s="148"/>
      <c r="B339" s="788" t="s">
        <v>1266</v>
      </c>
      <c r="C339" s="789"/>
      <c r="D339" s="143">
        <v>15.59</v>
      </c>
      <c r="E339" s="143">
        <v>0</v>
      </c>
      <c r="F339" s="143">
        <v>0</v>
      </c>
      <c r="G339" s="143">
        <v>0</v>
      </c>
      <c r="H339" s="143">
        <v>1</v>
      </c>
      <c r="I339" s="143">
        <f>D339</f>
        <v>15.59</v>
      </c>
      <c r="J339" s="133" t="s">
        <v>5</v>
      </c>
      <c r="K339" s="143">
        <f>I339*H339</f>
        <v>15.59</v>
      </c>
      <c r="L339" s="127"/>
      <c r="M339" s="128"/>
      <c r="N339" s="128"/>
      <c r="O339" s="128"/>
      <c r="P339" s="128"/>
      <c r="Q339" s="129"/>
    </row>
    <row r="340" spans="1:17" ht="14" x14ac:dyDescent="0.15">
      <c r="A340" s="795" t="s">
        <v>149</v>
      </c>
      <c r="B340" s="817"/>
      <c r="C340" s="817"/>
      <c r="D340" s="817"/>
      <c r="E340" s="817"/>
      <c r="F340" s="817"/>
      <c r="G340" s="817"/>
      <c r="H340" s="817"/>
      <c r="I340" s="817"/>
      <c r="J340" s="796"/>
      <c r="K340" s="418">
        <f>SUM(K337:K339)</f>
        <v>90.03</v>
      </c>
      <c r="L340" s="134"/>
      <c r="M340" s="135"/>
      <c r="N340" s="135"/>
      <c r="O340" s="135"/>
      <c r="P340" s="135"/>
      <c r="Q340" s="136"/>
    </row>
    <row r="341" spans="1:17" x14ac:dyDescent="0.15">
      <c r="A341" s="790"/>
      <c r="B341" s="791"/>
      <c r="C341" s="791"/>
      <c r="D341" s="791"/>
      <c r="E341" s="791"/>
      <c r="F341" s="791"/>
      <c r="G341" s="791"/>
      <c r="H341" s="791"/>
      <c r="I341" s="791"/>
      <c r="J341" s="791"/>
      <c r="K341" s="791"/>
      <c r="L341" s="791"/>
      <c r="M341" s="791"/>
      <c r="N341" s="791"/>
      <c r="O341" s="791"/>
      <c r="P341" s="791"/>
      <c r="Q341" s="792"/>
    </row>
    <row r="342" spans="1:17" s="121" customFormat="1" ht="18" customHeight="1" x14ac:dyDescent="0.15">
      <c r="A342" s="218" t="s">
        <v>0</v>
      </c>
      <c r="B342" s="838" t="s">
        <v>1151</v>
      </c>
      <c r="C342" s="839"/>
      <c r="D342" s="839"/>
      <c r="E342" s="839"/>
      <c r="F342" s="839"/>
      <c r="G342" s="839"/>
      <c r="H342" s="839"/>
      <c r="I342" s="839"/>
      <c r="J342" s="839"/>
      <c r="K342" s="839"/>
      <c r="L342" s="839"/>
      <c r="M342" s="839"/>
      <c r="N342" s="839"/>
      <c r="O342" s="216" t="s">
        <v>73</v>
      </c>
      <c r="P342" s="795" t="s">
        <v>193</v>
      </c>
      <c r="Q342" s="796"/>
    </row>
    <row r="343" spans="1:17" x14ac:dyDescent="0.15">
      <c r="A343" s="790"/>
      <c r="B343" s="791"/>
      <c r="C343" s="791"/>
      <c r="D343" s="791"/>
      <c r="E343" s="791"/>
      <c r="F343" s="791"/>
      <c r="G343" s="791"/>
      <c r="H343" s="791"/>
      <c r="I343" s="791"/>
      <c r="J343" s="791"/>
      <c r="K343" s="791"/>
      <c r="L343" s="791"/>
      <c r="M343" s="791"/>
      <c r="N343" s="791"/>
      <c r="O343" s="791"/>
      <c r="P343" s="791"/>
      <c r="Q343" s="792"/>
    </row>
    <row r="344" spans="1:17" s="126" customFormat="1" x14ac:dyDescent="0.15">
      <c r="A344" s="822" t="s">
        <v>150</v>
      </c>
      <c r="B344" s="823" t="s">
        <v>151</v>
      </c>
      <c r="C344" s="823"/>
      <c r="D344" s="832" t="s">
        <v>264</v>
      </c>
      <c r="E344" s="823" t="s">
        <v>152</v>
      </c>
      <c r="F344" s="823"/>
      <c r="G344" s="823"/>
      <c r="H344" s="802" t="s">
        <v>153</v>
      </c>
      <c r="I344" s="802" t="s">
        <v>242</v>
      </c>
      <c r="J344" s="804" t="s">
        <v>73</v>
      </c>
      <c r="K344" s="216" t="s">
        <v>154</v>
      </c>
      <c r="L344" s="123"/>
      <c r="M344" s="124"/>
      <c r="N344" s="124"/>
      <c r="O344" s="124"/>
      <c r="P344" s="124"/>
      <c r="Q344" s="125"/>
    </row>
    <row r="345" spans="1:17" s="130" customFormat="1" x14ac:dyDescent="0.15">
      <c r="A345" s="822"/>
      <c r="B345" s="823"/>
      <c r="C345" s="823"/>
      <c r="D345" s="833"/>
      <c r="E345" s="217" t="s">
        <v>155</v>
      </c>
      <c r="F345" s="217" t="s">
        <v>156</v>
      </c>
      <c r="G345" s="217" t="s">
        <v>157</v>
      </c>
      <c r="H345" s="803"/>
      <c r="I345" s="803"/>
      <c r="J345" s="805"/>
      <c r="K345" s="216" t="s">
        <v>158</v>
      </c>
      <c r="L345" s="127"/>
      <c r="M345" s="128"/>
      <c r="N345" s="128"/>
      <c r="O345" s="128"/>
      <c r="P345" s="128"/>
      <c r="Q345" s="129"/>
    </row>
    <row r="346" spans="1:17" ht="30" customHeight="1" x14ac:dyDescent="0.15">
      <c r="A346" s="148"/>
      <c r="B346" s="788" t="s">
        <v>1264</v>
      </c>
      <c r="C346" s="789"/>
      <c r="D346" s="143">
        <v>0</v>
      </c>
      <c r="E346" s="143">
        <v>14.07</v>
      </c>
      <c r="F346" s="143">
        <v>0</v>
      </c>
      <c r="G346" s="143">
        <v>0.1</v>
      </c>
      <c r="H346" s="143">
        <v>2</v>
      </c>
      <c r="I346" s="143">
        <f>E346</f>
        <v>14.07</v>
      </c>
      <c r="J346" s="133" t="s">
        <v>193</v>
      </c>
      <c r="K346" s="143">
        <f t="shared" ref="K346:K348" si="86">(I346*H346)-D346</f>
        <v>28.14</v>
      </c>
      <c r="L346" s="127"/>
      <c r="M346" s="128"/>
      <c r="N346" s="128"/>
      <c r="O346" s="128"/>
      <c r="P346" s="128"/>
      <c r="Q346" s="129"/>
    </row>
    <row r="347" spans="1:17" ht="30" customHeight="1" x14ac:dyDescent="0.15">
      <c r="A347" s="148"/>
      <c r="B347" s="788" t="s">
        <v>1265</v>
      </c>
      <c r="C347" s="789"/>
      <c r="D347" s="671">
        <v>0</v>
      </c>
      <c r="E347" s="143">
        <f>66.22-3.4</f>
        <v>62.82</v>
      </c>
      <c r="F347" s="143">
        <v>0</v>
      </c>
      <c r="G347" s="143">
        <v>0.1</v>
      </c>
      <c r="H347" s="143">
        <v>1</v>
      </c>
      <c r="I347" s="143">
        <f>E347</f>
        <v>62.82</v>
      </c>
      <c r="J347" s="133" t="s">
        <v>193</v>
      </c>
      <c r="K347" s="143">
        <f t="shared" si="86"/>
        <v>62.82</v>
      </c>
      <c r="L347" s="127"/>
      <c r="M347" s="128"/>
      <c r="N347" s="128"/>
      <c r="O347" s="128"/>
      <c r="P347" s="128"/>
      <c r="Q347" s="129"/>
    </row>
    <row r="348" spans="1:17" ht="30" customHeight="1" x14ac:dyDescent="0.15">
      <c r="A348" s="148"/>
      <c r="B348" s="788" t="s">
        <v>1266</v>
      </c>
      <c r="C348" s="789"/>
      <c r="D348" s="671">
        <v>0</v>
      </c>
      <c r="E348" s="143">
        <v>16.399999999999999</v>
      </c>
      <c r="F348" s="143">
        <v>0</v>
      </c>
      <c r="G348" s="143">
        <v>0.1</v>
      </c>
      <c r="H348" s="143">
        <v>1</v>
      </c>
      <c r="I348" s="143">
        <f>E348</f>
        <v>16.399999999999999</v>
      </c>
      <c r="J348" s="133" t="s">
        <v>193</v>
      </c>
      <c r="K348" s="143">
        <f t="shared" si="86"/>
        <v>16.399999999999999</v>
      </c>
      <c r="L348" s="127"/>
      <c r="M348" s="128"/>
      <c r="N348" s="128"/>
      <c r="O348" s="128"/>
      <c r="P348" s="128"/>
      <c r="Q348" s="129"/>
    </row>
    <row r="349" spans="1:17" ht="14" x14ac:dyDescent="0.15">
      <c r="A349" s="795" t="s">
        <v>149</v>
      </c>
      <c r="B349" s="817"/>
      <c r="C349" s="817"/>
      <c r="D349" s="817"/>
      <c r="E349" s="817"/>
      <c r="F349" s="817"/>
      <c r="G349" s="817"/>
      <c r="H349" s="817"/>
      <c r="I349" s="817"/>
      <c r="J349" s="796"/>
      <c r="K349" s="418">
        <f>SUM(K346:K348)</f>
        <v>107.36000000000001</v>
      </c>
      <c r="L349" s="134"/>
      <c r="M349" s="135"/>
      <c r="N349" s="135"/>
      <c r="O349" s="135"/>
      <c r="P349" s="135"/>
      <c r="Q349" s="136"/>
    </row>
    <row r="350" spans="1:17" x14ac:dyDescent="0.15">
      <c r="A350" s="790"/>
      <c r="B350" s="791"/>
      <c r="C350" s="791"/>
      <c r="D350" s="791"/>
      <c r="E350" s="791"/>
      <c r="F350" s="791"/>
      <c r="G350" s="791"/>
      <c r="H350" s="791"/>
      <c r="I350" s="791"/>
      <c r="J350" s="791"/>
      <c r="K350" s="791"/>
      <c r="L350" s="791"/>
      <c r="M350" s="791"/>
      <c r="N350" s="791"/>
      <c r="O350" s="791"/>
      <c r="P350" s="791"/>
      <c r="Q350" s="792"/>
    </row>
    <row r="351" spans="1:17" s="121" customFormat="1" ht="18" customHeight="1" x14ac:dyDescent="0.15">
      <c r="A351" s="218" t="s">
        <v>0</v>
      </c>
      <c r="B351" s="838" t="s">
        <v>1279</v>
      </c>
      <c r="C351" s="839"/>
      <c r="D351" s="839"/>
      <c r="E351" s="839"/>
      <c r="F351" s="839"/>
      <c r="G351" s="839"/>
      <c r="H351" s="839"/>
      <c r="I351" s="839"/>
      <c r="J351" s="839"/>
      <c r="K351" s="839"/>
      <c r="L351" s="839"/>
      <c r="M351" s="839"/>
      <c r="N351" s="839"/>
      <c r="O351" s="216" t="s">
        <v>73</v>
      </c>
      <c r="P351" s="795" t="s">
        <v>5</v>
      </c>
      <c r="Q351" s="796"/>
    </row>
    <row r="352" spans="1:17" x14ac:dyDescent="0.15">
      <c r="A352" s="790"/>
      <c r="B352" s="791"/>
      <c r="C352" s="791"/>
      <c r="D352" s="791"/>
      <c r="E352" s="791"/>
      <c r="F352" s="791"/>
      <c r="G352" s="791"/>
      <c r="H352" s="791"/>
      <c r="I352" s="791"/>
      <c r="J352" s="791"/>
      <c r="K352" s="791"/>
      <c r="L352" s="791"/>
      <c r="M352" s="791"/>
      <c r="N352" s="791"/>
      <c r="O352" s="791"/>
      <c r="P352" s="791"/>
      <c r="Q352" s="792"/>
    </row>
    <row r="353" spans="1:17" s="126" customFormat="1" x14ac:dyDescent="0.15">
      <c r="A353" s="822" t="s">
        <v>150</v>
      </c>
      <c r="B353" s="823" t="s">
        <v>151</v>
      </c>
      <c r="C353" s="823"/>
      <c r="D353" s="832" t="s">
        <v>264</v>
      </c>
      <c r="E353" s="823" t="s">
        <v>152</v>
      </c>
      <c r="F353" s="823"/>
      <c r="G353" s="823"/>
      <c r="H353" s="802" t="s">
        <v>153</v>
      </c>
      <c r="I353" s="802" t="s">
        <v>159</v>
      </c>
      <c r="J353" s="804" t="s">
        <v>73</v>
      </c>
      <c r="K353" s="216" t="s">
        <v>154</v>
      </c>
      <c r="L353" s="123"/>
      <c r="M353" s="124"/>
      <c r="N353" s="124"/>
      <c r="O353" s="124"/>
      <c r="P353" s="124"/>
      <c r="Q353" s="125"/>
    </row>
    <row r="354" spans="1:17" s="130" customFormat="1" x14ac:dyDescent="0.15">
      <c r="A354" s="822"/>
      <c r="B354" s="823"/>
      <c r="C354" s="823"/>
      <c r="D354" s="833"/>
      <c r="E354" s="217" t="s">
        <v>155</v>
      </c>
      <c r="F354" s="217" t="s">
        <v>156</v>
      </c>
      <c r="G354" s="217" t="s">
        <v>157</v>
      </c>
      <c r="H354" s="803"/>
      <c r="I354" s="803"/>
      <c r="J354" s="805"/>
      <c r="K354" s="216" t="s">
        <v>158</v>
      </c>
      <c r="L354" s="127"/>
      <c r="M354" s="128"/>
      <c r="N354" s="128"/>
      <c r="O354" s="128"/>
      <c r="P354" s="128"/>
      <c r="Q354" s="129"/>
    </row>
    <row r="355" spans="1:17" ht="27" customHeight="1" x14ac:dyDescent="0.15">
      <c r="A355" s="148"/>
      <c r="B355" s="788" t="s">
        <v>1270</v>
      </c>
      <c r="C355" s="789"/>
      <c r="D355" s="143">
        <v>1.88</v>
      </c>
      <c r="E355" s="143">
        <v>0</v>
      </c>
      <c r="F355" s="143">
        <v>0</v>
      </c>
      <c r="G355" s="143">
        <v>0</v>
      </c>
      <c r="H355" s="143">
        <v>1</v>
      </c>
      <c r="I355" s="143">
        <f>D355</f>
        <v>1.88</v>
      </c>
      <c r="J355" s="133" t="s">
        <v>5</v>
      </c>
      <c r="K355" s="143">
        <f>I355*H355</f>
        <v>1.88</v>
      </c>
      <c r="L355" s="127"/>
      <c r="M355" s="128"/>
      <c r="N355" s="128"/>
      <c r="O355" s="128"/>
      <c r="P355" s="128"/>
      <c r="Q355" s="129"/>
    </row>
    <row r="356" spans="1:17" ht="27" customHeight="1" x14ac:dyDescent="0.15">
      <c r="A356" s="148"/>
      <c r="B356" s="788" t="s">
        <v>1271</v>
      </c>
      <c r="C356" s="789"/>
      <c r="D356" s="143">
        <v>2.2999999999999998</v>
      </c>
      <c r="E356" s="143">
        <v>0</v>
      </c>
      <c r="F356" s="143">
        <v>0</v>
      </c>
      <c r="G356" s="143">
        <v>0</v>
      </c>
      <c r="H356" s="143">
        <v>1</v>
      </c>
      <c r="I356" s="143">
        <f>D356</f>
        <v>2.2999999999999998</v>
      </c>
      <c r="J356" s="133" t="s">
        <v>5</v>
      </c>
      <c r="K356" s="143">
        <f>I356*H356</f>
        <v>2.2999999999999998</v>
      </c>
      <c r="L356" s="127"/>
      <c r="M356" s="128"/>
      <c r="N356" s="128"/>
      <c r="O356" s="128"/>
      <c r="P356" s="128"/>
      <c r="Q356" s="129"/>
    </row>
    <row r="357" spans="1:17" ht="27" customHeight="1" x14ac:dyDescent="0.15">
      <c r="A357" s="148"/>
      <c r="B357" s="788" t="s">
        <v>1272</v>
      </c>
      <c r="C357" s="789"/>
      <c r="D357" s="143">
        <v>2.21</v>
      </c>
      <c r="E357" s="143">
        <v>0</v>
      </c>
      <c r="F357" s="143">
        <v>0</v>
      </c>
      <c r="G357" s="143">
        <v>0</v>
      </c>
      <c r="H357" s="143">
        <v>1</v>
      </c>
      <c r="I357" s="143">
        <f>D357</f>
        <v>2.21</v>
      </c>
      <c r="J357" s="133" t="s">
        <v>5</v>
      </c>
      <c r="K357" s="143">
        <f>I357*H357</f>
        <v>2.21</v>
      </c>
      <c r="L357" s="127"/>
      <c r="M357" s="128"/>
      <c r="N357" s="128"/>
      <c r="O357" s="128"/>
      <c r="P357" s="128"/>
      <c r="Q357" s="129"/>
    </row>
    <row r="358" spans="1:17" ht="27" customHeight="1" x14ac:dyDescent="0.15">
      <c r="A358" s="148"/>
      <c r="B358" s="788" t="s">
        <v>1273</v>
      </c>
      <c r="C358" s="789"/>
      <c r="D358" s="143">
        <v>2.34</v>
      </c>
      <c r="E358" s="143">
        <v>0</v>
      </c>
      <c r="F358" s="143">
        <v>0</v>
      </c>
      <c r="G358" s="143">
        <v>0</v>
      </c>
      <c r="H358" s="143">
        <v>1</v>
      </c>
      <c r="I358" s="143">
        <f>D358</f>
        <v>2.34</v>
      </c>
      <c r="J358" s="133" t="s">
        <v>5</v>
      </c>
      <c r="K358" s="143">
        <f>I358*H358</f>
        <v>2.34</v>
      </c>
      <c r="L358" s="127"/>
      <c r="M358" s="128"/>
      <c r="N358" s="128"/>
      <c r="O358" s="128"/>
      <c r="P358" s="128"/>
      <c r="Q358" s="129"/>
    </row>
    <row r="359" spans="1:17" ht="14" x14ac:dyDescent="0.15">
      <c r="A359" s="795" t="s">
        <v>149</v>
      </c>
      <c r="B359" s="817"/>
      <c r="C359" s="817"/>
      <c r="D359" s="817"/>
      <c r="E359" s="817"/>
      <c r="F359" s="817"/>
      <c r="G359" s="817"/>
      <c r="H359" s="817"/>
      <c r="I359" s="817"/>
      <c r="J359" s="796"/>
      <c r="K359" s="418">
        <f>SUM(K355:K358)</f>
        <v>8.73</v>
      </c>
      <c r="L359" s="134"/>
      <c r="M359" s="135"/>
      <c r="N359" s="135"/>
      <c r="O359" s="135"/>
      <c r="P359" s="135"/>
      <c r="Q359" s="136"/>
    </row>
    <row r="360" spans="1:17" x14ac:dyDescent="0.15">
      <c r="A360" s="790"/>
      <c r="B360" s="791"/>
      <c r="C360" s="791"/>
      <c r="D360" s="791"/>
      <c r="E360" s="791"/>
      <c r="F360" s="791"/>
      <c r="G360" s="791"/>
      <c r="H360" s="791"/>
      <c r="I360" s="791"/>
      <c r="J360" s="791"/>
      <c r="K360" s="791"/>
      <c r="L360" s="791"/>
      <c r="M360" s="791"/>
      <c r="N360" s="791"/>
      <c r="O360" s="791"/>
      <c r="P360" s="791"/>
      <c r="Q360" s="792"/>
    </row>
    <row r="361" spans="1:17" s="121" customFormat="1" ht="18" customHeight="1" x14ac:dyDescent="0.15">
      <c r="A361" s="218" t="s">
        <v>0</v>
      </c>
      <c r="B361" s="838" t="s">
        <v>1280</v>
      </c>
      <c r="C361" s="839"/>
      <c r="D361" s="839"/>
      <c r="E361" s="839"/>
      <c r="F361" s="839"/>
      <c r="G361" s="839"/>
      <c r="H361" s="839"/>
      <c r="I361" s="839"/>
      <c r="J361" s="839"/>
      <c r="K361" s="839"/>
      <c r="L361" s="839"/>
      <c r="M361" s="839"/>
      <c r="N361" s="839"/>
      <c r="O361" s="216" t="s">
        <v>73</v>
      </c>
      <c r="P361" s="795" t="s">
        <v>5</v>
      </c>
      <c r="Q361" s="796"/>
    </row>
    <row r="362" spans="1:17" x14ac:dyDescent="0.15">
      <c r="A362" s="790"/>
      <c r="B362" s="791"/>
      <c r="C362" s="791"/>
      <c r="D362" s="791"/>
      <c r="E362" s="791"/>
      <c r="F362" s="791"/>
      <c r="G362" s="791"/>
      <c r="H362" s="791"/>
      <c r="I362" s="791"/>
      <c r="J362" s="791"/>
      <c r="K362" s="791"/>
      <c r="L362" s="791"/>
      <c r="M362" s="791"/>
      <c r="N362" s="791"/>
      <c r="O362" s="791"/>
      <c r="P362" s="791"/>
      <c r="Q362" s="792"/>
    </row>
    <row r="363" spans="1:17" s="126" customFormat="1" x14ac:dyDescent="0.15">
      <c r="A363" s="822" t="s">
        <v>150</v>
      </c>
      <c r="B363" s="823" t="s">
        <v>151</v>
      </c>
      <c r="C363" s="823"/>
      <c r="D363" s="832" t="s">
        <v>264</v>
      </c>
      <c r="E363" s="823" t="s">
        <v>152</v>
      </c>
      <c r="F363" s="823"/>
      <c r="G363" s="823"/>
      <c r="H363" s="802" t="s">
        <v>153</v>
      </c>
      <c r="I363" s="802" t="s">
        <v>159</v>
      </c>
      <c r="J363" s="804" t="s">
        <v>73</v>
      </c>
      <c r="K363" s="216" t="s">
        <v>154</v>
      </c>
      <c r="L363" s="123"/>
      <c r="M363" s="124"/>
      <c r="N363" s="124"/>
      <c r="O363" s="124"/>
      <c r="P363" s="124"/>
      <c r="Q363" s="125"/>
    </row>
    <row r="364" spans="1:17" s="130" customFormat="1" x14ac:dyDescent="0.15">
      <c r="A364" s="822"/>
      <c r="B364" s="823"/>
      <c r="C364" s="823"/>
      <c r="D364" s="833"/>
      <c r="E364" s="217" t="s">
        <v>155</v>
      </c>
      <c r="F364" s="217" t="s">
        <v>156</v>
      </c>
      <c r="G364" s="217" t="s">
        <v>157</v>
      </c>
      <c r="H364" s="803"/>
      <c r="I364" s="803"/>
      <c r="J364" s="805"/>
      <c r="K364" s="216" t="s">
        <v>158</v>
      </c>
      <c r="L364" s="127"/>
      <c r="M364" s="128"/>
      <c r="N364" s="128"/>
      <c r="O364" s="128"/>
      <c r="P364" s="128"/>
      <c r="Q364" s="129"/>
    </row>
    <row r="365" spans="1:17" ht="27" customHeight="1" x14ac:dyDescent="0.15">
      <c r="A365" s="148"/>
      <c r="B365" s="788" t="s">
        <v>1270</v>
      </c>
      <c r="C365" s="789"/>
      <c r="D365" s="143">
        <v>0</v>
      </c>
      <c r="E365" s="143">
        <v>4.93</v>
      </c>
      <c r="F365" s="143">
        <v>0</v>
      </c>
      <c r="G365" s="143">
        <v>2.2000000000000002</v>
      </c>
      <c r="H365" s="143">
        <v>1</v>
      </c>
      <c r="I365" s="143">
        <f>E365*G365</f>
        <v>10.846</v>
      </c>
      <c r="J365" s="133" t="s">
        <v>5</v>
      </c>
      <c r="K365" s="143">
        <f>I365*H365</f>
        <v>10.846</v>
      </c>
      <c r="L365" s="127"/>
      <c r="M365" s="128"/>
      <c r="N365" s="128"/>
      <c r="O365" s="128"/>
      <c r="P365" s="128"/>
      <c r="Q365" s="129"/>
    </row>
    <row r="366" spans="1:17" ht="27" customHeight="1" x14ac:dyDescent="0.15">
      <c r="A366" s="148"/>
      <c r="B366" s="788" t="s">
        <v>1271</v>
      </c>
      <c r="C366" s="789"/>
      <c r="D366" s="143">
        <v>0</v>
      </c>
      <c r="E366" s="143">
        <v>5.63</v>
      </c>
      <c r="F366" s="143">
        <v>0</v>
      </c>
      <c r="G366" s="143">
        <v>2.2000000000000002</v>
      </c>
      <c r="H366" s="143">
        <v>1</v>
      </c>
      <c r="I366" s="143">
        <f t="shared" ref="I366:I368" si="87">E366*G366</f>
        <v>12.386000000000001</v>
      </c>
      <c r="J366" s="133" t="s">
        <v>5</v>
      </c>
      <c r="K366" s="143">
        <f>I366*H366</f>
        <v>12.386000000000001</v>
      </c>
      <c r="L366" s="127"/>
      <c r="M366" s="128"/>
      <c r="N366" s="128"/>
      <c r="O366" s="128"/>
      <c r="P366" s="128"/>
      <c r="Q366" s="129"/>
    </row>
    <row r="367" spans="1:17" ht="27" customHeight="1" x14ac:dyDescent="0.15">
      <c r="A367" s="148"/>
      <c r="B367" s="788" t="s">
        <v>1272</v>
      </c>
      <c r="C367" s="789"/>
      <c r="D367" s="143">
        <v>0</v>
      </c>
      <c r="E367" s="143">
        <v>6.42</v>
      </c>
      <c r="F367" s="143">
        <v>0</v>
      </c>
      <c r="G367" s="143">
        <v>2.2000000000000002</v>
      </c>
      <c r="H367" s="143">
        <v>1</v>
      </c>
      <c r="I367" s="143">
        <f t="shared" si="87"/>
        <v>14.124000000000001</v>
      </c>
      <c r="J367" s="133" t="s">
        <v>5</v>
      </c>
      <c r="K367" s="143">
        <f>I367*H367</f>
        <v>14.124000000000001</v>
      </c>
      <c r="L367" s="127"/>
      <c r="M367" s="128"/>
      <c r="N367" s="128"/>
      <c r="O367" s="128"/>
      <c r="P367" s="128"/>
      <c r="Q367" s="129"/>
    </row>
    <row r="368" spans="1:17" ht="27" customHeight="1" x14ac:dyDescent="0.15">
      <c r="A368" s="148"/>
      <c r="B368" s="788" t="s">
        <v>1273</v>
      </c>
      <c r="C368" s="789"/>
      <c r="D368" s="143">
        <v>0</v>
      </c>
      <c r="E368" s="143">
        <v>6.6</v>
      </c>
      <c r="F368" s="143">
        <v>0</v>
      </c>
      <c r="G368" s="143">
        <v>2.2000000000000002</v>
      </c>
      <c r="H368" s="143">
        <v>1</v>
      </c>
      <c r="I368" s="143">
        <f t="shared" si="87"/>
        <v>14.52</v>
      </c>
      <c r="J368" s="133" t="s">
        <v>5</v>
      </c>
      <c r="K368" s="143">
        <f>I368*H368</f>
        <v>14.52</v>
      </c>
      <c r="L368" s="127"/>
      <c r="M368" s="128"/>
      <c r="N368" s="128"/>
      <c r="O368" s="128"/>
      <c r="P368" s="128"/>
      <c r="Q368" s="129"/>
    </row>
    <row r="369" spans="1:17" ht="14" x14ac:dyDescent="0.15">
      <c r="A369" s="795" t="s">
        <v>149</v>
      </c>
      <c r="B369" s="817"/>
      <c r="C369" s="817"/>
      <c r="D369" s="817"/>
      <c r="E369" s="817"/>
      <c r="F369" s="817"/>
      <c r="G369" s="817"/>
      <c r="H369" s="817"/>
      <c r="I369" s="817"/>
      <c r="J369" s="796"/>
      <c r="K369" s="418">
        <f>SUM(K365:K368)</f>
        <v>51.876000000000005</v>
      </c>
      <c r="L369" s="134"/>
      <c r="M369" s="135"/>
      <c r="N369" s="135"/>
      <c r="O369" s="135"/>
      <c r="P369" s="135"/>
      <c r="Q369" s="136"/>
    </row>
    <row r="370" spans="1:17" x14ac:dyDescent="0.15">
      <c r="A370" s="790"/>
      <c r="B370" s="791"/>
      <c r="C370" s="791"/>
      <c r="D370" s="791"/>
      <c r="E370" s="791"/>
      <c r="F370" s="791"/>
      <c r="G370" s="791"/>
      <c r="H370" s="791"/>
      <c r="I370" s="791"/>
      <c r="J370" s="791"/>
      <c r="K370" s="791"/>
      <c r="L370" s="791"/>
      <c r="M370" s="791"/>
      <c r="N370" s="791"/>
      <c r="O370" s="791"/>
      <c r="P370" s="791"/>
      <c r="Q370" s="792"/>
    </row>
    <row r="371" spans="1:17" s="121" customFormat="1" ht="18" customHeight="1" x14ac:dyDescent="0.15">
      <c r="A371" s="218" t="s">
        <v>0</v>
      </c>
      <c r="B371" s="843" t="s">
        <v>1036</v>
      </c>
      <c r="C371" s="844"/>
      <c r="D371" s="844"/>
      <c r="E371" s="844"/>
      <c r="F371" s="844"/>
      <c r="G371" s="844"/>
      <c r="H371" s="844"/>
      <c r="I371" s="844"/>
      <c r="J371" s="844"/>
      <c r="K371" s="844"/>
      <c r="L371" s="844"/>
      <c r="M371" s="844"/>
      <c r="N371" s="844"/>
      <c r="O371" s="216" t="s">
        <v>73</v>
      </c>
      <c r="P371" s="795" t="s">
        <v>319</v>
      </c>
      <c r="Q371" s="796"/>
    </row>
    <row r="372" spans="1:17" x14ac:dyDescent="0.15">
      <c r="A372" s="790"/>
      <c r="B372" s="791"/>
      <c r="C372" s="791"/>
      <c r="D372" s="791"/>
      <c r="E372" s="791"/>
      <c r="F372" s="791"/>
      <c r="G372" s="791"/>
      <c r="H372" s="791"/>
      <c r="I372" s="791"/>
      <c r="J372" s="791"/>
      <c r="K372" s="791"/>
      <c r="L372" s="791"/>
      <c r="M372" s="791"/>
      <c r="N372" s="791"/>
      <c r="O372" s="791"/>
      <c r="P372" s="791"/>
      <c r="Q372" s="792"/>
    </row>
    <row r="373" spans="1:17" s="126" customFormat="1" ht="12.75" customHeight="1" x14ac:dyDescent="0.15">
      <c r="A373" s="822" t="s">
        <v>150</v>
      </c>
      <c r="B373" s="823" t="s">
        <v>151</v>
      </c>
      <c r="C373" s="823"/>
      <c r="D373" s="802"/>
      <c r="E373" s="823" t="s">
        <v>152</v>
      </c>
      <c r="F373" s="823"/>
      <c r="G373" s="823"/>
      <c r="H373" s="802" t="s">
        <v>153</v>
      </c>
      <c r="I373" s="802" t="s">
        <v>479</v>
      </c>
      <c r="J373" s="804" t="s">
        <v>73</v>
      </c>
      <c r="K373" s="216" t="s">
        <v>154</v>
      </c>
      <c r="L373" s="123"/>
      <c r="M373" s="124"/>
      <c r="N373" s="124"/>
      <c r="O373" s="124"/>
      <c r="P373" s="124"/>
      <c r="Q373" s="125"/>
    </row>
    <row r="374" spans="1:17" s="130" customFormat="1" x14ac:dyDescent="0.15">
      <c r="A374" s="822"/>
      <c r="B374" s="823"/>
      <c r="C374" s="823"/>
      <c r="D374" s="803"/>
      <c r="E374" s="217" t="s">
        <v>155</v>
      </c>
      <c r="F374" s="217" t="s">
        <v>156</v>
      </c>
      <c r="G374" s="217" t="s">
        <v>157</v>
      </c>
      <c r="H374" s="803"/>
      <c r="I374" s="803"/>
      <c r="J374" s="805"/>
      <c r="K374" s="216" t="s">
        <v>158</v>
      </c>
      <c r="L374" s="127"/>
      <c r="M374" s="128"/>
      <c r="N374" s="128"/>
      <c r="O374" s="128"/>
      <c r="P374" s="128"/>
      <c r="Q374" s="129"/>
    </row>
    <row r="375" spans="1:17" ht="21" customHeight="1" x14ac:dyDescent="0.15">
      <c r="A375" s="148"/>
      <c r="B375" s="788" t="s">
        <v>1037</v>
      </c>
      <c r="C375" s="789"/>
      <c r="D375" s="143"/>
      <c r="E375" s="143">
        <v>0</v>
      </c>
      <c r="F375" s="143">
        <v>0</v>
      </c>
      <c r="G375" s="143">
        <v>0</v>
      </c>
      <c r="H375" s="143">
        <v>1</v>
      </c>
      <c r="I375" s="143">
        <v>1</v>
      </c>
      <c r="J375" s="133" t="s">
        <v>319</v>
      </c>
      <c r="K375" s="143">
        <f>I375*H375</f>
        <v>1</v>
      </c>
      <c r="L375" s="127"/>
      <c r="M375" s="128"/>
      <c r="N375" s="128"/>
      <c r="O375" s="128"/>
      <c r="P375" s="128"/>
      <c r="Q375" s="129"/>
    </row>
    <row r="376" spans="1:17" ht="14" x14ac:dyDescent="0.15">
      <c r="A376" s="795" t="s">
        <v>149</v>
      </c>
      <c r="B376" s="817"/>
      <c r="C376" s="817"/>
      <c r="D376" s="817"/>
      <c r="E376" s="817"/>
      <c r="F376" s="817"/>
      <c r="G376" s="817"/>
      <c r="H376" s="817"/>
      <c r="I376" s="817"/>
      <c r="J376" s="796"/>
      <c r="K376" s="418">
        <f>SUM(K375:K375)</f>
        <v>1</v>
      </c>
      <c r="L376" s="134"/>
      <c r="M376" s="135"/>
      <c r="N376" s="135"/>
      <c r="O376" s="135"/>
      <c r="P376" s="135"/>
      <c r="Q376" s="136"/>
    </row>
    <row r="377" spans="1:17" x14ac:dyDescent="0.15">
      <c r="A377" s="790"/>
      <c r="B377" s="791"/>
      <c r="C377" s="791"/>
      <c r="D377" s="791"/>
      <c r="E377" s="791"/>
      <c r="F377" s="791"/>
      <c r="G377" s="791"/>
      <c r="H377" s="791"/>
      <c r="I377" s="791"/>
      <c r="J377" s="791"/>
      <c r="K377" s="791"/>
      <c r="L377" s="791"/>
      <c r="M377" s="791"/>
      <c r="N377" s="791"/>
      <c r="O377" s="791"/>
      <c r="P377" s="791"/>
      <c r="Q377" s="792"/>
    </row>
    <row r="378" spans="1:17" s="121" customFormat="1" x14ac:dyDescent="0.15">
      <c r="A378" s="218" t="s">
        <v>0</v>
      </c>
      <c r="B378" s="793" t="s">
        <v>1293</v>
      </c>
      <c r="C378" s="794"/>
      <c r="D378" s="794"/>
      <c r="E378" s="794"/>
      <c r="F378" s="794"/>
      <c r="G378" s="794"/>
      <c r="H378" s="794"/>
      <c r="I378" s="794"/>
      <c r="J378" s="794"/>
      <c r="K378" s="794"/>
      <c r="L378" s="794"/>
      <c r="M378" s="794"/>
      <c r="N378" s="794"/>
      <c r="O378" s="216" t="s">
        <v>73</v>
      </c>
      <c r="P378" s="795" t="s">
        <v>319</v>
      </c>
      <c r="Q378" s="796"/>
    </row>
    <row r="379" spans="1:17" x14ac:dyDescent="0.15">
      <c r="A379" s="790"/>
      <c r="B379" s="791"/>
      <c r="C379" s="791"/>
      <c r="D379" s="791"/>
      <c r="E379" s="791"/>
      <c r="F379" s="791"/>
      <c r="G379" s="791"/>
      <c r="H379" s="791"/>
      <c r="I379" s="791"/>
      <c r="J379" s="791"/>
      <c r="K379" s="791"/>
      <c r="L379" s="791"/>
      <c r="M379" s="791"/>
      <c r="N379" s="791"/>
      <c r="O379" s="791"/>
      <c r="P379" s="791"/>
      <c r="Q379" s="792"/>
    </row>
    <row r="380" spans="1:17" s="126" customFormat="1" x14ac:dyDescent="0.15">
      <c r="A380" s="822" t="s">
        <v>150</v>
      </c>
      <c r="B380" s="823" t="s">
        <v>151</v>
      </c>
      <c r="C380" s="823"/>
      <c r="D380" s="802"/>
      <c r="E380" s="823" t="s">
        <v>152</v>
      </c>
      <c r="F380" s="823"/>
      <c r="G380" s="823"/>
      <c r="H380" s="802" t="s">
        <v>153</v>
      </c>
      <c r="I380" s="802" t="s">
        <v>479</v>
      </c>
      <c r="J380" s="804" t="s">
        <v>73</v>
      </c>
      <c r="K380" s="216" t="s">
        <v>154</v>
      </c>
      <c r="L380" s="123"/>
      <c r="M380" s="124"/>
      <c r="N380" s="124"/>
      <c r="O380" s="124"/>
      <c r="P380" s="124"/>
      <c r="Q380" s="125"/>
    </row>
    <row r="381" spans="1:17" s="130" customFormat="1" x14ac:dyDescent="0.15">
      <c r="A381" s="822"/>
      <c r="B381" s="823"/>
      <c r="C381" s="823"/>
      <c r="D381" s="803"/>
      <c r="E381" s="217" t="s">
        <v>155</v>
      </c>
      <c r="F381" s="217" t="s">
        <v>156</v>
      </c>
      <c r="G381" s="217" t="s">
        <v>157</v>
      </c>
      <c r="H381" s="803"/>
      <c r="I381" s="803"/>
      <c r="J381" s="805"/>
      <c r="K381" s="216" t="s">
        <v>158</v>
      </c>
      <c r="L381" s="127"/>
      <c r="M381" s="128"/>
      <c r="N381" s="128"/>
      <c r="O381" s="128"/>
      <c r="P381" s="128"/>
      <c r="Q381" s="129"/>
    </row>
    <row r="382" spans="1:17" ht="14" x14ac:dyDescent="0.15">
      <c r="A382" s="148"/>
      <c r="B382" s="788" t="s">
        <v>1297</v>
      </c>
      <c r="C382" s="789"/>
      <c r="D382" s="143"/>
      <c r="E382" s="143">
        <v>0</v>
      </c>
      <c r="F382" s="143">
        <v>0</v>
      </c>
      <c r="G382" s="143">
        <v>0</v>
      </c>
      <c r="H382" s="143">
        <v>4</v>
      </c>
      <c r="I382" s="143">
        <v>2</v>
      </c>
      <c r="J382" s="133" t="s">
        <v>319</v>
      </c>
      <c r="K382" s="143">
        <f>I382*H382</f>
        <v>8</v>
      </c>
      <c r="L382" s="127"/>
      <c r="M382" s="128"/>
      <c r="N382" s="128"/>
      <c r="O382" s="128"/>
      <c r="P382" s="128"/>
      <c r="Q382" s="129"/>
    </row>
    <row r="383" spans="1:17" ht="14" x14ac:dyDescent="0.15">
      <c r="A383" s="795" t="s">
        <v>149</v>
      </c>
      <c r="B383" s="817"/>
      <c r="C383" s="817"/>
      <c r="D383" s="817"/>
      <c r="E383" s="817"/>
      <c r="F383" s="817"/>
      <c r="G383" s="817"/>
      <c r="H383" s="817"/>
      <c r="I383" s="817"/>
      <c r="J383" s="796"/>
      <c r="K383" s="418">
        <f>SUM(K382:K382)</f>
        <v>8</v>
      </c>
      <c r="L383" s="134"/>
      <c r="M383" s="135"/>
      <c r="N383" s="135"/>
      <c r="O383" s="135"/>
      <c r="P383" s="135"/>
      <c r="Q383" s="136"/>
    </row>
    <row r="384" spans="1:17" x14ac:dyDescent="0.15">
      <c r="A384" s="790"/>
      <c r="B384" s="791"/>
      <c r="C384" s="791"/>
      <c r="D384" s="791"/>
      <c r="E384" s="791"/>
      <c r="F384" s="791"/>
      <c r="G384" s="791"/>
      <c r="H384" s="791"/>
      <c r="I384" s="791"/>
      <c r="J384" s="791"/>
      <c r="K384" s="791"/>
      <c r="L384" s="791"/>
      <c r="M384" s="791"/>
      <c r="N384" s="791"/>
      <c r="O384" s="791"/>
      <c r="P384" s="791"/>
      <c r="Q384" s="792"/>
    </row>
    <row r="385" spans="1:17" s="121" customFormat="1" x14ac:dyDescent="0.15">
      <c r="A385" s="218" t="s">
        <v>0</v>
      </c>
      <c r="B385" s="793" t="s">
        <v>1294</v>
      </c>
      <c r="C385" s="794"/>
      <c r="D385" s="794"/>
      <c r="E385" s="794"/>
      <c r="F385" s="794"/>
      <c r="G385" s="794"/>
      <c r="H385" s="794"/>
      <c r="I385" s="794"/>
      <c r="J385" s="794"/>
      <c r="K385" s="794"/>
      <c r="L385" s="794"/>
      <c r="M385" s="794"/>
      <c r="N385" s="794"/>
      <c r="O385" s="216" t="s">
        <v>73</v>
      </c>
      <c r="P385" s="795" t="s">
        <v>193</v>
      </c>
      <c r="Q385" s="796"/>
    </row>
    <row r="386" spans="1:17" x14ac:dyDescent="0.15">
      <c r="A386" s="790"/>
      <c r="B386" s="791"/>
      <c r="C386" s="791"/>
      <c r="D386" s="791"/>
      <c r="E386" s="791"/>
      <c r="F386" s="791"/>
      <c r="G386" s="791"/>
      <c r="H386" s="791"/>
      <c r="I386" s="791"/>
      <c r="J386" s="791"/>
      <c r="K386" s="791"/>
      <c r="L386" s="791"/>
      <c r="M386" s="791"/>
      <c r="N386" s="791"/>
      <c r="O386" s="791"/>
      <c r="P386" s="791"/>
      <c r="Q386" s="792"/>
    </row>
    <row r="387" spans="1:17" s="126" customFormat="1" x14ac:dyDescent="0.15">
      <c r="A387" s="822" t="s">
        <v>150</v>
      </c>
      <c r="B387" s="823" t="s">
        <v>151</v>
      </c>
      <c r="C387" s="823"/>
      <c r="D387" s="832" t="s">
        <v>246</v>
      </c>
      <c r="E387" s="823" t="s">
        <v>152</v>
      </c>
      <c r="F387" s="823"/>
      <c r="G387" s="823"/>
      <c r="H387" s="802" t="s">
        <v>153</v>
      </c>
      <c r="I387" s="802" t="s">
        <v>242</v>
      </c>
      <c r="J387" s="804" t="s">
        <v>73</v>
      </c>
      <c r="K387" s="216" t="s">
        <v>154</v>
      </c>
      <c r="L387" s="123"/>
      <c r="M387" s="124"/>
      <c r="N387" s="124"/>
      <c r="O387" s="124"/>
      <c r="P387" s="124"/>
      <c r="Q387" s="125"/>
    </row>
    <row r="388" spans="1:17" s="130" customFormat="1" x14ac:dyDescent="0.15">
      <c r="A388" s="822"/>
      <c r="B388" s="823"/>
      <c r="C388" s="823"/>
      <c r="D388" s="833"/>
      <c r="E388" s="217" t="s">
        <v>155</v>
      </c>
      <c r="F388" s="217" t="s">
        <v>156</v>
      </c>
      <c r="G388" s="217" t="s">
        <v>157</v>
      </c>
      <c r="H388" s="803"/>
      <c r="I388" s="803"/>
      <c r="J388" s="805"/>
      <c r="K388" s="216" t="s">
        <v>158</v>
      </c>
      <c r="L388" s="127"/>
      <c r="M388" s="128"/>
      <c r="N388" s="128"/>
      <c r="O388" s="128"/>
      <c r="P388" s="128"/>
      <c r="Q388" s="129"/>
    </row>
    <row r="389" spans="1:17" ht="14" x14ac:dyDescent="0.15">
      <c r="A389" s="148"/>
      <c r="B389" s="788" t="s">
        <v>1297</v>
      </c>
      <c r="C389" s="789"/>
      <c r="D389" s="149"/>
      <c r="E389" s="143">
        <v>4</v>
      </c>
      <c r="F389" s="672">
        <v>0</v>
      </c>
      <c r="G389" s="143">
        <v>0</v>
      </c>
      <c r="H389" s="143">
        <v>4</v>
      </c>
      <c r="I389" s="143">
        <f>E389</f>
        <v>4</v>
      </c>
      <c r="J389" s="133" t="s">
        <v>7</v>
      </c>
      <c r="K389" s="143">
        <f>I389*H389</f>
        <v>16</v>
      </c>
      <c r="L389" s="127"/>
      <c r="M389" s="128"/>
      <c r="N389" s="128"/>
      <c r="O389" s="128"/>
      <c r="P389" s="128"/>
      <c r="Q389" s="129"/>
    </row>
    <row r="390" spans="1:17" ht="14" x14ac:dyDescent="0.15">
      <c r="A390" s="795" t="s">
        <v>149</v>
      </c>
      <c r="B390" s="817"/>
      <c r="C390" s="817"/>
      <c r="D390" s="817"/>
      <c r="E390" s="817"/>
      <c r="F390" s="817"/>
      <c r="G390" s="817"/>
      <c r="H390" s="817"/>
      <c r="I390" s="817"/>
      <c r="J390" s="796"/>
      <c r="K390" s="418">
        <f>SUM(K389:K389)</f>
        <v>16</v>
      </c>
      <c r="L390" s="134"/>
      <c r="M390" s="135"/>
      <c r="N390" s="135"/>
      <c r="O390" s="135"/>
      <c r="P390" s="135"/>
      <c r="Q390" s="136"/>
    </row>
    <row r="391" spans="1:17" x14ac:dyDescent="0.15">
      <c r="A391" s="790"/>
      <c r="B391" s="791"/>
      <c r="C391" s="791"/>
      <c r="D391" s="791"/>
      <c r="E391" s="791"/>
      <c r="F391" s="791"/>
      <c r="G391" s="791"/>
      <c r="H391" s="791"/>
      <c r="I391" s="791"/>
      <c r="J391" s="791"/>
      <c r="K391" s="791"/>
      <c r="L391" s="791"/>
      <c r="M391" s="791"/>
      <c r="N391" s="791"/>
      <c r="O391" s="791"/>
      <c r="P391" s="791"/>
      <c r="Q391" s="792"/>
    </row>
    <row r="392" spans="1:17" s="121" customFormat="1" x14ac:dyDescent="0.15">
      <c r="A392" s="218" t="s">
        <v>0</v>
      </c>
      <c r="B392" s="793" t="s">
        <v>1295</v>
      </c>
      <c r="C392" s="794"/>
      <c r="D392" s="794"/>
      <c r="E392" s="794"/>
      <c r="F392" s="794"/>
      <c r="G392" s="794"/>
      <c r="H392" s="794"/>
      <c r="I392" s="794"/>
      <c r="J392" s="794"/>
      <c r="K392" s="794"/>
      <c r="L392" s="794"/>
      <c r="M392" s="794"/>
      <c r="N392" s="794"/>
      <c r="O392" s="216" t="s">
        <v>73</v>
      </c>
      <c r="P392" s="795" t="s">
        <v>193</v>
      </c>
      <c r="Q392" s="796"/>
    </row>
    <row r="393" spans="1:17" x14ac:dyDescent="0.15">
      <c r="A393" s="790"/>
      <c r="B393" s="791"/>
      <c r="C393" s="791"/>
      <c r="D393" s="791"/>
      <c r="E393" s="791"/>
      <c r="F393" s="791"/>
      <c r="G393" s="791"/>
      <c r="H393" s="791"/>
      <c r="I393" s="791"/>
      <c r="J393" s="791"/>
      <c r="K393" s="791"/>
      <c r="L393" s="791"/>
      <c r="M393" s="791"/>
      <c r="N393" s="791"/>
      <c r="O393" s="791"/>
      <c r="P393" s="791"/>
      <c r="Q393" s="792"/>
    </row>
    <row r="394" spans="1:17" s="126" customFormat="1" x14ac:dyDescent="0.15">
      <c r="A394" s="822" t="s">
        <v>150</v>
      </c>
      <c r="B394" s="823" t="s">
        <v>151</v>
      </c>
      <c r="C394" s="823"/>
      <c r="D394" s="832" t="s">
        <v>246</v>
      </c>
      <c r="E394" s="823" t="s">
        <v>152</v>
      </c>
      <c r="F394" s="823"/>
      <c r="G394" s="823"/>
      <c r="H394" s="802" t="s">
        <v>153</v>
      </c>
      <c r="I394" s="802" t="s">
        <v>242</v>
      </c>
      <c r="J394" s="804" t="s">
        <v>73</v>
      </c>
      <c r="K394" s="216" t="s">
        <v>154</v>
      </c>
      <c r="L394" s="123"/>
      <c r="M394" s="124"/>
      <c r="N394" s="124"/>
      <c r="O394" s="124"/>
      <c r="P394" s="124"/>
      <c r="Q394" s="125"/>
    </row>
    <row r="395" spans="1:17" s="130" customFormat="1" x14ac:dyDescent="0.15">
      <c r="A395" s="822"/>
      <c r="B395" s="823"/>
      <c r="C395" s="823"/>
      <c r="D395" s="833"/>
      <c r="E395" s="217" t="s">
        <v>155</v>
      </c>
      <c r="F395" s="217" t="s">
        <v>156</v>
      </c>
      <c r="G395" s="217" t="s">
        <v>157</v>
      </c>
      <c r="H395" s="803"/>
      <c r="I395" s="803"/>
      <c r="J395" s="805"/>
      <c r="K395" s="216" t="s">
        <v>158</v>
      </c>
      <c r="L395" s="127"/>
      <c r="M395" s="128"/>
      <c r="N395" s="128"/>
      <c r="O395" s="128"/>
      <c r="P395" s="128"/>
      <c r="Q395" s="129"/>
    </row>
    <row r="396" spans="1:17" ht="14" x14ac:dyDescent="0.15">
      <c r="A396" s="148"/>
      <c r="B396" s="788" t="s">
        <v>1291</v>
      </c>
      <c r="C396" s="789"/>
      <c r="D396" s="149"/>
      <c r="E396" s="143">
        <v>19.2</v>
      </c>
      <c r="F396" s="672">
        <v>0</v>
      </c>
      <c r="G396" s="143">
        <v>0</v>
      </c>
      <c r="H396" s="143">
        <v>1</v>
      </c>
      <c r="I396" s="143">
        <f>E396</f>
        <v>19.2</v>
      </c>
      <c r="J396" s="133" t="s">
        <v>7</v>
      </c>
      <c r="K396" s="143">
        <f>I396*H396</f>
        <v>19.2</v>
      </c>
      <c r="L396" s="127"/>
      <c r="M396" s="128"/>
      <c r="N396" s="128"/>
      <c r="O396" s="128"/>
      <c r="P396" s="128"/>
      <c r="Q396" s="129"/>
    </row>
    <row r="397" spans="1:17" ht="14" x14ac:dyDescent="0.15">
      <c r="A397" s="148"/>
      <c r="B397" s="788" t="s">
        <v>1292</v>
      </c>
      <c r="C397" s="789"/>
      <c r="D397" s="149"/>
      <c r="E397" s="143">
        <v>12</v>
      </c>
      <c r="F397" s="672">
        <v>0</v>
      </c>
      <c r="G397" s="143">
        <v>0</v>
      </c>
      <c r="H397" s="143">
        <v>1</v>
      </c>
      <c r="I397" s="143">
        <f>E397</f>
        <v>12</v>
      </c>
      <c r="J397" s="133" t="s">
        <v>7</v>
      </c>
      <c r="K397" s="143">
        <f>I397*H397</f>
        <v>12</v>
      </c>
      <c r="L397" s="127"/>
      <c r="M397" s="128"/>
      <c r="N397" s="128"/>
      <c r="O397" s="128"/>
      <c r="P397" s="128"/>
      <c r="Q397" s="129"/>
    </row>
    <row r="398" spans="1:17" ht="14" x14ac:dyDescent="0.15">
      <c r="A398" s="795" t="s">
        <v>149</v>
      </c>
      <c r="B398" s="817"/>
      <c r="C398" s="817"/>
      <c r="D398" s="817"/>
      <c r="E398" s="817"/>
      <c r="F398" s="817"/>
      <c r="G398" s="817"/>
      <c r="H398" s="817"/>
      <c r="I398" s="817"/>
      <c r="J398" s="796"/>
      <c r="K398" s="418">
        <f>SUM(K396:K397)</f>
        <v>31.2</v>
      </c>
      <c r="L398" s="134"/>
      <c r="M398" s="135"/>
      <c r="N398" s="135"/>
      <c r="O398" s="135"/>
      <c r="P398" s="135"/>
      <c r="Q398" s="136"/>
    </row>
    <row r="399" spans="1:17" x14ac:dyDescent="0.15">
      <c r="A399" s="790"/>
      <c r="B399" s="791"/>
      <c r="C399" s="791"/>
      <c r="D399" s="791"/>
      <c r="E399" s="791"/>
      <c r="F399" s="791"/>
      <c r="G399" s="791"/>
      <c r="H399" s="791"/>
      <c r="I399" s="791"/>
      <c r="J399" s="791"/>
      <c r="K399" s="791"/>
      <c r="L399" s="791"/>
      <c r="M399" s="791"/>
      <c r="N399" s="791"/>
      <c r="O399" s="791"/>
      <c r="P399" s="791"/>
      <c r="Q399" s="792"/>
    </row>
    <row r="400" spans="1:17" s="121" customFormat="1" ht="18" customHeight="1" x14ac:dyDescent="0.15">
      <c r="A400" s="218" t="s">
        <v>0</v>
      </c>
      <c r="B400" s="843" t="s">
        <v>1296</v>
      </c>
      <c r="C400" s="844"/>
      <c r="D400" s="844"/>
      <c r="E400" s="844"/>
      <c r="F400" s="844"/>
      <c r="G400" s="844"/>
      <c r="H400" s="844"/>
      <c r="I400" s="844"/>
      <c r="J400" s="844"/>
      <c r="K400" s="844"/>
      <c r="L400" s="844"/>
      <c r="M400" s="844"/>
      <c r="N400" s="844"/>
      <c r="O400" s="216" t="s">
        <v>73</v>
      </c>
      <c r="P400" s="795" t="s">
        <v>319</v>
      </c>
      <c r="Q400" s="796"/>
    </row>
    <row r="401" spans="1:17" x14ac:dyDescent="0.15">
      <c r="A401" s="790"/>
      <c r="B401" s="791"/>
      <c r="C401" s="791"/>
      <c r="D401" s="791"/>
      <c r="E401" s="791"/>
      <c r="F401" s="791"/>
      <c r="G401" s="791"/>
      <c r="H401" s="791"/>
      <c r="I401" s="791"/>
      <c r="J401" s="791"/>
      <c r="K401" s="791"/>
      <c r="L401" s="791"/>
      <c r="M401" s="791"/>
      <c r="N401" s="791"/>
      <c r="O401" s="791"/>
      <c r="P401" s="791"/>
      <c r="Q401" s="792"/>
    </row>
    <row r="402" spans="1:17" s="126" customFormat="1" ht="12.75" customHeight="1" x14ac:dyDescent="0.15">
      <c r="A402" s="822" t="s">
        <v>150</v>
      </c>
      <c r="B402" s="823" t="s">
        <v>151</v>
      </c>
      <c r="C402" s="823"/>
      <c r="D402" s="802"/>
      <c r="E402" s="823" t="s">
        <v>152</v>
      </c>
      <c r="F402" s="823"/>
      <c r="G402" s="823"/>
      <c r="H402" s="802" t="s">
        <v>153</v>
      </c>
      <c r="I402" s="802" t="s">
        <v>479</v>
      </c>
      <c r="J402" s="804" t="s">
        <v>73</v>
      </c>
      <c r="K402" s="216" t="s">
        <v>154</v>
      </c>
      <c r="L402" s="123"/>
      <c r="M402" s="124"/>
      <c r="N402" s="124"/>
      <c r="O402" s="124"/>
      <c r="P402" s="124"/>
      <c r="Q402" s="125"/>
    </row>
    <row r="403" spans="1:17" s="130" customFormat="1" x14ac:dyDescent="0.15">
      <c r="A403" s="822"/>
      <c r="B403" s="823"/>
      <c r="C403" s="823"/>
      <c r="D403" s="803"/>
      <c r="E403" s="217" t="s">
        <v>155</v>
      </c>
      <c r="F403" s="217" t="s">
        <v>156</v>
      </c>
      <c r="G403" s="217" t="s">
        <v>157</v>
      </c>
      <c r="H403" s="803"/>
      <c r="I403" s="803"/>
      <c r="J403" s="805"/>
      <c r="K403" s="216" t="s">
        <v>158</v>
      </c>
      <c r="L403" s="127"/>
      <c r="M403" s="128"/>
      <c r="N403" s="128"/>
      <c r="O403" s="128"/>
      <c r="P403" s="128"/>
      <c r="Q403" s="129"/>
    </row>
    <row r="404" spans="1:17" ht="21" customHeight="1" x14ac:dyDescent="0.15">
      <c r="A404" s="148"/>
      <c r="B404" s="788" t="s">
        <v>1038</v>
      </c>
      <c r="C404" s="789"/>
      <c r="D404" s="143"/>
      <c r="E404" s="143">
        <v>0</v>
      </c>
      <c r="F404" s="143">
        <v>0</v>
      </c>
      <c r="G404" s="143">
        <v>0</v>
      </c>
      <c r="H404" s="143">
        <v>1</v>
      </c>
      <c r="I404" s="143">
        <v>1</v>
      </c>
      <c r="J404" s="133" t="s">
        <v>319</v>
      </c>
      <c r="K404" s="143">
        <f>I404*H404</f>
        <v>1</v>
      </c>
      <c r="L404" s="127"/>
      <c r="M404" s="128"/>
      <c r="N404" s="128"/>
      <c r="O404" s="128"/>
      <c r="P404" s="128"/>
      <c r="Q404" s="129"/>
    </row>
    <row r="405" spans="1:17" ht="14" x14ac:dyDescent="0.15">
      <c r="A405" s="795" t="s">
        <v>149</v>
      </c>
      <c r="B405" s="817"/>
      <c r="C405" s="817"/>
      <c r="D405" s="817"/>
      <c r="E405" s="817"/>
      <c r="F405" s="817"/>
      <c r="G405" s="817"/>
      <c r="H405" s="817"/>
      <c r="I405" s="817"/>
      <c r="J405" s="796"/>
      <c r="K405" s="418">
        <f>SUM(K404:K404)</f>
        <v>1</v>
      </c>
      <c r="L405" s="134"/>
      <c r="M405" s="135"/>
      <c r="N405" s="135"/>
      <c r="O405" s="135"/>
      <c r="P405" s="135"/>
      <c r="Q405" s="136"/>
    </row>
    <row r="406" spans="1:17" x14ac:dyDescent="0.15">
      <c r="A406" s="790"/>
      <c r="B406" s="791"/>
      <c r="C406" s="791"/>
      <c r="D406" s="791"/>
      <c r="E406" s="791"/>
      <c r="F406" s="791"/>
      <c r="G406" s="791"/>
      <c r="H406" s="791"/>
      <c r="I406" s="791"/>
      <c r="J406" s="791"/>
      <c r="K406" s="791"/>
      <c r="L406" s="791"/>
      <c r="M406" s="791"/>
      <c r="N406" s="791"/>
      <c r="O406" s="791"/>
      <c r="P406" s="791"/>
      <c r="Q406" s="792"/>
    </row>
    <row r="407" spans="1:17" s="121" customFormat="1" ht="18" customHeight="1" x14ac:dyDescent="0.15">
      <c r="A407" s="218" t="s">
        <v>0</v>
      </c>
      <c r="B407" s="841" t="s">
        <v>1041</v>
      </c>
      <c r="C407" s="842"/>
      <c r="D407" s="842"/>
      <c r="E407" s="842"/>
      <c r="F407" s="842"/>
      <c r="G407" s="842"/>
      <c r="H407" s="842"/>
      <c r="I407" s="842"/>
      <c r="J407" s="842"/>
      <c r="K407" s="842"/>
      <c r="L407" s="842"/>
      <c r="M407" s="842"/>
      <c r="N407" s="842"/>
      <c r="O407" s="216" t="s">
        <v>73</v>
      </c>
      <c r="P407" s="795" t="s">
        <v>319</v>
      </c>
      <c r="Q407" s="796"/>
    </row>
    <row r="408" spans="1:17" x14ac:dyDescent="0.15">
      <c r="A408" s="790"/>
      <c r="B408" s="791"/>
      <c r="C408" s="791"/>
      <c r="D408" s="791"/>
      <c r="E408" s="791"/>
      <c r="F408" s="791"/>
      <c r="G408" s="791"/>
      <c r="H408" s="791"/>
      <c r="I408" s="791"/>
      <c r="J408" s="791"/>
      <c r="K408" s="791"/>
      <c r="L408" s="791"/>
      <c r="M408" s="791"/>
      <c r="N408" s="791"/>
      <c r="O408" s="791"/>
      <c r="P408" s="791"/>
      <c r="Q408" s="792"/>
    </row>
    <row r="409" spans="1:17" s="126" customFormat="1" ht="12.75" customHeight="1" x14ac:dyDescent="0.15">
      <c r="A409" s="822" t="s">
        <v>150</v>
      </c>
      <c r="B409" s="823" t="s">
        <v>151</v>
      </c>
      <c r="C409" s="823"/>
      <c r="D409" s="802"/>
      <c r="E409" s="823" t="s">
        <v>152</v>
      </c>
      <c r="F409" s="823"/>
      <c r="G409" s="823"/>
      <c r="H409" s="802" t="s">
        <v>153</v>
      </c>
      <c r="I409" s="802" t="s">
        <v>479</v>
      </c>
      <c r="J409" s="804" t="s">
        <v>73</v>
      </c>
      <c r="K409" s="216" t="s">
        <v>154</v>
      </c>
      <c r="L409" s="123"/>
      <c r="M409" s="124"/>
      <c r="N409" s="124"/>
      <c r="O409" s="124"/>
      <c r="P409" s="124"/>
      <c r="Q409" s="125"/>
    </row>
    <row r="410" spans="1:17" s="130" customFormat="1" x14ac:dyDescent="0.15">
      <c r="A410" s="822"/>
      <c r="B410" s="823"/>
      <c r="C410" s="823"/>
      <c r="D410" s="803"/>
      <c r="E410" s="217" t="s">
        <v>155</v>
      </c>
      <c r="F410" s="217" t="s">
        <v>156</v>
      </c>
      <c r="G410" s="217" t="s">
        <v>157</v>
      </c>
      <c r="H410" s="803"/>
      <c r="I410" s="803"/>
      <c r="J410" s="805"/>
      <c r="K410" s="216" t="s">
        <v>158</v>
      </c>
      <c r="L410" s="127"/>
      <c r="M410" s="128"/>
      <c r="N410" s="128"/>
      <c r="O410" s="128"/>
      <c r="P410" s="128"/>
      <c r="Q410" s="129"/>
    </row>
    <row r="411" spans="1:17" ht="28.5" customHeight="1" x14ac:dyDescent="0.15">
      <c r="A411" s="148"/>
      <c r="B411" s="788" t="s">
        <v>1042</v>
      </c>
      <c r="C411" s="789"/>
      <c r="D411" s="143"/>
      <c r="E411" s="143">
        <v>0</v>
      </c>
      <c r="F411" s="143">
        <v>0</v>
      </c>
      <c r="G411" s="143">
        <v>0</v>
      </c>
      <c r="H411" s="143">
        <v>4</v>
      </c>
      <c r="I411" s="143">
        <v>1</v>
      </c>
      <c r="J411" s="133" t="s">
        <v>319</v>
      </c>
      <c r="K411" s="143">
        <f>I411*H411</f>
        <v>4</v>
      </c>
      <c r="L411" s="127"/>
      <c r="M411" s="128"/>
      <c r="N411" s="128"/>
      <c r="O411" s="128"/>
      <c r="P411" s="128"/>
      <c r="Q411" s="129"/>
    </row>
    <row r="412" spans="1:17" ht="14" x14ac:dyDescent="0.15">
      <c r="A412" s="795" t="s">
        <v>149</v>
      </c>
      <c r="B412" s="817"/>
      <c r="C412" s="817"/>
      <c r="D412" s="817"/>
      <c r="E412" s="817"/>
      <c r="F412" s="817"/>
      <c r="G412" s="817"/>
      <c r="H412" s="817"/>
      <c r="I412" s="817"/>
      <c r="J412" s="796"/>
      <c r="K412" s="418">
        <f>SUM(K411:K411)</f>
        <v>4</v>
      </c>
      <c r="L412" s="134"/>
      <c r="M412" s="135"/>
      <c r="N412" s="135"/>
      <c r="O412" s="135"/>
      <c r="P412" s="135"/>
      <c r="Q412" s="136"/>
    </row>
    <row r="413" spans="1:17" x14ac:dyDescent="0.15">
      <c r="A413" s="790"/>
      <c r="B413" s="791"/>
      <c r="C413" s="791"/>
      <c r="D413" s="791"/>
      <c r="E413" s="791"/>
      <c r="F413" s="791"/>
      <c r="G413" s="791"/>
      <c r="H413" s="791"/>
      <c r="I413" s="791"/>
      <c r="J413" s="791"/>
      <c r="K413" s="791"/>
      <c r="L413" s="791"/>
      <c r="M413" s="791"/>
      <c r="N413" s="791"/>
      <c r="O413" s="791"/>
      <c r="P413" s="791"/>
      <c r="Q413" s="792"/>
    </row>
    <row r="414" spans="1:17" s="121" customFormat="1" x14ac:dyDescent="0.15">
      <c r="A414" s="218" t="s">
        <v>0</v>
      </c>
      <c r="B414" s="841" t="s">
        <v>1333</v>
      </c>
      <c r="C414" s="842"/>
      <c r="D414" s="842"/>
      <c r="E414" s="842"/>
      <c r="F414" s="842"/>
      <c r="G414" s="842"/>
      <c r="H414" s="842"/>
      <c r="I414" s="842"/>
      <c r="J414" s="842"/>
      <c r="K414" s="842"/>
      <c r="L414" s="842"/>
      <c r="M414" s="842"/>
      <c r="N414" s="842"/>
      <c r="O414" s="216" t="s">
        <v>73</v>
      </c>
      <c r="P414" s="795" t="s">
        <v>319</v>
      </c>
      <c r="Q414" s="796"/>
    </row>
    <row r="415" spans="1:17" x14ac:dyDescent="0.15">
      <c r="A415" s="790"/>
      <c r="B415" s="791"/>
      <c r="C415" s="791"/>
      <c r="D415" s="791"/>
      <c r="E415" s="791"/>
      <c r="F415" s="791"/>
      <c r="G415" s="791"/>
      <c r="H415" s="791"/>
      <c r="I415" s="791"/>
      <c r="J415" s="791"/>
      <c r="K415" s="791"/>
      <c r="L415" s="791"/>
      <c r="M415" s="791"/>
      <c r="N415" s="791"/>
      <c r="O415" s="791"/>
      <c r="P415" s="791"/>
      <c r="Q415" s="792"/>
    </row>
    <row r="416" spans="1:17" s="126" customFormat="1" x14ac:dyDescent="0.15">
      <c r="A416" s="822" t="s">
        <v>150</v>
      </c>
      <c r="B416" s="823" t="s">
        <v>151</v>
      </c>
      <c r="C416" s="823"/>
      <c r="D416" s="802"/>
      <c r="E416" s="823" t="s">
        <v>152</v>
      </c>
      <c r="F416" s="823"/>
      <c r="G416" s="823"/>
      <c r="H416" s="802" t="s">
        <v>153</v>
      </c>
      <c r="I416" s="802" t="s">
        <v>479</v>
      </c>
      <c r="J416" s="804" t="s">
        <v>73</v>
      </c>
      <c r="K416" s="216" t="s">
        <v>154</v>
      </c>
      <c r="L416" s="123"/>
      <c r="M416" s="124"/>
      <c r="N416" s="124"/>
      <c r="O416" s="124"/>
      <c r="P416" s="124"/>
      <c r="Q416" s="125"/>
    </row>
    <row r="417" spans="1:17" s="130" customFormat="1" x14ac:dyDescent="0.15">
      <c r="A417" s="822"/>
      <c r="B417" s="823"/>
      <c r="C417" s="823"/>
      <c r="D417" s="803"/>
      <c r="E417" s="217" t="s">
        <v>155</v>
      </c>
      <c r="F417" s="217" t="s">
        <v>156</v>
      </c>
      <c r="G417" s="217" t="s">
        <v>157</v>
      </c>
      <c r="H417" s="803"/>
      <c r="I417" s="803"/>
      <c r="J417" s="805"/>
      <c r="K417" s="216" t="s">
        <v>158</v>
      </c>
      <c r="L417" s="127"/>
      <c r="M417" s="128"/>
      <c r="N417" s="128"/>
      <c r="O417" s="128"/>
      <c r="P417" s="128"/>
      <c r="Q417" s="129"/>
    </row>
    <row r="418" spans="1:17" ht="14" x14ac:dyDescent="0.15">
      <c r="A418" s="148"/>
      <c r="B418" s="788" t="s">
        <v>1303</v>
      </c>
      <c r="C418" s="789"/>
      <c r="D418" s="143"/>
      <c r="E418" s="143">
        <v>0</v>
      </c>
      <c r="F418" s="143">
        <v>0</v>
      </c>
      <c r="G418" s="143">
        <v>0</v>
      </c>
      <c r="H418" s="143">
        <v>4</v>
      </c>
      <c r="I418" s="143">
        <v>1</v>
      </c>
      <c r="J418" s="133" t="s">
        <v>319</v>
      </c>
      <c r="K418" s="143">
        <f>I418*H418</f>
        <v>4</v>
      </c>
      <c r="L418" s="127"/>
      <c r="M418" s="128"/>
      <c r="N418" s="128"/>
      <c r="O418" s="128"/>
      <c r="P418" s="128"/>
      <c r="Q418" s="129"/>
    </row>
    <row r="419" spans="1:17" ht="14" x14ac:dyDescent="0.15">
      <c r="A419" s="795" t="s">
        <v>149</v>
      </c>
      <c r="B419" s="817"/>
      <c r="C419" s="817"/>
      <c r="D419" s="817"/>
      <c r="E419" s="817"/>
      <c r="F419" s="817"/>
      <c r="G419" s="817"/>
      <c r="H419" s="817"/>
      <c r="I419" s="817"/>
      <c r="J419" s="796"/>
      <c r="K419" s="418">
        <f>SUM(K418:K418)</f>
        <v>4</v>
      </c>
      <c r="L419" s="134"/>
      <c r="M419" s="135"/>
      <c r="N419" s="135"/>
      <c r="O419" s="135"/>
      <c r="P419" s="135"/>
      <c r="Q419" s="136"/>
    </row>
    <row r="420" spans="1:17" x14ac:dyDescent="0.15">
      <c r="A420" s="790"/>
      <c r="B420" s="791"/>
      <c r="C420" s="791"/>
      <c r="D420" s="791"/>
      <c r="E420" s="791"/>
      <c r="F420" s="791"/>
      <c r="G420" s="791"/>
      <c r="H420" s="791"/>
      <c r="I420" s="791"/>
      <c r="J420" s="791"/>
      <c r="K420" s="791"/>
      <c r="L420" s="791"/>
      <c r="M420" s="791"/>
      <c r="N420" s="791"/>
      <c r="O420" s="791"/>
      <c r="P420" s="791"/>
      <c r="Q420" s="792"/>
    </row>
    <row r="421" spans="1:17" s="121" customFormat="1" x14ac:dyDescent="0.15">
      <c r="A421" s="218" t="s">
        <v>0</v>
      </c>
      <c r="B421" s="841" t="s">
        <v>1334</v>
      </c>
      <c r="C421" s="842"/>
      <c r="D421" s="842"/>
      <c r="E421" s="842"/>
      <c r="F421" s="842"/>
      <c r="G421" s="842"/>
      <c r="H421" s="842"/>
      <c r="I421" s="842"/>
      <c r="J421" s="842"/>
      <c r="K421" s="842"/>
      <c r="L421" s="842"/>
      <c r="M421" s="842"/>
      <c r="N421" s="842"/>
      <c r="O421" s="216" t="s">
        <v>73</v>
      </c>
      <c r="P421" s="795" t="s">
        <v>319</v>
      </c>
      <c r="Q421" s="796"/>
    </row>
    <row r="422" spans="1:17" x14ac:dyDescent="0.15">
      <c r="A422" s="790"/>
      <c r="B422" s="791"/>
      <c r="C422" s="791"/>
      <c r="D422" s="791"/>
      <c r="E422" s="791"/>
      <c r="F422" s="791"/>
      <c r="G422" s="791"/>
      <c r="H422" s="791"/>
      <c r="I422" s="791"/>
      <c r="J422" s="791"/>
      <c r="K422" s="791"/>
      <c r="L422" s="791"/>
      <c r="M422" s="791"/>
      <c r="N422" s="791"/>
      <c r="O422" s="791"/>
      <c r="P422" s="791"/>
      <c r="Q422" s="792"/>
    </row>
    <row r="423" spans="1:17" s="126" customFormat="1" x14ac:dyDescent="0.15">
      <c r="A423" s="822" t="s">
        <v>150</v>
      </c>
      <c r="B423" s="823" t="s">
        <v>151</v>
      </c>
      <c r="C423" s="823"/>
      <c r="D423" s="802"/>
      <c r="E423" s="823" t="s">
        <v>152</v>
      </c>
      <c r="F423" s="823"/>
      <c r="G423" s="823"/>
      <c r="H423" s="802" t="s">
        <v>153</v>
      </c>
      <c r="I423" s="802" t="s">
        <v>479</v>
      </c>
      <c r="J423" s="804" t="s">
        <v>73</v>
      </c>
      <c r="K423" s="216" t="s">
        <v>154</v>
      </c>
      <c r="L423" s="123"/>
      <c r="M423" s="124"/>
      <c r="N423" s="124"/>
      <c r="O423" s="124"/>
      <c r="P423" s="124"/>
      <c r="Q423" s="125"/>
    </row>
    <row r="424" spans="1:17" s="130" customFormat="1" x14ac:dyDescent="0.15">
      <c r="A424" s="822"/>
      <c r="B424" s="823"/>
      <c r="C424" s="823"/>
      <c r="D424" s="803"/>
      <c r="E424" s="217" t="s">
        <v>155</v>
      </c>
      <c r="F424" s="217" t="s">
        <v>156</v>
      </c>
      <c r="G424" s="217" t="s">
        <v>157</v>
      </c>
      <c r="H424" s="803"/>
      <c r="I424" s="803"/>
      <c r="J424" s="805"/>
      <c r="K424" s="216" t="s">
        <v>158</v>
      </c>
      <c r="L424" s="127"/>
      <c r="M424" s="128"/>
      <c r="N424" s="128"/>
      <c r="O424" s="128"/>
      <c r="P424" s="128"/>
      <c r="Q424" s="129"/>
    </row>
    <row r="425" spans="1:17" ht="14" x14ac:dyDescent="0.15">
      <c r="A425" s="148"/>
      <c r="B425" s="788" t="s">
        <v>1304</v>
      </c>
      <c r="C425" s="789"/>
      <c r="D425" s="143"/>
      <c r="E425" s="143">
        <v>0</v>
      </c>
      <c r="F425" s="143">
        <v>0</v>
      </c>
      <c r="G425" s="143">
        <v>0</v>
      </c>
      <c r="H425" s="143">
        <v>4</v>
      </c>
      <c r="I425" s="143">
        <v>1</v>
      </c>
      <c r="J425" s="133" t="s">
        <v>319</v>
      </c>
      <c r="K425" s="143">
        <f>I425*H425</f>
        <v>4</v>
      </c>
      <c r="L425" s="127"/>
      <c r="M425" s="128"/>
      <c r="N425" s="128"/>
      <c r="O425" s="128"/>
      <c r="P425" s="128"/>
      <c r="Q425" s="129"/>
    </row>
    <row r="426" spans="1:17" ht="14" x14ac:dyDescent="0.15">
      <c r="A426" s="795" t="s">
        <v>149</v>
      </c>
      <c r="B426" s="817"/>
      <c r="C426" s="817"/>
      <c r="D426" s="817"/>
      <c r="E426" s="817"/>
      <c r="F426" s="817"/>
      <c r="G426" s="817"/>
      <c r="H426" s="817"/>
      <c r="I426" s="817"/>
      <c r="J426" s="796"/>
      <c r="K426" s="418">
        <f>SUM(K425:K425)</f>
        <v>4</v>
      </c>
      <c r="L426" s="134"/>
      <c r="M426" s="135"/>
      <c r="N426" s="135"/>
      <c r="O426" s="135"/>
      <c r="P426" s="135"/>
      <c r="Q426" s="136"/>
    </row>
    <row r="427" spans="1:17" x14ac:dyDescent="0.15">
      <c r="A427" s="790"/>
      <c r="B427" s="791"/>
      <c r="C427" s="791"/>
      <c r="D427" s="791"/>
      <c r="E427" s="791"/>
      <c r="F427" s="791"/>
      <c r="G427" s="791"/>
      <c r="H427" s="791"/>
      <c r="I427" s="791"/>
      <c r="J427" s="791"/>
      <c r="K427" s="791"/>
      <c r="L427" s="791"/>
      <c r="M427" s="791"/>
      <c r="N427" s="791"/>
      <c r="O427" s="791"/>
      <c r="P427" s="791"/>
      <c r="Q427" s="792"/>
    </row>
    <row r="428" spans="1:17" s="121" customFormat="1" x14ac:dyDescent="0.15">
      <c r="A428" s="218" t="s">
        <v>0</v>
      </c>
      <c r="B428" s="841" t="s">
        <v>1332</v>
      </c>
      <c r="C428" s="842"/>
      <c r="D428" s="842"/>
      <c r="E428" s="842"/>
      <c r="F428" s="842"/>
      <c r="G428" s="842"/>
      <c r="H428" s="842"/>
      <c r="I428" s="842"/>
      <c r="J428" s="842"/>
      <c r="K428" s="842"/>
      <c r="L428" s="842"/>
      <c r="M428" s="842"/>
      <c r="N428" s="842"/>
      <c r="O428" s="216" t="s">
        <v>73</v>
      </c>
      <c r="P428" s="795" t="s">
        <v>319</v>
      </c>
      <c r="Q428" s="796"/>
    </row>
    <row r="429" spans="1:17" x14ac:dyDescent="0.15">
      <c r="A429" s="790"/>
      <c r="B429" s="791"/>
      <c r="C429" s="791"/>
      <c r="D429" s="791"/>
      <c r="E429" s="791"/>
      <c r="F429" s="791"/>
      <c r="G429" s="791"/>
      <c r="H429" s="791"/>
      <c r="I429" s="791"/>
      <c r="J429" s="791"/>
      <c r="K429" s="791"/>
      <c r="L429" s="791"/>
      <c r="M429" s="791"/>
      <c r="N429" s="791"/>
      <c r="O429" s="791"/>
      <c r="P429" s="791"/>
      <c r="Q429" s="792"/>
    </row>
    <row r="430" spans="1:17" s="126" customFormat="1" x14ac:dyDescent="0.15">
      <c r="A430" s="822" t="s">
        <v>150</v>
      </c>
      <c r="B430" s="823" t="s">
        <v>151</v>
      </c>
      <c r="C430" s="823"/>
      <c r="D430" s="802" t="s">
        <v>165</v>
      </c>
      <c r="E430" s="823" t="s">
        <v>152</v>
      </c>
      <c r="F430" s="823"/>
      <c r="G430" s="823"/>
      <c r="H430" s="802" t="s">
        <v>153</v>
      </c>
      <c r="I430" s="802" t="s">
        <v>479</v>
      </c>
      <c r="J430" s="804" t="s">
        <v>73</v>
      </c>
      <c r="K430" s="216" t="s">
        <v>154</v>
      </c>
      <c r="L430" s="123"/>
      <c r="M430" s="124"/>
      <c r="N430" s="124"/>
      <c r="O430" s="124"/>
      <c r="P430" s="124"/>
      <c r="Q430" s="125"/>
    </row>
    <row r="431" spans="1:17" s="130" customFormat="1" x14ac:dyDescent="0.15">
      <c r="A431" s="822"/>
      <c r="B431" s="823"/>
      <c r="C431" s="823"/>
      <c r="D431" s="803"/>
      <c r="E431" s="217" t="s">
        <v>155</v>
      </c>
      <c r="F431" s="217" t="s">
        <v>156</v>
      </c>
      <c r="G431" s="217" t="s">
        <v>157</v>
      </c>
      <c r="H431" s="803"/>
      <c r="I431" s="803"/>
      <c r="J431" s="805"/>
      <c r="K431" s="216" t="s">
        <v>158</v>
      </c>
      <c r="L431" s="127"/>
      <c r="M431" s="128"/>
      <c r="N431" s="128"/>
      <c r="O431" s="128"/>
      <c r="P431" s="128"/>
      <c r="Q431" s="129"/>
    </row>
    <row r="432" spans="1:17" ht="14" x14ac:dyDescent="0.15">
      <c r="A432" s="148"/>
      <c r="B432" s="788" t="s">
        <v>1308</v>
      </c>
      <c r="C432" s="789"/>
      <c r="D432" s="143" t="s">
        <v>1299</v>
      </c>
      <c r="E432" s="143">
        <v>0</v>
      </c>
      <c r="F432" s="143">
        <v>0</v>
      </c>
      <c r="G432" s="143">
        <v>0</v>
      </c>
      <c r="H432" s="143">
        <v>4</v>
      </c>
      <c r="I432" s="143">
        <v>1</v>
      </c>
      <c r="J432" s="133" t="s">
        <v>319</v>
      </c>
      <c r="K432" s="143">
        <f>I432*H432</f>
        <v>4</v>
      </c>
      <c r="L432" s="127"/>
      <c r="M432" s="128"/>
      <c r="N432" s="128"/>
      <c r="O432" s="128"/>
      <c r="P432" s="128"/>
      <c r="Q432" s="129"/>
    </row>
    <row r="433" spans="1:17" ht="14" x14ac:dyDescent="0.15">
      <c r="A433" s="795" t="s">
        <v>149</v>
      </c>
      <c r="B433" s="817"/>
      <c r="C433" s="817"/>
      <c r="D433" s="817"/>
      <c r="E433" s="817"/>
      <c r="F433" s="817"/>
      <c r="G433" s="817"/>
      <c r="H433" s="817"/>
      <c r="I433" s="817"/>
      <c r="J433" s="796"/>
      <c r="K433" s="418">
        <f>SUM(K432:K432)</f>
        <v>4</v>
      </c>
      <c r="L433" s="134"/>
      <c r="M433" s="135"/>
      <c r="N433" s="135"/>
      <c r="O433" s="135"/>
      <c r="P433" s="135"/>
      <c r="Q433" s="136"/>
    </row>
    <row r="434" spans="1:17" x14ac:dyDescent="0.15">
      <c r="A434" s="790"/>
      <c r="B434" s="791"/>
      <c r="C434" s="791"/>
      <c r="D434" s="791"/>
      <c r="E434" s="791"/>
      <c r="F434" s="791"/>
      <c r="G434" s="791"/>
      <c r="H434" s="791"/>
      <c r="I434" s="791"/>
      <c r="J434" s="791"/>
      <c r="K434" s="791"/>
      <c r="L434" s="791"/>
      <c r="M434" s="791"/>
      <c r="N434" s="791"/>
      <c r="O434" s="791"/>
      <c r="P434" s="791"/>
      <c r="Q434" s="792"/>
    </row>
    <row r="435" spans="1:17" s="121" customFormat="1" x14ac:dyDescent="0.15">
      <c r="A435" s="218" t="s">
        <v>0</v>
      </c>
      <c r="B435" s="841" t="s">
        <v>1331</v>
      </c>
      <c r="C435" s="842"/>
      <c r="D435" s="842"/>
      <c r="E435" s="842"/>
      <c r="F435" s="842"/>
      <c r="G435" s="842"/>
      <c r="H435" s="842"/>
      <c r="I435" s="842"/>
      <c r="J435" s="842"/>
      <c r="K435" s="842"/>
      <c r="L435" s="842"/>
      <c r="M435" s="842"/>
      <c r="N435" s="842"/>
      <c r="O435" s="216" t="s">
        <v>73</v>
      </c>
      <c r="P435" s="795" t="s">
        <v>319</v>
      </c>
      <c r="Q435" s="796"/>
    </row>
    <row r="436" spans="1:17" x14ac:dyDescent="0.15">
      <c r="A436" s="790"/>
      <c r="B436" s="791"/>
      <c r="C436" s="791"/>
      <c r="D436" s="791"/>
      <c r="E436" s="791"/>
      <c r="F436" s="791"/>
      <c r="G436" s="791"/>
      <c r="H436" s="791"/>
      <c r="I436" s="791"/>
      <c r="J436" s="791"/>
      <c r="K436" s="791"/>
      <c r="L436" s="791"/>
      <c r="M436" s="791"/>
      <c r="N436" s="791"/>
      <c r="O436" s="791"/>
      <c r="P436" s="791"/>
      <c r="Q436" s="792"/>
    </row>
    <row r="437" spans="1:17" s="126" customFormat="1" x14ac:dyDescent="0.15">
      <c r="A437" s="822" t="s">
        <v>150</v>
      </c>
      <c r="B437" s="823" t="s">
        <v>151</v>
      </c>
      <c r="C437" s="823"/>
      <c r="D437" s="802" t="s">
        <v>165</v>
      </c>
      <c r="E437" s="823" t="s">
        <v>152</v>
      </c>
      <c r="F437" s="823"/>
      <c r="G437" s="823"/>
      <c r="H437" s="802" t="s">
        <v>153</v>
      </c>
      <c r="I437" s="802" t="s">
        <v>479</v>
      </c>
      <c r="J437" s="804" t="s">
        <v>73</v>
      </c>
      <c r="K437" s="216" t="s">
        <v>154</v>
      </c>
      <c r="L437" s="123"/>
      <c r="M437" s="124"/>
      <c r="N437" s="124"/>
      <c r="O437" s="124"/>
      <c r="P437" s="124"/>
      <c r="Q437" s="125"/>
    </row>
    <row r="438" spans="1:17" s="130" customFormat="1" x14ac:dyDescent="0.15">
      <c r="A438" s="822"/>
      <c r="B438" s="823"/>
      <c r="C438" s="823"/>
      <c r="D438" s="803"/>
      <c r="E438" s="217" t="s">
        <v>155</v>
      </c>
      <c r="F438" s="217" t="s">
        <v>156</v>
      </c>
      <c r="G438" s="217" t="s">
        <v>157</v>
      </c>
      <c r="H438" s="803"/>
      <c r="I438" s="803"/>
      <c r="J438" s="805"/>
      <c r="K438" s="216" t="s">
        <v>158</v>
      </c>
      <c r="L438" s="127"/>
      <c r="M438" s="128"/>
      <c r="N438" s="128"/>
      <c r="O438" s="128"/>
      <c r="P438" s="128"/>
      <c r="Q438" s="129"/>
    </row>
    <row r="439" spans="1:17" ht="14" x14ac:dyDescent="0.15">
      <c r="A439" s="148"/>
      <c r="B439" s="788" t="s">
        <v>1298</v>
      </c>
      <c r="C439" s="789"/>
      <c r="D439" s="143" t="s">
        <v>1299</v>
      </c>
      <c r="E439" s="143">
        <v>0</v>
      </c>
      <c r="F439" s="143">
        <v>0</v>
      </c>
      <c r="G439" s="143">
        <v>0</v>
      </c>
      <c r="H439" s="143">
        <v>4</v>
      </c>
      <c r="I439" s="143">
        <v>1</v>
      </c>
      <c r="J439" s="133" t="s">
        <v>319</v>
      </c>
      <c r="K439" s="143">
        <f>I439*H439</f>
        <v>4</v>
      </c>
      <c r="L439" s="127"/>
      <c r="M439" s="128"/>
      <c r="N439" s="128"/>
      <c r="O439" s="128"/>
      <c r="P439" s="128"/>
      <c r="Q439" s="129"/>
    </row>
    <row r="440" spans="1:17" ht="14" x14ac:dyDescent="0.15">
      <c r="A440" s="795" t="s">
        <v>149</v>
      </c>
      <c r="B440" s="817"/>
      <c r="C440" s="817"/>
      <c r="D440" s="817"/>
      <c r="E440" s="817"/>
      <c r="F440" s="817"/>
      <c r="G440" s="817"/>
      <c r="H440" s="817"/>
      <c r="I440" s="817"/>
      <c r="J440" s="796"/>
      <c r="K440" s="418">
        <f>SUM(K439:K439)</f>
        <v>4</v>
      </c>
      <c r="L440" s="134"/>
      <c r="M440" s="135"/>
      <c r="N440" s="135"/>
      <c r="O440" s="135"/>
      <c r="P440" s="135"/>
      <c r="Q440" s="136"/>
    </row>
    <row r="441" spans="1:17" x14ac:dyDescent="0.15">
      <c r="A441" s="790"/>
      <c r="B441" s="791"/>
      <c r="C441" s="791"/>
      <c r="D441" s="791"/>
      <c r="E441" s="791"/>
      <c r="F441" s="791"/>
      <c r="G441" s="791"/>
      <c r="H441" s="791"/>
      <c r="I441" s="791"/>
      <c r="J441" s="791"/>
      <c r="K441" s="791"/>
      <c r="L441" s="791"/>
      <c r="M441" s="791"/>
      <c r="N441" s="791"/>
      <c r="O441" s="791"/>
      <c r="P441" s="791"/>
      <c r="Q441" s="792"/>
    </row>
    <row r="442" spans="1:17" s="121" customFormat="1" x14ac:dyDescent="0.15">
      <c r="A442" s="218" t="s">
        <v>0</v>
      </c>
      <c r="B442" s="841" t="s">
        <v>1330</v>
      </c>
      <c r="C442" s="842"/>
      <c r="D442" s="842"/>
      <c r="E442" s="842"/>
      <c r="F442" s="842"/>
      <c r="G442" s="842"/>
      <c r="H442" s="842"/>
      <c r="I442" s="842"/>
      <c r="J442" s="842"/>
      <c r="K442" s="842"/>
      <c r="L442" s="842"/>
      <c r="M442" s="842"/>
      <c r="N442" s="842"/>
      <c r="O442" s="216" t="s">
        <v>73</v>
      </c>
      <c r="P442" s="795" t="s">
        <v>193</v>
      </c>
      <c r="Q442" s="796"/>
    </row>
    <row r="443" spans="1:17" x14ac:dyDescent="0.15">
      <c r="A443" s="790"/>
      <c r="B443" s="791"/>
      <c r="C443" s="791"/>
      <c r="D443" s="791"/>
      <c r="E443" s="791"/>
      <c r="F443" s="791"/>
      <c r="G443" s="791"/>
      <c r="H443" s="791"/>
      <c r="I443" s="791"/>
      <c r="J443" s="791"/>
      <c r="K443" s="791"/>
      <c r="L443" s="791"/>
      <c r="M443" s="791"/>
      <c r="N443" s="791"/>
      <c r="O443" s="791"/>
      <c r="P443" s="791"/>
      <c r="Q443" s="792"/>
    </row>
    <row r="444" spans="1:17" s="126" customFormat="1" x14ac:dyDescent="0.15">
      <c r="A444" s="822" t="s">
        <v>150</v>
      </c>
      <c r="B444" s="823" t="s">
        <v>151</v>
      </c>
      <c r="C444" s="823"/>
      <c r="D444" s="802" t="s">
        <v>165</v>
      </c>
      <c r="E444" s="823" t="s">
        <v>152</v>
      </c>
      <c r="F444" s="823"/>
      <c r="G444" s="823"/>
      <c r="H444" s="802" t="s">
        <v>153</v>
      </c>
      <c r="I444" s="802" t="s">
        <v>242</v>
      </c>
      <c r="J444" s="804" t="s">
        <v>73</v>
      </c>
      <c r="K444" s="216" t="s">
        <v>154</v>
      </c>
      <c r="L444" s="123"/>
      <c r="M444" s="124"/>
      <c r="N444" s="124"/>
      <c r="O444" s="124"/>
      <c r="P444" s="124"/>
      <c r="Q444" s="125"/>
    </row>
    <row r="445" spans="1:17" s="130" customFormat="1" x14ac:dyDescent="0.15">
      <c r="A445" s="822"/>
      <c r="B445" s="823"/>
      <c r="C445" s="823"/>
      <c r="D445" s="803"/>
      <c r="E445" s="217" t="s">
        <v>155</v>
      </c>
      <c r="F445" s="217" t="s">
        <v>156</v>
      </c>
      <c r="G445" s="217" t="s">
        <v>157</v>
      </c>
      <c r="H445" s="803"/>
      <c r="I445" s="803"/>
      <c r="J445" s="805"/>
      <c r="K445" s="216" t="s">
        <v>158</v>
      </c>
      <c r="L445" s="127"/>
      <c r="M445" s="128"/>
      <c r="N445" s="128"/>
      <c r="O445" s="128"/>
      <c r="P445" s="128"/>
      <c r="Q445" s="129"/>
    </row>
    <row r="446" spans="1:17" ht="28.5" customHeight="1" x14ac:dyDescent="0.15">
      <c r="A446" s="148"/>
      <c r="B446" s="788" t="s">
        <v>1305</v>
      </c>
      <c r="C446" s="789"/>
      <c r="D446" s="143" t="s">
        <v>1300</v>
      </c>
      <c r="E446" s="143">
        <v>1.5</v>
      </c>
      <c r="F446" s="143">
        <v>0</v>
      </c>
      <c r="G446" s="143">
        <v>0</v>
      </c>
      <c r="H446" s="143">
        <v>4</v>
      </c>
      <c r="I446" s="143">
        <f>E446</f>
        <v>1.5</v>
      </c>
      <c r="J446" s="133" t="s">
        <v>193</v>
      </c>
      <c r="K446" s="143">
        <f>I446*H446</f>
        <v>6</v>
      </c>
      <c r="L446" s="127"/>
      <c r="M446" s="128"/>
      <c r="N446" s="128"/>
      <c r="O446" s="128"/>
      <c r="P446" s="128"/>
      <c r="Q446" s="129"/>
    </row>
    <row r="447" spans="1:17" ht="14" x14ac:dyDescent="0.15">
      <c r="A447" s="795" t="s">
        <v>149</v>
      </c>
      <c r="B447" s="817"/>
      <c r="C447" s="817"/>
      <c r="D447" s="817"/>
      <c r="E447" s="817"/>
      <c r="F447" s="817"/>
      <c r="G447" s="817"/>
      <c r="H447" s="817"/>
      <c r="I447" s="817"/>
      <c r="J447" s="796"/>
      <c r="K447" s="418">
        <f>SUM(K446:K446)</f>
        <v>6</v>
      </c>
      <c r="L447" s="134"/>
      <c r="M447" s="135"/>
      <c r="N447" s="135"/>
      <c r="O447" s="135"/>
      <c r="P447" s="135"/>
      <c r="Q447" s="136"/>
    </row>
    <row r="448" spans="1:17" x14ac:dyDescent="0.15">
      <c r="A448" s="790"/>
      <c r="B448" s="791"/>
      <c r="C448" s="791"/>
      <c r="D448" s="791"/>
      <c r="E448" s="791"/>
      <c r="F448" s="791"/>
      <c r="G448" s="791"/>
      <c r="H448" s="791"/>
      <c r="I448" s="791"/>
      <c r="J448" s="791"/>
      <c r="K448" s="791"/>
      <c r="L448" s="791"/>
      <c r="M448" s="791"/>
      <c r="N448" s="791"/>
      <c r="O448" s="791"/>
      <c r="P448" s="791"/>
      <c r="Q448" s="792"/>
    </row>
    <row r="449" spans="1:17" s="121" customFormat="1" ht="18" customHeight="1" x14ac:dyDescent="0.15">
      <c r="A449" s="218" t="s">
        <v>0</v>
      </c>
      <c r="B449" s="841" t="s">
        <v>1329</v>
      </c>
      <c r="C449" s="842"/>
      <c r="D449" s="842"/>
      <c r="E449" s="842"/>
      <c r="F449" s="842"/>
      <c r="G449" s="842"/>
      <c r="H449" s="842"/>
      <c r="I449" s="842"/>
      <c r="J449" s="842"/>
      <c r="K449" s="842"/>
      <c r="L449" s="842"/>
      <c r="M449" s="842"/>
      <c r="N449" s="842"/>
      <c r="O449" s="216" t="s">
        <v>73</v>
      </c>
      <c r="P449" s="795" t="s">
        <v>193</v>
      </c>
      <c r="Q449" s="796"/>
    </row>
    <row r="450" spans="1:17" x14ac:dyDescent="0.15">
      <c r="A450" s="790"/>
      <c r="B450" s="791"/>
      <c r="C450" s="791"/>
      <c r="D450" s="791"/>
      <c r="E450" s="791"/>
      <c r="F450" s="791"/>
      <c r="G450" s="791"/>
      <c r="H450" s="791"/>
      <c r="I450" s="791"/>
      <c r="J450" s="791"/>
      <c r="K450" s="791"/>
      <c r="L450" s="791"/>
      <c r="M450" s="791"/>
      <c r="N450" s="791"/>
      <c r="O450" s="791"/>
      <c r="P450" s="791"/>
      <c r="Q450" s="792"/>
    </row>
    <row r="451" spans="1:17" s="126" customFormat="1" x14ac:dyDescent="0.15">
      <c r="A451" s="822" t="s">
        <v>150</v>
      </c>
      <c r="B451" s="823" t="s">
        <v>151</v>
      </c>
      <c r="C451" s="823"/>
      <c r="D451" s="802" t="s">
        <v>165</v>
      </c>
      <c r="E451" s="823" t="s">
        <v>152</v>
      </c>
      <c r="F451" s="823"/>
      <c r="G451" s="823"/>
      <c r="H451" s="802" t="s">
        <v>153</v>
      </c>
      <c r="I451" s="802" t="s">
        <v>242</v>
      </c>
      <c r="J451" s="804" t="s">
        <v>73</v>
      </c>
      <c r="K451" s="216" t="s">
        <v>154</v>
      </c>
      <c r="L451" s="123"/>
      <c r="M451" s="124"/>
      <c r="N451" s="124"/>
      <c r="O451" s="124"/>
      <c r="P451" s="124"/>
      <c r="Q451" s="125"/>
    </row>
    <row r="452" spans="1:17" s="130" customFormat="1" x14ac:dyDescent="0.15">
      <c r="A452" s="822"/>
      <c r="B452" s="823"/>
      <c r="C452" s="823"/>
      <c r="D452" s="803"/>
      <c r="E452" s="217" t="s">
        <v>155</v>
      </c>
      <c r="F452" s="217" t="s">
        <v>156</v>
      </c>
      <c r="G452" s="217" t="s">
        <v>157</v>
      </c>
      <c r="H452" s="803"/>
      <c r="I452" s="803"/>
      <c r="J452" s="805"/>
      <c r="K452" s="216" t="s">
        <v>158</v>
      </c>
      <c r="L452" s="127"/>
      <c r="M452" s="128"/>
      <c r="N452" s="128"/>
      <c r="O452" s="128"/>
      <c r="P452" s="128"/>
      <c r="Q452" s="129"/>
    </row>
    <row r="453" spans="1:17" ht="28.5" customHeight="1" x14ac:dyDescent="0.15">
      <c r="A453" s="148"/>
      <c r="B453" s="788" t="s">
        <v>1305</v>
      </c>
      <c r="C453" s="789"/>
      <c r="D453" s="143" t="s">
        <v>1301</v>
      </c>
      <c r="E453" s="143">
        <v>1</v>
      </c>
      <c r="F453" s="143">
        <v>0</v>
      </c>
      <c r="G453" s="143">
        <v>0</v>
      </c>
      <c r="H453" s="143">
        <v>4</v>
      </c>
      <c r="I453" s="143">
        <f>E453</f>
        <v>1</v>
      </c>
      <c r="J453" s="133" t="s">
        <v>193</v>
      </c>
      <c r="K453" s="143">
        <f>I453*H453</f>
        <v>4</v>
      </c>
      <c r="L453" s="127"/>
      <c r="M453" s="128"/>
      <c r="N453" s="128"/>
      <c r="O453" s="128"/>
      <c r="P453" s="128"/>
      <c r="Q453" s="129"/>
    </row>
    <row r="454" spans="1:17" ht="14" x14ac:dyDescent="0.15">
      <c r="A454" s="795" t="s">
        <v>149</v>
      </c>
      <c r="B454" s="817"/>
      <c r="C454" s="817"/>
      <c r="D454" s="817"/>
      <c r="E454" s="817"/>
      <c r="F454" s="817"/>
      <c r="G454" s="817"/>
      <c r="H454" s="817"/>
      <c r="I454" s="817"/>
      <c r="J454" s="796"/>
      <c r="K454" s="418">
        <f>SUM(K453:K453)</f>
        <v>4</v>
      </c>
      <c r="L454" s="134"/>
      <c r="M454" s="135"/>
      <c r="N454" s="135"/>
      <c r="O454" s="135"/>
      <c r="P454" s="135"/>
      <c r="Q454" s="136"/>
    </row>
    <row r="455" spans="1:17" x14ac:dyDescent="0.15">
      <c r="A455" s="790"/>
      <c r="B455" s="791"/>
      <c r="C455" s="791"/>
      <c r="D455" s="791"/>
      <c r="E455" s="791"/>
      <c r="F455" s="791"/>
      <c r="G455" s="791"/>
      <c r="H455" s="791"/>
      <c r="I455" s="791"/>
      <c r="J455" s="791"/>
      <c r="K455" s="791"/>
      <c r="L455" s="791"/>
      <c r="M455" s="791"/>
      <c r="N455" s="791"/>
      <c r="O455" s="791"/>
      <c r="P455" s="791"/>
      <c r="Q455" s="792"/>
    </row>
    <row r="456" spans="1:17" s="121" customFormat="1" ht="18" customHeight="1" x14ac:dyDescent="0.15">
      <c r="A456" s="218" t="s">
        <v>0</v>
      </c>
      <c r="B456" s="841" t="s">
        <v>1328</v>
      </c>
      <c r="C456" s="842"/>
      <c r="D456" s="842"/>
      <c r="E456" s="842"/>
      <c r="F456" s="842"/>
      <c r="G456" s="842"/>
      <c r="H456" s="842"/>
      <c r="I456" s="842"/>
      <c r="J456" s="842"/>
      <c r="K456" s="842"/>
      <c r="L456" s="842"/>
      <c r="M456" s="842"/>
      <c r="N456" s="842"/>
      <c r="O456" s="216" t="s">
        <v>73</v>
      </c>
      <c r="P456" s="795" t="s">
        <v>193</v>
      </c>
      <c r="Q456" s="796"/>
    </row>
    <row r="457" spans="1:17" x14ac:dyDescent="0.15">
      <c r="A457" s="790"/>
      <c r="B457" s="791"/>
      <c r="C457" s="791"/>
      <c r="D457" s="791"/>
      <c r="E457" s="791"/>
      <c r="F457" s="791"/>
      <c r="G457" s="791"/>
      <c r="H457" s="791"/>
      <c r="I457" s="791"/>
      <c r="J457" s="791"/>
      <c r="K457" s="791"/>
      <c r="L457" s="791"/>
      <c r="M457" s="791"/>
      <c r="N457" s="791"/>
      <c r="O457" s="791"/>
      <c r="P457" s="791"/>
      <c r="Q457" s="792"/>
    </row>
    <row r="458" spans="1:17" s="126" customFormat="1" x14ac:dyDescent="0.15">
      <c r="A458" s="822" t="s">
        <v>150</v>
      </c>
      <c r="B458" s="823" t="s">
        <v>151</v>
      </c>
      <c r="C458" s="823"/>
      <c r="D458" s="802" t="s">
        <v>165</v>
      </c>
      <c r="E458" s="823" t="s">
        <v>152</v>
      </c>
      <c r="F458" s="823"/>
      <c r="G458" s="823"/>
      <c r="H458" s="802" t="s">
        <v>153</v>
      </c>
      <c r="I458" s="802" t="s">
        <v>242</v>
      </c>
      <c r="J458" s="804" t="s">
        <v>73</v>
      </c>
      <c r="K458" s="216" t="s">
        <v>154</v>
      </c>
      <c r="L458" s="123"/>
      <c r="M458" s="124"/>
      <c r="N458" s="124"/>
      <c r="O458" s="124"/>
      <c r="P458" s="124"/>
      <c r="Q458" s="125"/>
    </row>
    <row r="459" spans="1:17" s="130" customFormat="1" x14ac:dyDescent="0.15">
      <c r="A459" s="822"/>
      <c r="B459" s="823"/>
      <c r="C459" s="823"/>
      <c r="D459" s="803"/>
      <c r="E459" s="217" t="s">
        <v>155</v>
      </c>
      <c r="F459" s="217" t="s">
        <v>156</v>
      </c>
      <c r="G459" s="217" t="s">
        <v>157</v>
      </c>
      <c r="H459" s="803"/>
      <c r="I459" s="803"/>
      <c r="J459" s="805"/>
      <c r="K459" s="216" t="s">
        <v>158</v>
      </c>
      <c r="L459" s="127"/>
      <c r="M459" s="128"/>
      <c r="N459" s="128"/>
      <c r="O459" s="128"/>
      <c r="P459" s="128"/>
      <c r="Q459" s="129"/>
    </row>
    <row r="460" spans="1:17" ht="28.5" customHeight="1" x14ac:dyDescent="0.15">
      <c r="A460" s="148"/>
      <c r="B460" s="788" t="s">
        <v>1305</v>
      </c>
      <c r="C460" s="789"/>
      <c r="D460" s="143" t="s">
        <v>1300</v>
      </c>
      <c r="E460" s="143">
        <v>3</v>
      </c>
      <c r="F460" s="143">
        <v>0</v>
      </c>
      <c r="G460" s="143">
        <v>0</v>
      </c>
      <c r="H460" s="143">
        <v>4</v>
      </c>
      <c r="I460" s="143">
        <f>E460</f>
        <v>3</v>
      </c>
      <c r="J460" s="133" t="s">
        <v>193</v>
      </c>
      <c r="K460" s="143">
        <f>I460*H460</f>
        <v>12</v>
      </c>
      <c r="L460" s="127"/>
      <c r="M460" s="128"/>
      <c r="N460" s="128"/>
      <c r="O460" s="128"/>
      <c r="P460" s="128"/>
      <c r="Q460" s="129"/>
    </row>
    <row r="461" spans="1:17" ht="14" x14ac:dyDescent="0.15">
      <c r="A461" s="795" t="s">
        <v>149</v>
      </c>
      <c r="B461" s="817"/>
      <c r="C461" s="817"/>
      <c r="D461" s="817"/>
      <c r="E461" s="817"/>
      <c r="F461" s="817"/>
      <c r="G461" s="817"/>
      <c r="H461" s="817"/>
      <c r="I461" s="817"/>
      <c r="J461" s="796"/>
      <c r="K461" s="418">
        <f>SUM(K460:K460)</f>
        <v>12</v>
      </c>
      <c r="L461" s="134"/>
      <c r="M461" s="135"/>
      <c r="N461" s="135"/>
      <c r="O461" s="135"/>
      <c r="P461" s="135"/>
      <c r="Q461" s="136"/>
    </row>
    <row r="462" spans="1:17" x14ac:dyDescent="0.15">
      <c r="A462" s="790"/>
      <c r="B462" s="791"/>
      <c r="C462" s="791"/>
      <c r="D462" s="791"/>
      <c r="E462" s="791"/>
      <c r="F462" s="791"/>
      <c r="G462" s="791"/>
      <c r="H462" s="791"/>
      <c r="I462" s="791"/>
      <c r="J462" s="791"/>
      <c r="K462" s="791"/>
      <c r="L462" s="791"/>
      <c r="M462" s="791"/>
      <c r="N462" s="791"/>
      <c r="O462" s="791"/>
      <c r="P462" s="791"/>
      <c r="Q462" s="792"/>
    </row>
    <row r="463" spans="1:17" s="121" customFormat="1" ht="18" customHeight="1" x14ac:dyDescent="0.15">
      <c r="A463" s="218" t="s">
        <v>0</v>
      </c>
      <c r="B463" s="841" t="s">
        <v>1327</v>
      </c>
      <c r="C463" s="842"/>
      <c r="D463" s="842"/>
      <c r="E463" s="842"/>
      <c r="F463" s="842"/>
      <c r="G463" s="842"/>
      <c r="H463" s="842"/>
      <c r="I463" s="842"/>
      <c r="J463" s="842"/>
      <c r="K463" s="842"/>
      <c r="L463" s="842"/>
      <c r="M463" s="842"/>
      <c r="N463" s="842"/>
      <c r="O463" s="216" t="s">
        <v>73</v>
      </c>
      <c r="P463" s="795" t="s">
        <v>193</v>
      </c>
      <c r="Q463" s="796"/>
    </row>
    <row r="464" spans="1:17" x14ac:dyDescent="0.15">
      <c r="A464" s="790"/>
      <c r="B464" s="791"/>
      <c r="C464" s="791"/>
      <c r="D464" s="791"/>
      <c r="E464" s="791"/>
      <c r="F464" s="791"/>
      <c r="G464" s="791"/>
      <c r="H464" s="791"/>
      <c r="I464" s="791"/>
      <c r="J464" s="791"/>
      <c r="K464" s="791"/>
      <c r="L464" s="791"/>
      <c r="M464" s="791"/>
      <c r="N464" s="791"/>
      <c r="O464" s="791"/>
      <c r="P464" s="791"/>
      <c r="Q464" s="792"/>
    </row>
    <row r="465" spans="1:17" s="126" customFormat="1" x14ac:dyDescent="0.15">
      <c r="A465" s="822" t="s">
        <v>150</v>
      </c>
      <c r="B465" s="823" t="s">
        <v>151</v>
      </c>
      <c r="C465" s="823"/>
      <c r="D465" s="802" t="s">
        <v>165</v>
      </c>
      <c r="E465" s="823" t="s">
        <v>152</v>
      </c>
      <c r="F465" s="823"/>
      <c r="G465" s="823"/>
      <c r="H465" s="802" t="s">
        <v>153</v>
      </c>
      <c r="I465" s="802" t="s">
        <v>242</v>
      </c>
      <c r="J465" s="804" t="s">
        <v>73</v>
      </c>
      <c r="K465" s="216" t="s">
        <v>154</v>
      </c>
      <c r="L465" s="123"/>
      <c r="M465" s="124"/>
      <c r="N465" s="124"/>
      <c r="O465" s="124"/>
      <c r="P465" s="124"/>
      <c r="Q465" s="125"/>
    </row>
    <row r="466" spans="1:17" s="130" customFormat="1" x14ac:dyDescent="0.15">
      <c r="A466" s="822"/>
      <c r="B466" s="823"/>
      <c r="C466" s="823"/>
      <c r="D466" s="803"/>
      <c r="E466" s="217" t="s">
        <v>155</v>
      </c>
      <c r="F466" s="217" t="s">
        <v>156</v>
      </c>
      <c r="G466" s="217" t="s">
        <v>157</v>
      </c>
      <c r="H466" s="803"/>
      <c r="I466" s="803"/>
      <c r="J466" s="805"/>
      <c r="K466" s="216" t="s">
        <v>158</v>
      </c>
      <c r="L466" s="127"/>
      <c r="M466" s="128"/>
      <c r="N466" s="128"/>
      <c r="O466" s="128"/>
      <c r="P466" s="128"/>
      <c r="Q466" s="129"/>
    </row>
    <row r="467" spans="1:17" ht="28.5" customHeight="1" x14ac:dyDescent="0.15">
      <c r="A467" s="148"/>
      <c r="B467" s="788" t="s">
        <v>1305</v>
      </c>
      <c r="C467" s="789"/>
      <c r="D467" s="143" t="s">
        <v>1299</v>
      </c>
      <c r="E467" s="143">
        <v>1.8</v>
      </c>
      <c r="F467" s="143">
        <v>0</v>
      </c>
      <c r="G467" s="143">
        <v>0</v>
      </c>
      <c r="H467" s="143">
        <v>4</v>
      </c>
      <c r="I467" s="143">
        <f>E467</f>
        <v>1.8</v>
      </c>
      <c r="J467" s="133" t="s">
        <v>193</v>
      </c>
      <c r="K467" s="143">
        <f>I467*H467</f>
        <v>7.2</v>
      </c>
      <c r="L467" s="127"/>
      <c r="M467" s="128"/>
      <c r="N467" s="128"/>
      <c r="O467" s="128"/>
      <c r="P467" s="128"/>
      <c r="Q467" s="129"/>
    </row>
    <row r="468" spans="1:17" ht="28.5" customHeight="1" x14ac:dyDescent="0.15">
      <c r="A468" s="148"/>
      <c r="B468" s="788" t="s">
        <v>1302</v>
      </c>
      <c r="C468" s="789"/>
      <c r="D468" s="143" t="s">
        <v>1299</v>
      </c>
      <c r="E468" s="143">
        <v>4.5</v>
      </c>
      <c r="F468" s="143">
        <v>0</v>
      </c>
      <c r="G468" s="143">
        <v>0</v>
      </c>
      <c r="H468" s="143">
        <v>4</v>
      </c>
      <c r="I468" s="143">
        <f>E468</f>
        <v>4.5</v>
      </c>
      <c r="J468" s="133" t="s">
        <v>193</v>
      </c>
      <c r="K468" s="143">
        <f>I468*H468</f>
        <v>18</v>
      </c>
      <c r="L468" s="127"/>
      <c r="M468" s="128"/>
      <c r="N468" s="128"/>
      <c r="O468" s="128"/>
      <c r="P468" s="128"/>
      <c r="Q468" s="129"/>
    </row>
    <row r="469" spans="1:17" ht="28.5" customHeight="1" x14ac:dyDescent="0.15">
      <c r="A469" s="148"/>
      <c r="B469" s="788" t="s">
        <v>1306</v>
      </c>
      <c r="C469" s="789"/>
      <c r="D469" s="143" t="s">
        <v>1299</v>
      </c>
      <c r="E469" s="143">
        <v>30</v>
      </c>
      <c r="F469" s="143">
        <v>0</v>
      </c>
      <c r="G469" s="143">
        <v>0</v>
      </c>
      <c r="H469" s="143">
        <v>1</v>
      </c>
      <c r="I469" s="143">
        <f>E469</f>
        <v>30</v>
      </c>
      <c r="J469" s="133" t="s">
        <v>193</v>
      </c>
      <c r="K469" s="143">
        <f>I469*H469</f>
        <v>30</v>
      </c>
      <c r="L469" s="127"/>
      <c r="M469" s="128"/>
      <c r="N469" s="128"/>
      <c r="O469" s="128"/>
      <c r="P469" s="128"/>
      <c r="Q469" s="129"/>
    </row>
    <row r="470" spans="1:17" ht="28.5" customHeight="1" x14ac:dyDescent="0.15">
      <c r="A470" s="148"/>
      <c r="B470" s="788" t="s">
        <v>1307</v>
      </c>
      <c r="C470" s="789"/>
      <c r="D470" s="143" t="s">
        <v>1299</v>
      </c>
      <c r="E470" s="143">
        <v>15</v>
      </c>
      <c r="F470" s="143">
        <v>0</v>
      </c>
      <c r="G470" s="143">
        <v>0</v>
      </c>
      <c r="H470" s="143">
        <v>1</v>
      </c>
      <c r="I470" s="143">
        <f>E470</f>
        <v>15</v>
      </c>
      <c r="J470" s="133" t="s">
        <v>193</v>
      </c>
      <c r="K470" s="143">
        <f>I470*H470</f>
        <v>15</v>
      </c>
      <c r="L470" s="127"/>
      <c r="M470" s="128"/>
      <c r="N470" s="128"/>
      <c r="O470" s="128"/>
      <c r="P470" s="128"/>
      <c r="Q470" s="129"/>
    </row>
    <row r="471" spans="1:17" ht="14" x14ac:dyDescent="0.15">
      <c r="A471" s="795" t="s">
        <v>149</v>
      </c>
      <c r="B471" s="817"/>
      <c r="C471" s="817"/>
      <c r="D471" s="817"/>
      <c r="E471" s="817"/>
      <c r="F471" s="817"/>
      <c r="G471" s="817"/>
      <c r="H471" s="817"/>
      <c r="I471" s="817"/>
      <c r="J471" s="796"/>
      <c r="K471" s="418">
        <f>SUM(K467:K470)</f>
        <v>70.2</v>
      </c>
      <c r="L471" s="134"/>
      <c r="M471" s="135"/>
      <c r="N471" s="135"/>
      <c r="O471" s="135"/>
      <c r="P471" s="135"/>
      <c r="Q471" s="136"/>
    </row>
    <row r="472" spans="1:17" x14ac:dyDescent="0.15">
      <c r="A472" s="790"/>
      <c r="B472" s="791"/>
      <c r="C472" s="791"/>
      <c r="D472" s="791"/>
      <c r="E472" s="791"/>
      <c r="F472" s="791"/>
      <c r="G472" s="791"/>
      <c r="H472" s="791"/>
      <c r="I472" s="791"/>
      <c r="J472" s="791"/>
      <c r="K472" s="791"/>
      <c r="L472" s="791"/>
      <c r="M472" s="791"/>
      <c r="N472" s="791"/>
      <c r="O472" s="791"/>
      <c r="P472" s="791"/>
      <c r="Q472" s="792"/>
    </row>
    <row r="473" spans="1:17" s="121" customFormat="1" ht="18" customHeight="1" x14ac:dyDescent="0.15">
      <c r="A473" s="218" t="s">
        <v>0</v>
      </c>
      <c r="B473" s="841" t="s">
        <v>1346</v>
      </c>
      <c r="C473" s="842"/>
      <c r="D473" s="842"/>
      <c r="E473" s="842"/>
      <c r="F473" s="842"/>
      <c r="G473" s="842"/>
      <c r="H473" s="842"/>
      <c r="I473" s="842"/>
      <c r="J473" s="842"/>
      <c r="K473" s="842"/>
      <c r="L473" s="842"/>
      <c r="M473" s="842"/>
      <c r="N473" s="842"/>
      <c r="O473" s="216" t="s">
        <v>73</v>
      </c>
      <c r="P473" s="795" t="s">
        <v>319</v>
      </c>
      <c r="Q473" s="796"/>
    </row>
    <row r="474" spans="1:17" x14ac:dyDescent="0.15">
      <c r="A474" s="790"/>
      <c r="B474" s="791"/>
      <c r="C474" s="791"/>
      <c r="D474" s="791"/>
      <c r="E474" s="791"/>
      <c r="F474" s="791"/>
      <c r="G474" s="791"/>
      <c r="H474" s="791"/>
      <c r="I474" s="791"/>
      <c r="J474" s="791"/>
      <c r="K474" s="791"/>
      <c r="L474" s="791"/>
      <c r="M474" s="791"/>
      <c r="N474" s="791"/>
      <c r="O474" s="791"/>
      <c r="P474" s="791"/>
      <c r="Q474" s="792"/>
    </row>
    <row r="475" spans="1:17" s="126" customFormat="1" x14ac:dyDescent="0.15">
      <c r="A475" s="822" t="s">
        <v>150</v>
      </c>
      <c r="B475" s="823" t="s">
        <v>151</v>
      </c>
      <c r="C475" s="823"/>
      <c r="D475" s="802"/>
      <c r="E475" s="823" t="s">
        <v>152</v>
      </c>
      <c r="F475" s="823"/>
      <c r="G475" s="823"/>
      <c r="H475" s="802" t="s">
        <v>153</v>
      </c>
      <c r="I475" s="802" t="s">
        <v>479</v>
      </c>
      <c r="J475" s="804" t="s">
        <v>73</v>
      </c>
      <c r="K475" s="216" t="s">
        <v>154</v>
      </c>
      <c r="L475" s="123"/>
      <c r="M475" s="124"/>
      <c r="N475" s="124"/>
      <c r="O475" s="124"/>
      <c r="P475" s="124"/>
      <c r="Q475" s="125"/>
    </row>
    <row r="476" spans="1:17" s="130" customFormat="1" x14ac:dyDescent="0.15">
      <c r="A476" s="822"/>
      <c r="B476" s="823"/>
      <c r="C476" s="823"/>
      <c r="D476" s="803"/>
      <c r="E476" s="217" t="s">
        <v>155</v>
      </c>
      <c r="F476" s="217" t="s">
        <v>156</v>
      </c>
      <c r="G476" s="217" t="s">
        <v>157</v>
      </c>
      <c r="H476" s="803"/>
      <c r="I476" s="803"/>
      <c r="J476" s="805"/>
      <c r="K476" s="216" t="s">
        <v>158</v>
      </c>
      <c r="L476" s="127"/>
      <c r="M476" s="128"/>
      <c r="N476" s="128"/>
      <c r="O476" s="128"/>
      <c r="P476" s="128"/>
      <c r="Q476" s="129"/>
    </row>
    <row r="477" spans="1:17" ht="30" customHeight="1" x14ac:dyDescent="0.15">
      <c r="A477" s="148"/>
      <c r="B477" s="788" t="s">
        <v>1347</v>
      </c>
      <c r="C477" s="789"/>
      <c r="D477" s="149"/>
      <c r="E477" s="143">
        <v>0.6</v>
      </c>
      <c r="F477" s="143">
        <v>0.6</v>
      </c>
      <c r="G477" s="143">
        <v>0.3</v>
      </c>
      <c r="H477" s="143">
        <v>5</v>
      </c>
      <c r="I477" s="143">
        <v>1</v>
      </c>
      <c r="J477" s="133" t="s">
        <v>319</v>
      </c>
      <c r="K477" s="143">
        <f>I477*H477</f>
        <v>5</v>
      </c>
      <c r="L477" s="127"/>
      <c r="M477" s="128"/>
      <c r="N477" s="128"/>
      <c r="O477" s="128"/>
      <c r="P477" s="128"/>
      <c r="Q477" s="129"/>
    </row>
    <row r="478" spans="1:17" ht="14" x14ac:dyDescent="0.15">
      <c r="A478" s="795" t="s">
        <v>149</v>
      </c>
      <c r="B478" s="817"/>
      <c r="C478" s="817"/>
      <c r="D478" s="817"/>
      <c r="E478" s="817"/>
      <c r="F478" s="817"/>
      <c r="G478" s="817"/>
      <c r="H478" s="817"/>
      <c r="I478" s="817"/>
      <c r="J478" s="796"/>
      <c r="K478" s="418">
        <f>SUM(K477:K477)</f>
        <v>5</v>
      </c>
      <c r="L478" s="134"/>
      <c r="M478" s="135"/>
      <c r="N478" s="135"/>
      <c r="O478" s="135"/>
      <c r="P478" s="135"/>
      <c r="Q478" s="136"/>
    </row>
    <row r="479" spans="1:17" x14ac:dyDescent="0.15">
      <c r="A479" s="790"/>
      <c r="B479" s="791"/>
      <c r="C479" s="791"/>
      <c r="D479" s="791"/>
      <c r="E479" s="791"/>
      <c r="F479" s="791"/>
      <c r="G479" s="791"/>
      <c r="H479" s="791"/>
      <c r="I479" s="791"/>
      <c r="J479" s="791"/>
      <c r="K479" s="791"/>
      <c r="L479" s="791"/>
      <c r="M479" s="791"/>
      <c r="N479" s="791"/>
      <c r="O479" s="791"/>
      <c r="P479" s="791"/>
      <c r="Q479" s="792"/>
    </row>
    <row r="480" spans="1:17" s="121" customFormat="1" ht="18" customHeight="1" x14ac:dyDescent="0.15">
      <c r="A480" s="218" t="s">
        <v>0</v>
      </c>
      <c r="B480" s="843" t="s">
        <v>1046</v>
      </c>
      <c r="C480" s="844"/>
      <c r="D480" s="844"/>
      <c r="E480" s="844"/>
      <c r="F480" s="844"/>
      <c r="G480" s="844"/>
      <c r="H480" s="844"/>
      <c r="I480" s="844"/>
      <c r="J480" s="844"/>
      <c r="K480" s="844"/>
      <c r="L480" s="844"/>
      <c r="M480" s="844"/>
      <c r="N480" s="844"/>
      <c r="O480" s="216" t="s">
        <v>73</v>
      </c>
      <c r="P480" s="795" t="s">
        <v>319</v>
      </c>
      <c r="Q480" s="796"/>
    </row>
    <row r="481" spans="1:17" x14ac:dyDescent="0.15">
      <c r="A481" s="790"/>
      <c r="B481" s="791"/>
      <c r="C481" s="791"/>
      <c r="D481" s="791"/>
      <c r="E481" s="791"/>
      <c r="F481" s="791"/>
      <c r="G481" s="791"/>
      <c r="H481" s="791"/>
      <c r="I481" s="791"/>
      <c r="J481" s="791"/>
      <c r="K481" s="791"/>
      <c r="L481" s="791"/>
      <c r="M481" s="791"/>
      <c r="N481" s="791"/>
      <c r="O481" s="791"/>
      <c r="P481" s="791"/>
      <c r="Q481" s="792"/>
    </row>
    <row r="482" spans="1:17" s="126" customFormat="1" x14ac:dyDescent="0.15">
      <c r="A482" s="822" t="s">
        <v>150</v>
      </c>
      <c r="B482" s="823" t="s">
        <v>151</v>
      </c>
      <c r="C482" s="823"/>
      <c r="D482" s="802"/>
      <c r="E482" s="823" t="s">
        <v>152</v>
      </c>
      <c r="F482" s="823"/>
      <c r="G482" s="823"/>
      <c r="H482" s="802" t="s">
        <v>153</v>
      </c>
      <c r="I482" s="802" t="s">
        <v>479</v>
      </c>
      <c r="J482" s="804" t="s">
        <v>73</v>
      </c>
      <c r="K482" s="216" t="s">
        <v>154</v>
      </c>
      <c r="L482" s="123"/>
      <c r="M482" s="124"/>
      <c r="N482" s="124"/>
      <c r="O482" s="124"/>
      <c r="P482" s="124"/>
      <c r="Q482" s="125"/>
    </row>
    <row r="483" spans="1:17" s="130" customFormat="1" x14ac:dyDescent="0.15">
      <c r="A483" s="822"/>
      <c r="B483" s="823"/>
      <c r="C483" s="823"/>
      <c r="D483" s="803"/>
      <c r="E483" s="217" t="s">
        <v>155</v>
      </c>
      <c r="F483" s="217" t="s">
        <v>156</v>
      </c>
      <c r="G483" s="217" t="s">
        <v>157</v>
      </c>
      <c r="H483" s="803"/>
      <c r="I483" s="803"/>
      <c r="J483" s="805"/>
      <c r="K483" s="216" t="s">
        <v>158</v>
      </c>
      <c r="L483" s="127"/>
      <c r="M483" s="128"/>
      <c r="N483" s="128"/>
      <c r="O483" s="128"/>
      <c r="P483" s="128"/>
      <c r="Q483" s="129"/>
    </row>
    <row r="484" spans="1:17" ht="30" customHeight="1" x14ac:dyDescent="0.15">
      <c r="A484" s="148"/>
      <c r="B484" s="788" t="s">
        <v>1047</v>
      </c>
      <c r="C484" s="789"/>
      <c r="D484" s="149"/>
      <c r="E484" s="143">
        <v>0</v>
      </c>
      <c r="F484" s="143">
        <v>0</v>
      </c>
      <c r="G484" s="143">
        <v>0</v>
      </c>
      <c r="H484" s="143">
        <v>1</v>
      </c>
      <c r="I484" s="143">
        <v>1</v>
      </c>
      <c r="J484" s="133" t="s">
        <v>319</v>
      </c>
      <c r="K484" s="143">
        <f>I484*H484</f>
        <v>1</v>
      </c>
      <c r="L484" s="127"/>
      <c r="M484" s="128"/>
      <c r="N484" s="128"/>
      <c r="O484" s="128"/>
      <c r="P484" s="128"/>
      <c r="Q484" s="129"/>
    </row>
    <row r="485" spans="1:17" ht="14" x14ac:dyDescent="0.15">
      <c r="A485" s="795" t="s">
        <v>149</v>
      </c>
      <c r="B485" s="817"/>
      <c r="C485" s="817"/>
      <c r="D485" s="817"/>
      <c r="E485" s="817"/>
      <c r="F485" s="817"/>
      <c r="G485" s="817"/>
      <c r="H485" s="817"/>
      <c r="I485" s="817"/>
      <c r="J485" s="796"/>
      <c r="K485" s="418">
        <f>SUM(K484:K484)</f>
        <v>1</v>
      </c>
      <c r="L485" s="134"/>
      <c r="M485" s="135"/>
      <c r="N485" s="135"/>
      <c r="O485" s="135"/>
      <c r="P485" s="135"/>
      <c r="Q485" s="136"/>
    </row>
    <row r="486" spans="1:17" x14ac:dyDescent="0.15">
      <c r="A486" s="790"/>
      <c r="B486" s="791"/>
      <c r="C486" s="791"/>
      <c r="D486" s="791"/>
      <c r="E486" s="791"/>
      <c r="F486" s="791"/>
      <c r="G486" s="791"/>
      <c r="H486" s="791"/>
      <c r="I486" s="791"/>
      <c r="J486" s="791"/>
      <c r="K486" s="791"/>
      <c r="L486" s="791"/>
      <c r="M486" s="791"/>
      <c r="N486" s="791"/>
      <c r="O486" s="791"/>
      <c r="P486" s="791"/>
      <c r="Q486" s="792"/>
    </row>
    <row r="487" spans="1:17" s="121" customFormat="1" ht="18" customHeight="1" x14ac:dyDescent="0.15">
      <c r="A487" s="218" t="s">
        <v>0</v>
      </c>
      <c r="B487" s="845" t="s">
        <v>1052</v>
      </c>
      <c r="C487" s="846"/>
      <c r="D487" s="846"/>
      <c r="E487" s="846"/>
      <c r="F487" s="846"/>
      <c r="G487" s="846"/>
      <c r="H487" s="846"/>
      <c r="I487" s="846"/>
      <c r="J487" s="846"/>
      <c r="K487" s="846"/>
      <c r="L487" s="846"/>
      <c r="M487" s="846"/>
      <c r="N487" s="847"/>
      <c r="O487" s="216" t="s">
        <v>73</v>
      </c>
      <c r="P487" s="795" t="s">
        <v>319</v>
      </c>
      <c r="Q487" s="796"/>
    </row>
    <row r="488" spans="1:17" x14ac:dyDescent="0.15">
      <c r="A488" s="790"/>
      <c r="B488" s="791"/>
      <c r="C488" s="791"/>
      <c r="D488" s="791"/>
      <c r="E488" s="791"/>
      <c r="F488" s="791"/>
      <c r="G488" s="791"/>
      <c r="H488" s="791"/>
      <c r="I488" s="791"/>
      <c r="J488" s="791"/>
      <c r="K488" s="791"/>
      <c r="L488" s="791"/>
      <c r="M488" s="791"/>
      <c r="N488" s="791"/>
      <c r="O488" s="791"/>
      <c r="P488" s="791"/>
      <c r="Q488" s="792"/>
    </row>
    <row r="489" spans="1:17" s="126" customFormat="1" x14ac:dyDescent="0.15">
      <c r="A489" s="822" t="s">
        <v>150</v>
      </c>
      <c r="B489" s="823" t="s">
        <v>151</v>
      </c>
      <c r="C489" s="823"/>
      <c r="D489" s="802"/>
      <c r="E489" s="823" t="s">
        <v>152</v>
      </c>
      <c r="F489" s="823"/>
      <c r="G489" s="823"/>
      <c r="H489" s="802" t="s">
        <v>153</v>
      </c>
      <c r="I489" s="802" t="s">
        <v>479</v>
      </c>
      <c r="J489" s="804" t="s">
        <v>73</v>
      </c>
      <c r="K489" s="216" t="s">
        <v>154</v>
      </c>
      <c r="L489" s="123"/>
      <c r="M489" s="124"/>
      <c r="N489" s="124"/>
      <c r="O489" s="124"/>
      <c r="P489" s="124"/>
      <c r="Q489" s="125"/>
    </row>
    <row r="490" spans="1:17" s="130" customFormat="1" x14ac:dyDescent="0.15">
      <c r="A490" s="822"/>
      <c r="B490" s="823"/>
      <c r="C490" s="823"/>
      <c r="D490" s="803"/>
      <c r="E490" s="217" t="s">
        <v>155</v>
      </c>
      <c r="F490" s="217" t="s">
        <v>156</v>
      </c>
      <c r="G490" s="217" t="s">
        <v>157</v>
      </c>
      <c r="H490" s="803"/>
      <c r="I490" s="803"/>
      <c r="J490" s="805"/>
      <c r="K490" s="216" t="s">
        <v>158</v>
      </c>
      <c r="L490" s="127"/>
      <c r="M490" s="128"/>
      <c r="N490" s="128"/>
      <c r="O490" s="128"/>
      <c r="P490" s="128"/>
      <c r="Q490" s="129"/>
    </row>
    <row r="491" spans="1:17" ht="28.5" customHeight="1" x14ac:dyDescent="0.15">
      <c r="A491" s="148"/>
      <c r="B491" s="788" t="s">
        <v>1049</v>
      </c>
      <c r="C491" s="789"/>
      <c r="D491" s="149"/>
      <c r="E491" s="143">
        <v>0</v>
      </c>
      <c r="F491" s="143">
        <v>0</v>
      </c>
      <c r="G491" s="143">
        <v>0</v>
      </c>
      <c r="H491" s="143">
        <f>H520</f>
        <v>20</v>
      </c>
      <c r="I491" s="143">
        <f t="shared" ref="I491" si="88">H491</f>
        <v>20</v>
      </c>
      <c r="J491" s="133" t="s">
        <v>319</v>
      </c>
      <c r="K491" s="143">
        <f t="shared" ref="K491" si="89">I491</f>
        <v>20</v>
      </c>
      <c r="L491" s="127"/>
      <c r="M491" s="128"/>
      <c r="N491" s="128"/>
      <c r="O491" s="128"/>
      <c r="P491" s="128"/>
      <c r="Q491" s="129"/>
    </row>
    <row r="492" spans="1:17" ht="14" x14ac:dyDescent="0.15">
      <c r="A492" s="795" t="s">
        <v>149</v>
      </c>
      <c r="B492" s="817"/>
      <c r="C492" s="817"/>
      <c r="D492" s="817"/>
      <c r="E492" s="817"/>
      <c r="F492" s="817"/>
      <c r="G492" s="817"/>
      <c r="H492" s="817"/>
      <c r="I492" s="817"/>
      <c r="J492" s="796"/>
      <c r="K492" s="418">
        <f>SUM(K491:K491)</f>
        <v>20</v>
      </c>
      <c r="L492" s="134"/>
      <c r="M492" s="135"/>
      <c r="N492" s="135"/>
      <c r="O492" s="135"/>
      <c r="P492" s="135"/>
      <c r="Q492" s="136"/>
    </row>
    <row r="493" spans="1:17" x14ac:dyDescent="0.15">
      <c r="A493" s="790"/>
      <c r="B493" s="791"/>
      <c r="C493" s="791"/>
      <c r="D493" s="791"/>
      <c r="E493" s="791"/>
      <c r="F493" s="791"/>
      <c r="G493" s="791"/>
      <c r="H493" s="791"/>
      <c r="I493" s="791"/>
      <c r="J493" s="791"/>
      <c r="K493" s="791"/>
      <c r="L493" s="791"/>
      <c r="M493" s="791"/>
      <c r="N493" s="791"/>
      <c r="O493" s="791"/>
      <c r="P493" s="791"/>
      <c r="Q493" s="792"/>
    </row>
    <row r="494" spans="1:17" s="121" customFormat="1" ht="18" customHeight="1" x14ac:dyDescent="0.15">
      <c r="A494" s="218" t="s">
        <v>0</v>
      </c>
      <c r="B494" s="845" t="s">
        <v>1053</v>
      </c>
      <c r="C494" s="846"/>
      <c r="D494" s="846"/>
      <c r="E494" s="846"/>
      <c r="F494" s="846"/>
      <c r="G494" s="846"/>
      <c r="H494" s="846"/>
      <c r="I494" s="846"/>
      <c r="J494" s="846"/>
      <c r="K494" s="846"/>
      <c r="L494" s="846"/>
      <c r="M494" s="846"/>
      <c r="N494" s="847"/>
      <c r="O494" s="216" t="s">
        <v>73</v>
      </c>
      <c r="P494" s="795" t="s">
        <v>319</v>
      </c>
      <c r="Q494" s="796"/>
    </row>
    <row r="495" spans="1:17" x14ac:dyDescent="0.15">
      <c r="A495" s="790"/>
      <c r="B495" s="791"/>
      <c r="C495" s="791"/>
      <c r="D495" s="791"/>
      <c r="E495" s="791"/>
      <c r="F495" s="791"/>
      <c r="G495" s="791"/>
      <c r="H495" s="791"/>
      <c r="I495" s="791"/>
      <c r="J495" s="791"/>
      <c r="K495" s="791"/>
      <c r="L495" s="791"/>
      <c r="M495" s="791"/>
      <c r="N495" s="791"/>
      <c r="O495" s="791"/>
      <c r="P495" s="791"/>
      <c r="Q495" s="792"/>
    </row>
    <row r="496" spans="1:17" s="126" customFormat="1" x14ac:dyDescent="0.15">
      <c r="A496" s="822" t="s">
        <v>150</v>
      </c>
      <c r="B496" s="823" t="s">
        <v>151</v>
      </c>
      <c r="C496" s="823"/>
      <c r="D496" s="802"/>
      <c r="E496" s="823" t="s">
        <v>152</v>
      </c>
      <c r="F496" s="823"/>
      <c r="G496" s="823"/>
      <c r="H496" s="802" t="s">
        <v>153</v>
      </c>
      <c r="I496" s="802" t="s">
        <v>479</v>
      </c>
      <c r="J496" s="804" t="s">
        <v>73</v>
      </c>
      <c r="K496" s="216" t="s">
        <v>154</v>
      </c>
      <c r="L496" s="123"/>
      <c r="M496" s="124"/>
      <c r="N496" s="124"/>
      <c r="O496" s="124"/>
      <c r="P496" s="124"/>
      <c r="Q496" s="125"/>
    </row>
    <row r="497" spans="1:17" s="130" customFormat="1" x14ac:dyDescent="0.15">
      <c r="A497" s="822"/>
      <c r="B497" s="823"/>
      <c r="C497" s="823"/>
      <c r="D497" s="803"/>
      <c r="E497" s="217" t="s">
        <v>155</v>
      </c>
      <c r="F497" s="217" t="s">
        <v>156</v>
      </c>
      <c r="G497" s="217" t="s">
        <v>157</v>
      </c>
      <c r="H497" s="803"/>
      <c r="I497" s="803"/>
      <c r="J497" s="805"/>
      <c r="K497" s="216" t="s">
        <v>158</v>
      </c>
      <c r="L497" s="127"/>
      <c r="M497" s="128"/>
      <c r="N497" s="128"/>
      <c r="O497" s="128"/>
      <c r="P497" s="128"/>
      <c r="Q497" s="129"/>
    </row>
    <row r="498" spans="1:17" ht="24" customHeight="1" x14ac:dyDescent="0.15">
      <c r="A498" s="148"/>
      <c r="B498" s="788" t="s">
        <v>943</v>
      </c>
      <c r="C498" s="789"/>
      <c r="D498" s="149"/>
      <c r="E498" s="143">
        <v>0</v>
      </c>
      <c r="F498" s="143">
        <v>0</v>
      </c>
      <c r="G498" s="143">
        <v>0</v>
      </c>
      <c r="H498" s="143">
        <f>H522</f>
        <v>4</v>
      </c>
      <c r="I498" s="143">
        <f>H498</f>
        <v>4</v>
      </c>
      <c r="J498" s="133" t="s">
        <v>319</v>
      </c>
      <c r="K498" s="143">
        <f>I498</f>
        <v>4</v>
      </c>
      <c r="L498" s="127"/>
      <c r="M498" s="128"/>
      <c r="N498" s="128"/>
      <c r="O498" s="128"/>
      <c r="P498" s="128"/>
      <c r="Q498" s="129"/>
    </row>
    <row r="499" spans="1:17" ht="14" x14ac:dyDescent="0.15">
      <c r="A499" s="795" t="s">
        <v>149</v>
      </c>
      <c r="B499" s="817"/>
      <c r="C499" s="817"/>
      <c r="D499" s="817"/>
      <c r="E499" s="817"/>
      <c r="F499" s="817"/>
      <c r="G499" s="817"/>
      <c r="H499" s="817"/>
      <c r="I499" s="817"/>
      <c r="J499" s="796"/>
      <c r="K499" s="418">
        <f>SUM(K498:K498)</f>
        <v>4</v>
      </c>
      <c r="L499" s="134"/>
      <c r="M499" s="135"/>
      <c r="N499" s="135"/>
      <c r="O499" s="135"/>
      <c r="P499" s="135"/>
      <c r="Q499" s="136"/>
    </row>
    <row r="500" spans="1:17" x14ac:dyDescent="0.15">
      <c r="A500" s="790"/>
      <c r="B500" s="791"/>
      <c r="C500" s="791"/>
      <c r="D500" s="791"/>
      <c r="E500" s="791"/>
      <c r="F500" s="791"/>
      <c r="G500" s="791"/>
      <c r="H500" s="791"/>
      <c r="I500" s="791"/>
      <c r="J500" s="791"/>
      <c r="K500" s="791"/>
      <c r="L500" s="791"/>
      <c r="M500" s="791"/>
      <c r="N500" s="791"/>
      <c r="O500" s="791"/>
      <c r="P500" s="791"/>
      <c r="Q500" s="792"/>
    </row>
    <row r="501" spans="1:17" s="121" customFormat="1" ht="18" customHeight="1" x14ac:dyDescent="0.15">
      <c r="A501" s="218" t="s">
        <v>0</v>
      </c>
      <c r="B501" s="845" t="s">
        <v>1054</v>
      </c>
      <c r="C501" s="846"/>
      <c r="D501" s="846"/>
      <c r="E501" s="846"/>
      <c r="F501" s="846"/>
      <c r="G501" s="846"/>
      <c r="H501" s="846"/>
      <c r="I501" s="846"/>
      <c r="J501" s="846"/>
      <c r="K501" s="846"/>
      <c r="L501" s="846"/>
      <c r="M501" s="846"/>
      <c r="N501" s="847"/>
      <c r="O501" s="216" t="s">
        <v>73</v>
      </c>
      <c r="P501" s="795" t="s">
        <v>319</v>
      </c>
      <c r="Q501" s="796"/>
    </row>
    <row r="502" spans="1:17" x14ac:dyDescent="0.15">
      <c r="A502" s="790"/>
      <c r="B502" s="791"/>
      <c r="C502" s="791"/>
      <c r="D502" s="791"/>
      <c r="E502" s="791"/>
      <c r="F502" s="791"/>
      <c r="G502" s="791"/>
      <c r="H502" s="791"/>
      <c r="I502" s="791"/>
      <c r="J502" s="791"/>
      <c r="K502" s="791"/>
      <c r="L502" s="791"/>
      <c r="M502" s="791"/>
      <c r="N502" s="791"/>
      <c r="O502" s="791"/>
      <c r="P502" s="791"/>
      <c r="Q502" s="792"/>
    </row>
    <row r="503" spans="1:17" s="126" customFormat="1" x14ac:dyDescent="0.15">
      <c r="A503" s="822" t="s">
        <v>150</v>
      </c>
      <c r="B503" s="823" t="s">
        <v>151</v>
      </c>
      <c r="C503" s="823"/>
      <c r="D503" s="802"/>
      <c r="E503" s="823" t="s">
        <v>152</v>
      </c>
      <c r="F503" s="823"/>
      <c r="G503" s="823"/>
      <c r="H503" s="802" t="s">
        <v>153</v>
      </c>
      <c r="I503" s="802" t="s">
        <v>479</v>
      </c>
      <c r="J503" s="804" t="s">
        <v>73</v>
      </c>
      <c r="K503" s="216" t="s">
        <v>154</v>
      </c>
      <c r="L503" s="123"/>
      <c r="M503" s="124"/>
      <c r="N503" s="124"/>
      <c r="O503" s="124"/>
      <c r="P503" s="124"/>
      <c r="Q503" s="125"/>
    </row>
    <row r="504" spans="1:17" s="130" customFormat="1" x14ac:dyDescent="0.15">
      <c r="A504" s="822"/>
      <c r="B504" s="823"/>
      <c r="C504" s="823"/>
      <c r="D504" s="803"/>
      <c r="E504" s="217" t="s">
        <v>155</v>
      </c>
      <c r="F504" s="217" t="s">
        <v>156</v>
      </c>
      <c r="G504" s="217" t="s">
        <v>157</v>
      </c>
      <c r="H504" s="803"/>
      <c r="I504" s="803"/>
      <c r="J504" s="805"/>
      <c r="K504" s="216" t="s">
        <v>158</v>
      </c>
      <c r="L504" s="127"/>
      <c r="M504" s="128"/>
      <c r="N504" s="128"/>
      <c r="O504" s="128"/>
      <c r="P504" s="128"/>
      <c r="Q504" s="129"/>
    </row>
    <row r="505" spans="1:17" ht="30" customHeight="1" x14ac:dyDescent="0.15">
      <c r="A505" s="148"/>
      <c r="B505" s="788" t="s">
        <v>1051</v>
      </c>
      <c r="C505" s="789"/>
      <c r="D505" s="149"/>
      <c r="E505" s="143">
        <v>0</v>
      </c>
      <c r="F505" s="143">
        <v>0</v>
      </c>
      <c r="G505" s="143">
        <v>0</v>
      </c>
      <c r="H505" s="143">
        <f>H519</f>
        <v>16</v>
      </c>
      <c r="I505" s="143">
        <f t="shared" ref="I505" si="90">H505</f>
        <v>16</v>
      </c>
      <c r="J505" s="133" t="s">
        <v>319</v>
      </c>
      <c r="K505" s="143">
        <f t="shared" ref="K505" si="91">I505</f>
        <v>16</v>
      </c>
      <c r="L505" s="127"/>
      <c r="M505" s="128"/>
      <c r="N505" s="128"/>
      <c r="O505" s="128"/>
      <c r="P505" s="128"/>
      <c r="Q505" s="129"/>
    </row>
    <row r="506" spans="1:17" ht="14" x14ac:dyDescent="0.15">
      <c r="A506" s="795" t="s">
        <v>149</v>
      </c>
      <c r="B506" s="817"/>
      <c r="C506" s="817"/>
      <c r="D506" s="817"/>
      <c r="E506" s="817"/>
      <c r="F506" s="817"/>
      <c r="G506" s="817"/>
      <c r="H506" s="817"/>
      <c r="I506" s="817"/>
      <c r="J506" s="796"/>
      <c r="K506" s="418">
        <f>SUM(K505:K505)</f>
        <v>16</v>
      </c>
      <c r="L506" s="134"/>
      <c r="M506" s="135"/>
      <c r="N506" s="135"/>
      <c r="O506" s="135"/>
      <c r="P506" s="135"/>
      <c r="Q506" s="136"/>
    </row>
    <row r="507" spans="1:17" x14ac:dyDescent="0.15">
      <c r="A507" s="790"/>
      <c r="B507" s="791"/>
      <c r="C507" s="791"/>
      <c r="D507" s="791"/>
      <c r="E507" s="791"/>
      <c r="F507" s="791"/>
      <c r="G507" s="791"/>
      <c r="H507" s="791"/>
      <c r="I507" s="791"/>
      <c r="J507" s="791"/>
      <c r="K507" s="791"/>
      <c r="L507" s="791"/>
      <c r="M507" s="791"/>
      <c r="N507" s="791"/>
      <c r="O507" s="791"/>
      <c r="P507" s="791"/>
      <c r="Q507" s="792"/>
    </row>
    <row r="508" spans="1:17" s="121" customFormat="1" ht="18" customHeight="1" x14ac:dyDescent="0.15">
      <c r="A508" s="218" t="s">
        <v>0</v>
      </c>
      <c r="B508" s="845" t="s">
        <v>1055</v>
      </c>
      <c r="C508" s="846"/>
      <c r="D508" s="846"/>
      <c r="E508" s="846"/>
      <c r="F508" s="846"/>
      <c r="G508" s="846"/>
      <c r="H508" s="846"/>
      <c r="I508" s="846"/>
      <c r="J508" s="846"/>
      <c r="K508" s="846"/>
      <c r="L508" s="846"/>
      <c r="M508" s="846"/>
      <c r="N508" s="847"/>
      <c r="O508" s="216" t="s">
        <v>73</v>
      </c>
      <c r="P508" s="795" t="s">
        <v>319</v>
      </c>
      <c r="Q508" s="796"/>
    </row>
    <row r="509" spans="1:17" x14ac:dyDescent="0.15">
      <c r="A509" s="790"/>
      <c r="B509" s="791"/>
      <c r="C509" s="791"/>
      <c r="D509" s="791"/>
      <c r="E509" s="791"/>
      <c r="F509" s="791"/>
      <c r="G509" s="791"/>
      <c r="H509" s="791"/>
      <c r="I509" s="791"/>
      <c r="J509" s="791"/>
      <c r="K509" s="791"/>
      <c r="L509" s="791"/>
      <c r="M509" s="791"/>
      <c r="N509" s="791"/>
      <c r="O509" s="791"/>
      <c r="P509" s="791"/>
      <c r="Q509" s="792"/>
    </row>
    <row r="510" spans="1:17" s="126" customFormat="1" x14ac:dyDescent="0.15">
      <c r="A510" s="822" t="s">
        <v>150</v>
      </c>
      <c r="B510" s="823" t="s">
        <v>151</v>
      </c>
      <c r="C510" s="823"/>
      <c r="D510" s="802"/>
      <c r="E510" s="823" t="s">
        <v>152</v>
      </c>
      <c r="F510" s="823"/>
      <c r="G510" s="823"/>
      <c r="H510" s="802" t="s">
        <v>153</v>
      </c>
      <c r="I510" s="802" t="s">
        <v>479</v>
      </c>
      <c r="J510" s="804" t="s">
        <v>73</v>
      </c>
      <c r="K510" s="216" t="s">
        <v>154</v>
      </c>
      <c r="L510" s="123"/>
      <c r="M510" s="124"/>
      <c r="N510" s="124"/>
      <c r="O510" s="124"/>
      <c r="P510" s="124"/>
      <c r="Q510" s="125"/>
    </row>
    <row r="511" spans="1:17" s="130" customFormat="1" x14ac:dyDescent="0.15">
      <c r="A511" s="822"/>
      <c r="B511" s="823"/>
      <c r="C511" s="823"/>
      <c r="D511" s="803"/>
      <c r="E511" s="217" t="s">
        <v>155</v>
      </c>
      <c r="F511" s="217" t="s">
        <v>156</v>
      </c>
      <c r="G511" s="217" t="s">
        <v>157</v>
      </c>
      <c r="H511" s="803"/>
      <c r="I511" s="803"/>
      <c r="J511" s="805"/>
      <c r="K511" s="216" t="s">
        <v>158</v>
      </c>
      <c r="L511" s="127"/>
      <c r="M511" s="128"/>
      <c r="N511" s="128"/>
      <c r="O511" s="128"/>
      <c r="P511" s="128"/>
      <c r="Q511" s="129"/>
    </row>
    <row r="512" spans="1:17" ht="30" customHeight="1" x14ac:dyDescent="0.15">
      <c r="A512" s="148"/>
      <c r="B512" s="788" t="s">
        <v>947</v>
      </c>
      <c r="C512" s="789"/>
      <c r="D512" s="149"/>
      <c r="E512" s="143">
        <v>0</v>
      </c>
      <c r="F512" s="143">
        <v>0</v>
      </c>
      <c r="G512" s="143">
        <v>0</v>
      </c>
      <c r="H512" s="143">
        <v>7</v>
      </c>
      <c r="I512" s="143">
        <f t="shared" ref="I512" si="92">H512</f>
        <v>7</v>
      </c>
      <c r="J512" s="133" t="s">
        <v>319</v>
      </c>
      <c r="K512" s="143">
        <f t="shared" ref="K512" si="93">I512</f>
        <v>7</v>
      </c>
      <c r="L512" s="127"/>
      <c r="M512" s="128"/>
      <c r="N512" s="128"/>
      <c r="O512" s="128"/>
      <c r="P512" s="128"/>
      <c r="Q512" s="129"/>
    </row>
    <row r="513" spans="1:17" ht="14" x14ac:dyDescent="0.15">
      <c r="A513" s="795" t="s">
        <v>149</v>
      </c>
      <c r="B513" s="817"/>
      <c r="C513" s="817"/>
      <c r="D513" s="817"/>
      <c r="E513" s="817"/>
      <c r="F513" s="817"/>
      <c r="G513" s="817"/>
      <c r="H513" s="817"/>
      <c r="I513" s="817"/>
      <c r="J513" s="796"/>
      <c r="K513" s="418">
        <f>SUM(K512:K512)</f>
        <v>7</v>
      </c>
      <c r="L513" s="134"/>
      <c r="M513" s="135"/>
      <c r="N513" s="135"/>
      <c r="O513" s="135"/>
      <c r="P513" s="135"/>
      <c r="Q513" s="136"/>
    </row>
    <row r="514" spans="1:17" x14ac:dyDescent="0.15">
      <c r="A514" s="790"/>
      <c r="B514" s="791"/>
      <c r="C514" s="791"/>
      <c r="D514" s="791"/>
      <c r="E514" s="791"/>
      <c r="F514" s="791"/>
      <c r="G514" s="791"/>
      <c r="H514" s="791"/>
      <c r="I514" s="791"/>
      <c r="J514" s="791"/>
      <c r="K514" s="791"/>
      <c r="L514" s="791"/>
      <c r="M514" s="791"/>
      <c r="N514" s="791"/>
      <c r="O514" s="791"/>
      <c r="P514" s="791"/>
      <c r="Q514" s="792"/>
    </row>
    <row r="515" spans="1:17" s="121" customFormat="1" x14ac:dyDescent="0.15">
      <c r="A515" s="218" t="s">
        <v>0</v>
      </c>
      <c r="B515" s="852" t="s">
        <v>1372</v>
      </c>
      <c r="C515" s="853"/>
      <c r="D515" s="853"/>
      <c r="E515" s="853"/>
      <c r="F515" s="853"/>
      <c r="G515" s="853"/>
      <c r="H515" s="853"/>
      <c r="I515" s="853"/>
      <c r="J515" s="853"/>
      <c r="K515" s="853"/>
      <c r="L515" s="853"/>
      <c r="M515" s="853"/>
      <c r="N515" s="854"/>
      <c r="O515" s="216" t="s">
        <v>73</v>
      </c>
      <c r="P515" s="795" t="s">
        <v>319</v>
      </c>
      <c r="Q515" s="796"/>
    </row>
    <row r="516" spans="1:17" x14ac:dyDescent="0.15">
      <c r="A516" s="790"/>
      <c r="B516" s="791"/>
      <c r="C516" s="791"/>
      <c r="D516" s="791"/>
      <c r="E516" s="791"/>
      <c r="F516" s="791"/>
      <c r="G516" s="791"/>
      <c r="H516" s="791"/>
      <c r="I516" s="791"/>
      <c r="J516" s="791"/>
      <c r="K516" s="791"/>
      <c r="L516" s="791"/>
      <c r="M516" s="791"/>
      <c r="N516" s="791"/>
      <c r="O516" s="791"/>
      <c r="P516" s="791"/>
      <c r="Q516" s="792"/>
    </row>
    <row r="517" spans="1:17" s="126" customFormat="1" x14ac:dyDescent="0.15">
      <c r="A517" s="822" t="s">
        <v>150</v>
      </c>
      <c r="B517" s="823" t="s">
        <v>151</v>
      </c>
      <c r="C517" s="823"/>
      <c r="D517" s="802"/>
      <c r="E517" s="823" t="s">
        <v>152</v>
      </c>
      <c r="F517" s="823"/>
      <c r="G517" s="823"/>
      <c r="H517" s="802" t="s">
        <v>153</v>
      </c>
      <c r="I517" s="802" t="s">
        <v>479</v>
      </c>
      <c r="J517" s="804" t="s">
        <v>73</v>
      </c>
      <c r="K517" s="216" t="s">
        <v>154</v>
      </c>
      <c r="L517" s="123"/>
      <c r="M517" s="124"/>
      <c r="N517" s="124"/>
      <c r="O517" s="124"/>
      <c r="P517" s="124"/>
      <c r="Q517" s="125"/>
    </row>
    <row r="518" spans="1:17" s="130" customFormat="1" x14ac:dyDescent="0.15">
      <c r="A518" s="822"/>
      <c r="B518" s="823"/>
      <c r="C518" s="823"/>
      <c r="D518" s="803"/>
      <c r="E518" s="217" t="s">
        <v>155</v>
      </c>
      <c r="F518" s="217" t="s">
        <v>156</v>
      </c>
      <c r="G518" s="217" t="s">
        <v>157</v>
      </c>
      <c r="H518" s="803"/>
      <c r="I518" s="803"/>
      <c r="J518" s="805"/>
      <c r="K518" s="216" t="s">
        <v>158</v>
      </c>
      <c r="L518" s="127"/>
      <c r="M518" s="128"/>
      <c r="N518" s="128"/>
      <c r="O518" s="128"/>
      <c r="P518" s="128"/>
      <c r="Q518" s="129"/>
    </row>
    <row r="519" spans="1:17" ht="14" x14ac:dyDescent="0.15">
      <c r="A519" s="148"/>
      <c r="B519" s="788" t="s">
        <v>1365</v>
      </c>
      <c r="C519" s="789"/>
      <c r="D519" s="149"/>
      <c r="E519" s="143">
        <v>0</v>
      </c>
      <c r="F519" s="143">
        <v>0</v>
      </c>
      <c r="G519" s="143">
        <v>0</v>
      </c>
      <c r="H519" s="143">
        <v>16</v>
      </c>
      <c r="I519" s="143">
        <f t="shared" ref="I519:I522" si="94">H519</f>
        <v>16</v>
      </c>
      <c r="J519" s="133" t="s">
        <v>319</v>
      </c>
      <c r="K519" s="143">
        <f t="shared" ref="K519:K522" si="95">I519</f>
        <v>16</v>
      </c>
      <c r="L519" s="127"/>
      <c r="M519" s="128"/>
      <c r="N519" s="128"/>
      <c r="O519" s="128"/>
      <c r="P519" s="128"/>
      <c r="Q519" s="129"/>
    </row>
    <row r="520" spans="1:17" ht="14" x14ac:dyDescent="0.15">
      <c r="A520" s="148"/>
      <c r="B520" s="788" t="s">
        <v>1049</v>
      </c>
      <c r="C520" s="789"/>
      <c r="D520" s="149"/>
      <c r="E520" s="143">
        <v>0</v>
      </c>
      <c r="F520" s="143">
        <v>0</v>
      </c>
      <c r="G520" s="143">
        <v>0</v>
      </c>
      <c r="H520" s="143">
        <v>20</v>
      </c>
      <c r="I520" s="143">
        <f t="shared" si="94"/>
        <v>20</v>
      </c>
      <c r="J520" s="133" t="s">
        <v>319</v>
      </c>
      <c r="K520" s="143">
        <f t="shared" si="95"/>
        <v>20</v>
      </c>
      <c r="L520" s="127"/>
      <c r="M520" s="128"/>
      <c r="N520" s="128"/>
      <c r="O520" s="128"/>
      <c r="P520" s="128"/>
      <c r="Q520" s="129"/>
    </row>
    <row r="521" spans="1:17" ht="14" x14ac:dyDescent="0.15">
      <c r="A521" s="148"/>
      <c r="B521" s="788" t="s">
        <v>1366</v>
      </c>
      <c r="C521" s="789"/>
      <c r="D521" s="149"/>
      <c r="E521" s="143">
        <v>0</v>
      </c>
      <c r="F521" s="143">
        <v>0</v>
      </c>
      <c r="G521" s="143">
        <v>0</v>
      </c>
      <c r="H521" s="143">
        <v>6</v>
      </c>
      <c r="I521" s="143">
        <f t="shared" si="94"/>
        <v>6</v>
      </c>
      <c r="J521" s="133" t="s">
        <v>319</v>
      </c>
      <c r="K521" s="143">
        <f t="shared" si="95"/>
        <v>6</v>
      </c>
      <c r="L521" s="127"/>
      <c r="M521" s="128"/>
      <c r="N521" s="128"/>
      <c r="O521" s="128"/>
      <c r="P521" s="128"/>
      <c r="Q521" s="129"/>
    </row>
    <row r="522" spans="1:17" ht="14" x14ac:dyDescent="0.15">
      <c r="A522" s="148"/>
      <c r="B522" s="788" t="s">
        <v>1367</v>
      </c>
      <c r="C522" s="789"/>
      <c r="D522" s="149"/>
      <c r="E522" s="143">
        <v>0</v>
      </c>
      <c r="F522" s="143">
        <v>0</v>
      </c>
      <c r="G522" s="143">
        <v>0</v>
      </c>
      <c r="H522" s="143">
        <v>4</v>
      </c>
      <c r="I522" s="143">
        <f t="shared" si="94"/>
        <v>4</v>
      </c>
      <c r="J522" s="133" t="s">
        <v>319</v>
      </c>
      <c r="K522" s="143">
        <f t="shared" si="95"/>
        <v>4</v>
      </c>
      <c r="L522" s="127"/>
      <c r="M522" s="128"/>
      <c r="N522" s="128"/>
      <c r="O522" s="128"/>
      <c r="P522" s="128"/>
      <c r="Q522" s="129"/>
    </row>
    <row r="523" spans="1:17" ht="14" x14ac:dyDescent="0.15">
      <c r="A523" s="795" t="s">
        <v>149</v>
      </c>
      <c r="B523" s="817"/>
      <c r="C523" s="817"/>
      <c r="D523" s="817"/>
      <c r="E523" s="817"/>
      <c r="F523" s="817"/>
      <c r="G523" s="817"/>
      <c r="H523" s="817"/>
      <c r="I523" s="817"/>
      <c r="J523" s="796"/>
      <c r="K523" s="418">
        <f>SUM(K519:K522)</f>
        <v>46</v>
      </c>
      <c r="L523" s="134"/>
      <c r="M523" s="135"/>
      <c r="N523" s="135"/>
      <c r="O523" s="135"/>
      <c r="P523" s="135"/>
      <c r="Q523" s="136"/>
    </row>
    <row r="524" spans="1:17" x14ac:dyDescent="0.15">
      <c r="A524" s="790"/>
      <c r="B524" s="791"/>
      <c r="C524" s="791"/>
      <c r="D524" s="791"/>
      <c r="E524" s="791"/>
      <c r="F524" s="791"/>
      <c r="G524" s="791"/>
      <c r="H524" s="791"/>
      <c r="I524" s="791"/>
      <c r="J524" s="791"/>
      <c r="K524" s="791"/>
      <c r="L524" s="791"/>
      <c r="M524" s="791"/>
      <c r="N524" s="791"/>
      <c r="O524" s="791"/>
      <c r="P524" s="791"/>
      <c r="Q524" s="792"/>
    </row>
    <row r="525" spans="1:17" s="121" customFormat="1" x14ac:dyDescent="0.15">
      <c r="A525" s="218" t="s">
        <v>0</v>
      </c>
      <c r="B525" s="852" t="s">
        <v>1373</v>
      </c>
      <c r="C525" s="853"/>
      <c r="D525" s="853"/>
      <c r="E525" s="853"/>
      <c r="F525" s="853"/>
      <c r="G525" s="853"/>
      <c r="H525" s="853"/>
      <c r="I525" s="853"/>
      <c r="J525" s="853"/>
      <c r="K525" s="853"/>
      <c r="L525" s="853"/>
      <c r="M525" s="853"/>
      <c r="N525" s="854"/>
      <c r="O525" s="216" t="s">
        <v>73</v>
      </c>
      <c r="P525" s="795" t="s">
        <v>319</v>
      </c>
      <c r="Q525" s="796"/>
    </row>
    <row r="526" spans="1:17" x14ac:dyDescent="0.15">
      <c r="A526" s="790"/>
      <c r="B526" s="791"/>
      <c r="C526" s="791"/>
      <c r="D526" s="791"/>
      <c r="E526" s="791"/>
      <c r="F526" s="791"/>
      <c r="G526" s="791"/>
      <c r="H526" s="791"/>
      <c r="I526" s="791"/>
      <c r="J526" s="791"/>
      <c r="K526" s="791"/>
      <c r="L526" s="791"/>
      <c r="M526" s="791"/>
      <c r="N526" s="791"/>
      <c r="O526" s="791"/>
      <c r="P526" s="791"/>
      <c r="Q526" s="792"/>
    </row>
    <row r="527" spans="1:17" s="126" customFormat="1" x14ac:dyDescent="0.15">
      <c r="A527" s="822" t="s">
        <v>150</v>
      </c>
      <c r="B527" s="823" t="s">
        <v>151</v>
      </c>
      <c r="C527" s="823"/>
      <c r="D527" s="802"/>
      <c r="E527" s="823" t="s">
        <v>152</v>
      </c>
      <c r="F527" s="823"/>
      <c r="G527" s="823"/>
      <c r="H527" s="802" t="s">
        <v>153</v>
      </c>
      <c r="I527" s="802" t="s">
        <v>479</v>
      </c>
      <c r="J527" s="804" t="s">
        <v>73</v>
      </c>
      <c r="K527" s="216" t="s">
        <v>154</v>
      </c>
      <c r="L527" s="123"/>
      <c r="M527" s="124"/>
      <c r="N527" s="124"/>
      <c r="O527" s="124"/>
      <c r="P527" s="124"/>
      <c r="Q527" s="125"/>
    </row>
    <row r="528" spans="1:17" s="130" customFormat="1" x14ac:dyDescent="0.15">
      <c r="A528" s="822"/>
      <c r="B528" s="823"/>
      <c r="C528" s="823"/>
      <c r="D528" s="803"/>
      <c r="E528" s="217" t="s">
        <v>155</v>
      </c>
      <c r="F528" s="217" t="s">
        <v>156</v>
      </c>
      <c r="G528" s="217" t="s">
        <v>157</v>
      </c>
      <c r="H528" s="803"/>
      <c r="I528" s="803"/>
      <c r="J528" s="805"/>
      <c r="K528" s="216" t="s">
        <v>158</v>
      </c>
      <c r="L528" s="127"/>
      <c r="M528" s="128"/>
      <c r="N528" s="128"/>
      <c r="O528" s="128"/>
      <c r="P528" s="128"/>
      <c r="Q528" s="129"/>
    </row>
    <row r="529" spans="1:17" ht="16.5" customHeight="1" x14ac:dyDescent="0.15">
      <c r="A529" s="148"/>
      <c r="B529" s="788" t="s">
        <v>1354</v>
      </c>
      <c r="C529" s="789"/>
      <c r="D529" s="149"/>
      <c r="E529" s="143">
        <v>0</v>
      </c>
      <c r="F529" s="143">
        <v>0</v>
      </c>
      <c r="G529" s="143">
        <v>0</v>
      </c>
      <c r="H529" s="143">
        <v>8</v>
      </c>
      <c r="I529" s="143">
        <f t="shared" ref="I529:I530" si="96">H529</f>
        <v>8</v>
      </c>
      <c r="J529" s="133" t="s">
        <v>319</v>
      </c>
      <c r="K529" s="143">
        <f t="shared" ref="K529:K530" si="97">I529</f>
        <v>8</v>
      </c>
      <c r="L529" s="127"/>
      <c r="M529" s="128"/>
      <c r="N529" s="128"/>
      <c r="O529" s="128"/>
      <c r="P529" s="128"/>
      <c r="Q529" s="129"/>
    </row>
    <row r="530" spans="1:17" ht="16.5" customHeight="1" x14ac:dyDescent="0.15">
      <c r="A530" s="148"/>
      <c r="B530" s="788" t="s">
        <v>1355</v>
      </c>
      <c r="C530" s="789"/>
      <c r="D530" s="149"/>
      <c r="E530" s="143">
        <v>0</v>
      </c>
      <c r="F530" s="143">
        <v>0</v>
      </c>
      <c r="G530" s="143">
        <v>0</v>
      </c>
      <c r="H530" s="143">
        <v>7</v>
      </c>
      <c r="I530" s="143">
        <f t="shared" si="96"/>
        <v>7</v>
      </c>
      <c r="J530" s="133" t="s">
        <v>319</v>
      </c>
      <c r="K530" s="143">
        <f t="shared" si="97"/>
        <v>7</v>
      </c>
      <c r="L530" s="127"/>
      <c r="M530" s="128"/>
      <c r="N530" s="128"/>
      <c r="O530" s="128"/>
      <c r="P530" s="128"/>
      <c r="Q530" s="129"/>
    </row>
    <row r="531" spans="1:17" ht="14" x14ac:dyDescent="0.15">
      <c r="A531" s="795" t="s">
        <v>149</v>
      </c>
      <c r="B531" s="817"/>
      <c r="C531" s="817"/>
      <c r="D531" s="817"/>
      <c r="E531" s="817"/>
      <c r="F531" s="817"/>
      <c r="G531" s="817"/>
      <c r="H531" s="817"/>
      <c r="I531" s="817"/>
      <c r="J531" s="796"/>
      <c r="K531" s="418">
        <f>SUM(K529:K530)</f>
        <v>15</v>
      </c>
      <c r="L531" s="134"/>
      <c r="M531" s="135"/>
      <c r="N531" s="135"/>
      <c r="O531" s="135"/>
      <c r="P531" s="135"/>
      <c r="Q531" s="136"/>
    </row>
    <row r="532" spans="1:17" x14ac:dyDescent="0.15">
      <c r="A532" s="790"/>
      <c r="B532" s="791"/>
      <c r="C532" s="791"/>
      <c r="D532" s="791"/>
      <c r="E532" s="791"/>
      <c r="F532" s="791"/>
      <c r="G532" s="791"/>
      <c r="H532" s="791"/>
      <c r="I532" s="791"/>
      <c r="J532" s="791"/>
      <c r="K532" s="791"/>
      <c r="L532" s="791"/>
      <c r="M532" s="791"/>
      <c r="N532" s="791"/>
      <c r="O532" s="791"/>
      <c r="P532" s="791"/>
      <c r="Q532" s="792"/>
    </row>
    <row r="533" spans="1:17" s="121" customFormat="1" x14ac:dyDescent="0.15">
      <c r="A533" s="218" t="s">
        <v>0</v>
      </c>
      <c r="B533" s="852" t="s">
        <v>1374</v>
      </c>
      <c r="C533" s="853"/>
      <c r="D533" s="853"/>
      <c r="E533" s="853"/>
      <c r="F533" s="853"/>
      <c r="G533" s="853"/>
      <c r="H533" s="853"/>
      <c r="I533" s="853"/>
      <c r="J533" s="853"/>
      <c r="K533" s="853"/>
      <c r="L533" s="853"/>
      <c r="M533" s="853"/>
      <c r="N533" s="854"/>
      <c r="O533" s="216" t="s">
        <v>73</v>
      </c>
      <c r="P533" s="795" t="s">
        <v>319</v>
      </c>
      <c r="Q533" s="796"/>
    </row>
    <row r="534" spans="1:17" x14ac:dyDescent="0.15">
      <c r="A534" s="790"/>
      <c r="B534" s="791"/>
      <c r="C534" s="791"/>
      <c r="D534" s="791"/>
      <c r="E534" s="791"/>
      <c r="F534" s="791"/>
      <c r="G534" s="791"/>
      <c r="H534" s="791"/>
      <c r="I534" s="791"/>
      <c r="J534" s="791"/>
      <c r="K534" s="791"/>
      <c r="L534" s="791"/>
      <c r="M534" s="791"/>
      <c r="N534" s="791"/>
      <c r="O534" s="791"/>
      <c r="P534" s="791"/>
      <c r="Q534" s="792"/>
    </row>
    <row r="535" spans="1:17" s="126" customFormat="1" x14ac:dyDescent="0.15">
      <c r="A535" s="822" t="s">
        <v>150</v>
      </c>
      <c r="B535" s="823" t="s">
        <v>151</v>
      </c>
      <c r="C535" s="823"/>
      <c r="D535" s="802"/>
      <c r="E535" s="823" t="s">
        <v>152</v>
      </c>
      <c r="F535" s="823"/>
      <c r="G535" s="823"/>
      <c r="H535" s="802" t="s">
        <v>153</v>
      </c>
      <c r="I535" s="802" t="s">
        <v>479</v>
      </c>
      <c r="J535" s="804" t="s">
        <v>73</v>
      </c>
      <c r="K535" s="216" t="s">
        <v>154</v>
      </c>
      <c r="L535" s="123"/>
      <c r="M535" s="124"/>
      <c r="N535" s="124"/>
      <c r="O535" s="124"/>
      <c r="P535" s="124"/>
      <c r="Q535" s="125"/>
    </row>
    <row r="536" spans="1:17" s="130" customFormat="1" x14ac:dyDescent="0.15">
      <c r="A536" s="822"/>
      <c r="B536" s="823"/>
      <c r="C536" s="823"/>
      <c r="D536" s="803"/>
      <c r="E536" s="217" t="s">
        <v>155</v>
      </c>
      <c r="F536" s="217" t="s">
        <v>156</v>
      </c>
      <c r="G536" s="217" t="s">
        <v>157</v>
      </c>
      <c r="H536" s="803"/>
      <c r="I536" s="803"/>
      <c r="J536" s="805"/>
      <c r="K536" s="216" t="s">
        <v>158</v>
      </c>
      <c r="L536" s="127"/>
      <c r="M536" s="128"/>
      <c r="N536" s="128"/>
      <c r="O536" s="128"/>
      <c r="P536" s="128"/>
      <c r="Q536" s="129"/>
    </row>
    <row r="537" spans="1:17" ht="16.5" customHeight="1" x14ac:dyDescent="0.15">
      <c r="A537" s="148"/>
      <c r="B537" s="788" t="s">
        <v>1355</v>
      </c>
      <c r="C537" s="789"/>
      <c r="D537" s="149"/>
      <c r="E537" s="143">
        <v>0</v>
      </c>
      <c r="F537" s="143">
        <v>0</v>
      </c>
      <c r="G537" s="143">
        <v>0</v>
      </c>
      <c r="H537" s="143">
        <f>H530</f>
        <v>7</v>
      </c>
      <c r="I537" s="143">
        <f>H537</f>
        <v>7</v>
      </c>
      <c r="J537" s="133" t="s">
        <v>319</v>
      </c>
      <c r="K537" s="143">
        <f>I537</f>
        <v>7</v>
      </c>
      <c r="L537" s="127"/>
      <c r="M537" s="128"/>
      <c r="N537" s="128"/>
      <c r="O537" s="128"/>
      <c r="P537" s="128"/>
      <c r="Q537" s="129"/>
    </row>
    <row r="538" spans="1:17" ht="14" x14ac:dyDescent="0.15">
      <c r="A538" s="795" t="s">
        <v>149</v>
      </c>
      <c r="B538" s="817"/>
      <c r="C538" s="817"/>
      <c r="D538" s="817"/>
      <c r="E538" s="817"/>
      <c r="F538" s="817"/>
      <c r="G538" s="817"/>
      <c r="H538" s="817"/>
      <c r="I538" s="817"/>
      <c r="J538" s="796"/>
      <c r="K538" s="418">
        <f>SUM(K537:K537)</f>
        <v>7</v>
      </c>
      <c r="L538" s="134"/>
      <c r="M538" s="135"/>
      <c r="N538" s="135"/>
      <c r="O538" s="135"/>
      <c r="P538" s="135"/>
      <c r="Q538" s="136"/>
    </row>
    <row r="539" spans="1:17" x14ac:dyDescent="0.15">
      <c r="A539" s="790"/>
      <c r="B539" s="791"/>
      <c r="C539" s="791"/>
      <c r="D539" s="791"/>
      <c r="E539" s="791"/>
      <c r="F539" s="791"/>
      <c r="G539" s="791"/>
      <c r="H539" s="791"/>
      <c r="I539" s="791"/>
      <c r="J539" s="791"/>
      <c r="K539" s="791"/>
      <c r="L539" s="791"/>
      <c r="M539" s="791"/>
      <c r="N539" s="791"/>
      <c r="O539" s="791"/>
      <c r="P539" s="791"/>
      <c r="Q539" s="792"/>
    </row>
    <row r="540" spans="1:17" s="121" customFormat="1" x14ac:dyDescent="0.15">
      <c r="A540" s="218" t="s">
        <v>0</v>
      </c>
      <c r="B540" s="852" t="s">
        <v>1375</v>
      </c>
      <c r="C540" s="853"/>
      <c r="D540" s="853"/>
      <c r="E540" s="853"/>
      <c r="F540" s="853"/>
      <c r="G540" s="853"/>
      <c r="H540" s="853"/>
      <c r="I540" s="853"/>
      <c r="J540" s="853"/>
      <c r="K540" s="853"/>
      <c r="L540" s="853"/>
      <c r="M540" s="853"/>
      <c r="N540" s="854"/>
      <c r="O540" s="216" t="s">
        <v>73</v>
      </c>
      <c r="P540" s="795" t="s">
        <v>319</v>
      </c>
      <c r="Q540" s="796"/>
    </row>
    <row r="541" spans="1:17" x14ac:dyDescent="0.15">
      <c r="A541" s="790"/>
      <c r="B541" s="791"/>
      <c r="C541" s="791"/>
      <c r="D541" s="791"/>
      <c r="E541" s="791"/>
      <c r="F541" s="791"/>
      <c r="G541" s="791"/>
      <c r="H541" s="791"/>
      <c r="I541" s="791"/>
      <c r="J541" s="791"/>
      <c r="K541" s="791"/>
      <c r="L541" s="791"/>
      <c r="M541" s="791"/>
      <c r="N541" s="791"/>
      <c r="O541" s="791"/>
      <c r="P541" s="791"/>
      <c r="Q541" s="792"/>
    </row>
    <row r="542" spans="1:17" s="126" customFormat="1" x14ac:dyDescent="0.15">
      <c r="A542" s="822" t="s">
        <v>150</v>
      </c>
      <c r="B542" s="823" t="s">
        <v>151</v>
      </c>
      <c r="C542" s="823"/>
      <c r="D542" s="802"/>
      <c r="E542" s="823" t="s">
        <v>152</v>
      </c>
      <c r="F542" s="823"/>
      <c r="G542" s="823"/>
      <c r="H542" s="802" t="s">
        <v>153</v>
      </c>
      <c r="I542" s="802" t="s">
        <v>479</v>
      </c>
      <c r="J542" s="804" t="s">
        <v>73</v>
      </c>
      <c r="K542" s="216" t="s">
        <v>154</v>
      </c>
      <c r="L542" s="123"/>
      <c r="M542" s="124"/>
      <c r="N542" s="124"/>
      <c r="O542" s="124"/>
      <c r="P542" s="124"/>
      <c r="Q542" s="125"/>
    </row>
    <row r="543" spans="1:17" s="130" customFormat="1" x14ac:dyDescent="0.15">
      <c r="A543" s="822"/>
      <c r="B543" s="823"/>
      <c r="C543" s="823"/>
      <c r="D543" s="803"/>
      <c r="E543" s="217" t="s">
        <v>155</v>
      </c>
      <c r="F543" s="217" t="s">
        <v>156</v>
      </c>
      <c r="G543" s="217" t="s">
        <v>157</v>
      </c>
      <c r="H543" s="803"/>
      <c r="I543" s="803"/>
      <c r="J543" s="805"/>
      <c r="K543" s="216" t="s">
        <v>158</v>
      </c>
      <c r="L543" s="127"/>
      <c r="M543" s="128"/>
      <c r="N543" s="128"/>
      <c r="O543" s="128"/>
      <c r="P543" s="128"/>
      <c r="Q543" s="129"/>
    </row>
    <row r="544" spans="1:17" ht="25.5" customHeight="1" x14ac:dyDescent="0.15">
      <c r="A544" s="148"/>
      <c r="B544" s="788" t="s">
        <v>1501</v>
      </c>
      <c r="C544" s="789"/>
      <c r="D544" s="149"/>
      <c r="E544" s="143">
        <v>0</v>
      </c>
      <c r="F544" s="143">
        <v>0</v>
      </c>
      <c r="G544" s="143">
        <v>0</v>
      </c>
      <c r="H544" s="143">
        <f>H529</f>
        <v>8</v>
      </c>
      <c r="I544" s="143">
        <f t="shared" ref="I544" si="98">H544</f>
        <v>8</v>
      </c>
      <c r="J544" s="133" t="s">
        <v>319</v>
      </c>
      <c r="K544" s="143">
        <f t="shared" ref="K544" si="99">I544</f>
        <v>8</v>
      </c>
      <c r="L544" s="127"/>
      <c r="M544" s="128"/>
      <c r="N544" s="128"/>
      <c r="O544" s="128"/>
      <c r="P544" s="128"/>
      <c r="Q544" s="129"/>
    </row>
    <row r="545" spans="1:17" ht="14" x14ac:dyDescent="0.15">
      <c r="A545" s="795" t="s">
        <v>149</v>
      </c>
      <c r="B545" s="817"/>
      <c r="C545" s="817"/>
      <c r="D545" s="817"/>
      <c r="E545" s="817"/>
      <c r="F545" s="817"/>
      <c r="G545" s="817"/>
      <c r="H545" s="817"/>
      <c r="I545" s="817"/>
      <c r="J545" s="796"/>
      <c r="K545" s="418">
        <f>SUM(K544:K544)</f>
        <v>8</v>
      </c>
      <c r="L545" s="134"/>
      <c r="M545" s="135"/>
      <c r="N545" s="135"/>
      <c r="O545" s="135"/>
      <c r="P545" s="135"/>
      <c r="Q545" s="136"/>
    </row>
    <row r="546" spans="1:17" x14ac:dyDescent="0.15">
      <c r="A546" s="790"/>
      <c r="B546" s="791"/>
      <c r="C546" s="791"/>
      <c r="D546" s="791"/>
      <c r="E546" s="791"/>
      <c r="F546" s="791"/>
      <c r="G546" s="791"/>
      <c r="H546" s="791"/>
      <c r="I546" s="791"/>
      <c r="J546" s="791"/>
      <c r="K546" s="791"/>
      <c r="L546" s="791"/>
      <c r="M546" s="791"/>
      <c r="N546" s="791"/>
      <c r="O546" s="791"/>
      <c r="P546" s="791"/>
      <c r="Q546" s="792"/>
    </row>
    <row r="547" spans="1:17" s="121" customFormat="1" x14ac:dyDescent="0.15">
      <c r="A547" s="218" t="s">
        <v>0</v>
      </c>
      <c r="B547" s="852" t="s">
        <v>1376</v>
      </c>
      <c r="C547" s="853"/>
      <c r="D547" s="853"/>
      <c r="E547" s="853"/>
      <c r="F547" s="853"/>
      <c r="G547" s="853"/>
      <c r="H547" s="853"/>
      <c r="I547" s="853"/>
      <c r="J547" s="853"/>
      <c r="K547" s="853"/>
      <c r="L547" s="853"/>
      <c r="M547" s="853"/>
      <c r="N547" s="854"/>
      <c r="O547" s="216" t="s">
        <v>73</v>
      </c>
      <c r="P547" s="795" t="s">
        <v>319</v>
      </c>
      <c r="Q547" s="796"/>
    </row>
    <row r="548" spans="1:17" x14ac:dyDescent="0.15">
      <c r="A548" s="790"/>
      <c r="B548" s="791"/>
      <c r="C548" s="791"/>
      <c r="D548" s="791"/>
      <c r="E548" s="791"/>
      <c r="F548" s="791"/>
      <c r="G548" s="791"/>
      <c r="H548" s="791"/>
      <c r="I548" s="791"/>
      <c r="J548" s="791"/>
      <c r="K548" s="791"/>
      <c r="L548" s="791"/>
      <c r="M548" s="791"/>
      <c r="N548" s="791"/>
      <c r="O548" s="791"/>
      <c r="P548" s="791"/>
      <c r="Q548" s="792"/>
    </row>
    <row r="549" spans="1:17" s="126" customFormat="1" x14ac:dyDescent="0.15">
      <c r="A549" s="822" t="s">
        <v>150</v>
      </c>
      <c r="B549" s="823" t="s">
        <v>151</v>
      </c>
      <c r="C549" s="823"/>
      <c r="D549" s="802"/>
      <c r="E549" s="823" t="s">
        <v>152</v>
      </c>
      <c r="F549" s="823"/>
      <c r="G549" s="823"/>
      <c r="H549" s="802" t="s">
        <v>153</v>
      </c>
      <c r="I549" s="802" t="s">
        <v>479</v>
      </c>
      <c r="J549" s="804" t="s">
        <v>73</v>
      </c>
      <c r="K549" s="216" t="s">
        <v>154</v>
      </c>
      <c r="L549" s="123"/>
      <c r="M549" s="124"/>
      <c r="N549" s="124"/>
      <c r="O549" s="124"/>
      <c r="P549" s="124"/>
      <c r="Q549" s="125"/>
    </row>
    <row r="550" spans="1:17" s="130" customFormat="1" x14ac:dyDescent="0.15">
      <c r="A550" s="822"/>
      <c r="B550" s="823"/>
      <c r="C550" s="823"/>
      <c r="D550" s="803"/>
      <c r="E550" s="217" t="s">
        <v>155</v>
      </c>
      <c r="F550" s="217" t="s">
        <v>156</v>
      </c>
      <c r="G550" s="217" t="s">
        <v>157</v>
      </c>
      <c r="H550" s="803"/>
      <c r="I550" s="803"/>
      <c r="J550" s="805"/>
      <c r="K550" s="216" t="s">
        <v>158</v>
      </c>
      <c r="L550" s="127"/>
      <c r="M550" s="128"/>
      <c r="N550" s="128"/>
      <c r="O550" s="128"/>
      <c r="P550" s="128"/>
      <c r="Q550" s="129"/>
    </row>
    <row r="551" spans="1:17" ht="14" x14ac:dyDescent="0.15">
      <c r="A551" s="148"/>
      <c r="B551" s="788" t="s">
        <v>1050</v>
      </c>
      <c r="C551" s="789"/>
      <c r="D551" s="149"/>
      <c r="E551" s="143">
        <v>0</v>
      </c>
      <c r="F551" s="143">
        <v>0</v>
      </c>
      <c r="G551" s="143">
        <v>0</v>
      </c>
      <c r="H551" s="143">
        <f>H521</f>
        <v>6</v>
      </c>
      <c r="I551" s="143">
        <f t="shared" ref="I551" si="100">H551</f>
        <v>6</v>
      </c>
      <c r="J551" s="133" t="s">
        <v>319</v>
      </c>
      <c r="K551" s="143">
        <f t="shared" ref="K551" si="101">I551</f>
        <v>6</v>
      </c>
      <c r="L551" s="127"/>
      <c r="M551" s="128"/>
      <c r="N551" s="128"/>
      <c r="O551" s="128"/>
      <c r="P551" s="128"/>
      <c r="Q551" s="129"/>
    </row>
    <row r="552" spans="1:17" ht="14" x14ac:dyDescent="0.15">
      <c r="A552" s="795" t="s">
        <v>149</v>
      </c>
      <c r="B552" s="817"/>
      <c r="C552" s="817"/>
      <c r="D552" s="817"/>
      <c r="E552" s="817"/>
      <c r="F552" s="817"/>
      <c r="G552" s="817"/>
      <c r="H552" s="817"/>
      <c r="I552" s="817"/>
      <c r="J552" s="796"/>
      <c r="K552" s="418">
        <f>SUM(K551:K551)</f>
        <v>6</v>
      </c>
      <c r="L552" s="134"/>
      <c r="M552" s="135"/>
      <c r="N552" s="135"/>
      <c r="O552" s="135"/>
      <c r="P552" s="135"/>
      <c r="Q552" s="136"/>
    </row>
    <row r="553" spans="1:17" x14ac:dyDescent="0.15">
      <c r="A553" s="790"/>
      <c r="B553" s="791"/>
      <c r="C553" s="791"/>
      <c r="D553" s="791"/>
      <c r="E553" s="791"/>
      <c r="F553" s="791"/>
      <c r="G553" s="791"/>
      <c r="H553" s="791"/>
      <c r="I553" s="791"/>
      <c r="J553" s="791"/>
      <c r="K553" s="791"/>
      <c r="L553" s="791"/>
      <c r="M553" s="791"/>
      <c r="N553" s="791"/>
      <c r="O553" s="791"/>
      <c r="P553" s="791"/>
      <c r="Q553" s="792"/>
    </row>
    <row r="554" spans="1:17" s="121" customFormat="1" x14ac:dyDescent="0.15">
      <c r="A554" s="218" t="s">
        <v>0</v>
      </c>
      <c r="B554" s="852" t="s">
        <v>1368</v>
      </c>
      <c r="C554" s="853"/>
      <c r="D554" s="853"/>
      <c r="E554" s="853"/>
      <c r="F554" s="853"/>
      <c r="G554" s="853"/>
      <c r="H554" s="853"/>
      <c r="I554" s="853"/>
      <c r="J554" s="853"/>
      <c r="K554" s="853"/>
      <c r="L554" s="853"/>
      <c r="M554" s="853"/>
      <c r="N554" s="854"/>
      <c r="O554" s="216" t="s">
        <v>73</v>
      </c>
      <c r="P554" s="795" t="s">
        <v>319</v>
      </c>
      <c r="Q554" s="796"/>
    </row>
    <row r="555" spans="1:17" x14ac:dyDescent="0.15">
      <c r="A555" s="790"/>
      <c r="B555" s="791"/>
      <c r="C555" s="791"/>
      <c r="D555" s="791"/>
      <c r="E555" s="791"/>
      <c r="F555" s="791"/>
      <c r="G555" s="791"/>
      <c r="H555" s="791"/>
      <c r="I555" s="791"/>
      <c r="J555" s="791"/>
      <c r="K555" s="791"/>
      <c r="L555" s="791"/>
      <c r="M555" s="791"/>
      <c r="N555" s="791"/>
      <c r="O555" s="791"/>
      <c r="P555" s="791"/>
      <c r="Q555" s="792"/>
    </row>
    <row r="556" spans="1:17" s="126" customFormat="1" x14ac:dyDescent="0.15">
      <c r="A556" s="822" t="s">
        <v>150</v>
      </c>
      <c r="B556" s="823" t="s">
        <v>151</v>
      </c>
      <c r="C556" s="823"/>
      <c r="D556" s="802"/>
      <c r="E556" s="823" t="s">
        <v>152</v>
      </c>
      <c r="F556" s="823"/>
      <c r="G556" s="823"/>
      <c r="H556" s="802" t="s">
        <v>153</v>
      </c>
      <c r="I556" s="802" t="s">
        <v>479</v>
      </c>
      <c r="J556" s="804" t="s">
        <v>73</v>
      </c>
      <c r="K556" s="216" t="s">
        <v>154</v>
      </c>
      <c r="L556" s="123"/>
      <c r="M556" s="124"/>
      <c r="N556" s="124"/>
      <c r="O556" s="124"/>
      <c r="P556" s="124"/>
      <c r="Q556" s="125"/>
    </row>
    <row r="557" spans="1:17" s="130" customFormat="1" x14ac:dyDescent="0.15">
      <c r="A557" s="822"/>
      <c r="B557" s="823"/>
      <c r="C557" s="823"/>
      <c r="D557" s="803"/>
      <c r="E557" s="217" t="s">
        <v>155</v>
      </c>
      <c r="F557" s="217" t="s">
        <v>156</v>
      </c>
      <c r="G557" s="217" t="s">
        <v>157</v>
      </c>
      <c r="H557" s="803"/>
      <c r="I557" s="803"/>
      <c r="J557" s="805"/>
      <c r="K557" s="216" t="s">
        <v>158</v>
      </c>
      <c r="L557" s="127"/>
      <c r="M557" s="128"/>
      <c r="N557" s="128"/>
      <c r="O557" s="128"/>
      <c r="P557" s="128"/>
      <c r="Q557" s="129"/>
    </row>
    <row r="558" spans="1:17" ht="14" x14ac:dyDescent="0.15">
      <c r="A558" s="148"/>
      <c r="B558" s="788" t="s">
        <v>1369</v>
      </c>
      <c r="C558" s="789"/>
      <c r="D558" s="149"/>
      <c r="E558" s="143">
        <v>0</v>
      </c>
      <c r="F558" s="143">
        <v>0</v>
      </c>
      <c r="G558" s="143">
        <v>0</v>
      </c>
      <c r="H558" s="143">
        <v>7</v>
      </c>
      <c r="I558" s="143">
        <f t="shared" ref="I558" si="102">H558</f>
        <v>7</v>
      </c>
      <c r="J558" s="133" t="s">
        <v>319</v>
      </c>
      <c r="K558" s="143">
        <f t="shared" ref="K558" si="103">I558</f>
        <v>7</v>
      </c>
      <c r="L558" s="127"/>
      <c r="M558" s="128"/>
      <c r="N558" s="128"/>
      <c r="O558" s="128"/>
      <c r="P558" s="128"/>
      <c r="Q558" s="129"/>
    </row>
    <row r="559" spans="1:17" ht="14" x14ac:dyDescent="0.15">
      <c r="A559" s="795" t="s">
        <v>149</v>
      </c>
      <c r="B559" s="817"/>
      <c r="C559" s="817"/>
      <c r="D559" s="817"/>
      <c r="E559" s="817"/>
      <c r="F559" s="817"/>
      <c r="G559" s="817"/>
      <c r="H559" s="817"/>
      <c r="I559" s="817"/>
      <c r="J559" s="796"/>
      <c r="K559" s="418">
        <f>SUM(K558:K558)</f>
        <v>7</v>
      </c>
      <c r="L559" s="134"/>
      <c r="M559" s="135"/>
      <c r="N559" s="135"/>
      <c r="O559" s="135"/>
      <c r="P559" s="135"/>
      <c r="Q559" s="136"/>
    </row>
    <row r="560" spans="1:17" x14ac:dyDescent="0.15">
      <c r="A560" s="790"/>
      <c r="B560" s="791"/>
      <c r="C560" s="791"/>
      <c r="D560" s="791"/>
      <c r="E560" s="791"/>
      <c r="F560" s="791"/>
      <c r="G560" s="791"/>
      <c r="H560" s="791"/>
      <c r="I560" s="791"/>
      <c r="J560" s="791"/>
      <c r="K560" s="791"/>
      <c r="L560" s="791"/>
      <c r="M560" s="791"/>
      <c r="N560" s="791"/>
      <c r="O560" s="791"/>
      <c r="P560" s="791"/>
      <c r="Q560" s="792"/>
    </row>
    <row r="561" spans="1:17" s="121" customFormat="1" x14ac:dyDescent="0.15">
      <c r="A561" s="218" t="s">
        <v>0</v>
      </c>
      <c r="B561" s="852" t="s">
        <v>1370</v>
      </c>
      <c r="C561" s="853"/>
      <c r="D561" s="853"/>
      <c r="E561" s="853"/>
      <c r="F561" s="853"/>
      <c r="G561" s="853"/>
      <c r="H561" s="853"/>
      <c r="I561" s="853"/>
      <c r="J561" s="853"/>
      <c r="K561" s="853"/>
      <c r="L561" s="853"/>
      <c r="M561" s="853"/>
      <c r="N561" s="854"/>
      <c r="O561" s="216" t="s">
        <v>73</v>
      </c>
      <c r="P561" s="795" t="s">
        <v>319</v>
      </c>
      <c r="Q561" s="796"/>
    </row>
    <row r="562" spans="1:17" x14ac:dyDescent="0.15">
      <c r="A562" s="790"/>
      <c r="B562" s="791"/>
      <c r="C562" s="791"/>
      <c r="D562" s="791"/>
      <c r="E562" s="791"/>
      <c r="F562" s="791"/>
      <c r="G562" s="791"/>
      <c r="H562" s="791"/>
      <c r="I562" s="791"/>
      <c r="J562" s="791"/>
      <c r="K562" s="791"/>
      <c r="L562" s="791"/>
      <c r="M562" s="791"/>
      <c r="N562" s="791"/>
      <c r="O562" s="791"/>
      <c r="P562" s="791"/>
      <c r="Q562" s="792"/>
    </row>
    <row r="563" spans="1:17" s="126" customFormat="1" x14ac:dyDescent="0.15">
      <c r="A563" s="822" t="s">
        <v>150</v>
      </c>
      <c r="B563" s="823" t="s">
        <v>151</v>
      </c>
      <c r="C563" s="823"/>
      <c r="D563" s="802"/>
      <c r="E563" s="823" t="s">
        <v>152</v>
      </c>
      <c r="F563" s="823"/>
      <c r="G563" s="823"/>
      <c r="H563" s="802" t="s">
        <v>153</v>
      </c>
      <c r="I563" s="802" t="s">
        <v>479</v>
      </c>
      <c r="J563" s="804" t="s">
        <v>73</v>
      </c>
      <c r="K563" s="216" t="s">
        <v>154</v>
      </c>
      <c r="L563" s="123"/>
      <c r="M563" s="124"/>
      <c r="N563" s="124"/>
      <c r="O563" s="124"/>
      <c r="P563" s="124"/>
      <c r="Q563" s="125"/>
    </row>
    <row r="564" spans="1:17" s="130" customFormat="1" x14ac:dyDescent="0.15">
      <c r="A564" s="822"/>
      <c r="B564" s="823"/>
      <c r="C564" s="823"/>
      <c r="D564" s="803"/>
      <c r="E564" s="217" t="s">
        <v>155</v>
      </c>
      <c r="F564" s="217" t="s">
        <v>156</v>
      </c>
      <c r="G564" s="217" t="s">
        <v>157</v>
      </c>
      <c r="H564" s="803"/>
      <c r="I564" s="803"/>
      <c r="J564" s="805"/>
      <c r="K564" s="216" t="s">
        <v>158</v>
      </c>
      <c r="L564" s="127"/>
      <c r="M564" s="128"/>
      <c r="N564" s="128"/>
      <c r="O564" s="128"/>
      <c r="P564" s="128"/>
      <c r="Q564" s="129"/>
    </row>
    <row r="565" spans="1:17" ht="14" x14ac:dyDescent="0.15">
      <c r="A565" s="148"/>
      <c r="B565" s="788" t="s">
        <v>1371</v>
      </c>
      <c r="C565" s="789"/>
      <c r="D565" s="149"/>
      <c r="E565" s="143">
        <v>0.6</v>
      </c>
      <c r="F565" s="143">
        <v>0.6</v>
      </c>
      <c r="G565" s="143">
        <v>0.4</v>
      </c>
      <c r="H565" s="143">
        <v>1</v>
      </c>
      <c r="I565" s="143">
        <v>1</v>
      </c>
      <c r="J565" s="133" t="s">
        <v>319</v>
      </c>
      <c r="K565" s="143">
        <f>I565</f>
        <v>1</v>
      </c>
      <c r="L565" s="127"/>
      <c r="M565" s="128"/>
      <c r="N565" s="128"/>
      <c r="O565" s="128"/>
      <c r="P565" s="128"/>
      <c r="Q565" s="129"/>
    </row>
    <row r="566" spans="1:17" ht="14" x14ac:dyDescent="0.15">
      <c r="A566" s="795" t="s">
        <v>149</v>
      </c>
      <c r="B566" s="817"/>
      <c r="C566" s="817"/>
      <c r="D566" s="817"/>
      <c r="E566" s="817"/>
      <c r="F566" s="817"/>
      <c r="G566" s="817"/>
      <c r="H566" s="817"/>
      <c r="I566" s="817"/>
      <c r="J566" s="796"/>
      <c r="K566" s="418">
        <f>SUM(K565:K565)</f>
        <v>1</v>
      </c>
      <c r="L566" s="134"/>
      <c r="M566" s="135"/>
      <c r="N566" s="135"/>
      <c r="O566" s="135"/>
      <c r="P566" s="135"/>
      <c r="Q566" s="136"/>
    </row>
    <row r="567" spans="1:17" x14ac:dyDescent="0.15">
      <c r="A567" s="790"/>
      <c r="B567" s="791"/>
      <c r="C567" s="791"/>
      <c r="D567" s="791"/>
      <c r="E567" s="791"/>
      <c r="F567" s="791"/>
      <c r="G567" s="791"/>
      <c r="H567" s="791"/>
      <c r="I567" s="791"/>
      <c r="J567" s="791"/>
      <c r="K567" s="791"/>
      <c r="L567" s="791"/>
      <c r="M567" s="791"/>
      <c r="N567" s="791"/>
      <c r="O567" s="791"/>
      <c r="P567" s="791"/>
      <c r="Q567" s="792"/>
    </row>
    <row r="568" spans="1:17" s="121" customFormat="1" ht="18" customHeight="1" x14ac:dyDescent="0.15">
      <c r="A568" s="218" t="s">
        <v>0</v>
      </c>
      <c r="B568" s="793" t="s">
        <v>1058</v>
      </c>
      <c r="C568" s="794"/>
      <c r="D568" s="794"/>
      <c r="E568" s="794"/>
      <c r="F568" s="794"/>
      <c r="G568" s="794"/>
      <c r="H568" s="794"/>
      <c r="I568" s="794"/>
      <c r="J568" s="794"/>
      <c r="K568" s="794"/>
      <c r="L568" s="794"/>
      <c r="M568" s="794"/>
      <c r="N568" s="821"/>
      <c r="O568" s="216" t="s">
        <v>73</v>
      </c>
      <c r="P568" s="795" t="s">
        <v>5</v>
      </c>
      <c r="Q568" s="796"/>
    </row>
    <row r="569" spans="1:17" x14ac:dyDescent="0.15">
      <c r="A569" s="790"/>
      <c r="B569" s="791"/>
      <c r="C569" s="791"/>
      <c r="D569" s="791"/>
      <c r="E569" s="791"/>
      <c r="F569" s="791"/>
      <c r="G569" s="791"/>
      <c r="H569" s="791"/>
      <c r="I569" s="791"/>
      <c r="J569" s="791"/>
      <c r="K569" s="791"/>
      <c r="L569" s="791"/>
      <c r="M569" s="791"/>
      <c r="N569" s="791"/>
      <c r="O569" s="791"/>
      <c r="P569" s="791"/>
      <c r="Q569" s="122"/>
    </row>
    <row r="570" spans="1:17" s="126" customFormat="1" ht="12.75" customHeight="1" x14ac:dyDescent="0.15">
      <c r="A570" s="822" t="s">
        <v>150</v>
      </c>
      <c r="B570" s="823" t="s">
        <v>151</v>
      </c>
      <c r="C570" s="823"/>
      <c r="D570" s="802"/>
      <c r="E570" s="823" t="s">
        <v>152</v>
      </c>
      <c r="F570" s="823"/>
      <c r="G570" s="823"/>
      <c r="H570" s="802" t="s">
        <v>153</v>
      </c>
      <c r="I570" s="802" t="s">
        <v>159</v>
      </c>
      <c r="J570" s="804" t="s">
        <v>73</v>
      </c>
      <c r="K570" s="216" t="s">
        <v>154</v>
      </c>
      <c r="L570" s="123"/>
      <c r="M570" s="124"/>
      <c r="N570" s="124"/>
      <c r="O570" s="124"/>
      <c r="P570" s="124"/>
      <c r="Q570" s="125"/>
    </row>
    <row r="571" spans="1:17" s="130" customFormat="1" ht="14" x14ac:dyDescent="0.15">
      <c r="A571" s="822"/>
      <c r="B571" s="823"/>
      <c r="C571" s="823"/>
      <c r="D571" s="803"/>
      <c r="E571" s="217" t="s">
        <v>155</v>
      </c>
      <c r="F571" s="220" t="s">
        <v>572</v>
      </c>
      <c r="G571" s="217" t="s">
        <v>157</v>
      </c>
      <c r="H571" s="803"/>
      <c r="I571" s="803"/>
      <c r="J571" s="805"/>
      <c r="K571" s="216" t="s">
        <v>158</v>
      </c>
      <c r="L571" s="127"/>
      <c r="M571" s="128"/>
      <c r="N571" s="128"/>
      <c r="O571" s="128"/>
      <c r="P571" s="128"/>
      <c r="Q571" s="129"/>
    </row>
    <row r="572" spans="1:17" ht="18" customHeight="1" x14ac:dyDescent="0.15">
      <c r="A572" s="148"/>
      <c r="B572" s="815" t="s">
        <v>1059</v>
      </c>
      <c r="C572" s="816"/>
      <c r="D572" s="219">
        <v>0</v>
      </c>
      <c r="E572" s="132">
        <v>16.600000000000001</v>
      </c>
      <c r="F572" s="144">
        <v>5.6</v>
      </c>
      <c r="G572" s="144">
        <v>0</v>
      </c>
      <c r="H572" s="132">
        <v>1</v>
      </c>
      <c r="I572" s="132">
        <f>E572*F572</f>
        <v>92.960000000000008</v>
      </c>
      <c r="J572" s="133" t="s">
        <v>5</v>
      </c>
      <c r="K572" s="143">
        <f>I572*H572</f>
        <v>92.960000000000008</v>
      </c>
      <c r="L572" s="127"/>
      <c r="M572" s="128"/>
      <c r="N572" s="128"/>
      <c r="O572" s="128"/>
      <c r="P572" s="128"/>
      <c r="Q572" s="129"/>
    </row>
    <row r="573" spans="1:17" ht="14" x14ac:dyDescent="0.15">
      <c r="A573" s="795" t="s">
        <v>149</v>
      </c>
      <c r="B573" s="817"/>
      <c r="C573" s="817"/>
      <c r="D573" s="817"/>
      <c r="E573" s="817"/>
      <c r="F573" s="817"/>
      <c r="G573" s="817"/>
      <c r="H573" s="817"/>
      <c r="I573" s="817"/>
      <c r="J573" s="796"/>
      <c r="K573" s="418">
        <f>SUM(K572:K572)</f>
        <v>92.960000000000008</v>
      </c>
      <c r="L573" s="134"/>
      <c r="M573" s="135"/>
      <c r="N573" s="135"/>
      <c r="O573" s="135"/>
      <c r="P573" s="135"/>
      <c r="Q573" s="136"/>
    </row>
    <row r="574" spans="1:17" x14ac:dyDescent="0.15">
      <c r="A574" s="790"/>
      <c r="B574" s="791"/>
      <c r="C574" s="791"/>
      <c r="D574" s="791"/>
      <c r="E574" s="791"/>
      <c r="F574" s="791"/>
      <c r="G574" s="791"/>
      <c r="H574" s="791"/>
      <c r="I574" s="791"/>
      <c r="J574" s="791"/>
      <c r="K574" s="791"/>
      <c r="L574" s="791"/>
      <c r="M574" s="791"/>
      <c r="N574" s="791"/>
      <c r="O574" s="791"/>
      <c r="P574" s="791"/>
      <c r="Q574" s="792"/>
    </row>
    <row r="575" spans="1:17" s="121" customFormat="1" ht="18" customHeight="1" x14ac:dyDescent="0.15">
      <c r="A575" s="218" t="s">
        <v>0</v>
      </c>
      <c r="B575" s="793" t="s">
        <v>1382</v>
      </c>
      <c r="C575" s="794"/>
      <c r="D575" s="794"/>
      <c r="E575" s="794"/>
      <c r="F575" s="794"/>
      <c r="G575" s="794"/>
      <c r="H575" s="794"/>
      <c r="I575" s="794"/>
      <c r="J575" s="794"/>
      <c r="K575" s="794"/>
      <c r="L575" s="794"/>
      <c r="M575" s="794"/>
      <c r="N575" s="821"/>
      <c r="O575" s="216" t="s">
        <v>73</v>
      </c>
      <c r="P575" s="795" t="s">
        <v>5</v>
      </c>
      <c r="Q575" s="796"/>
    </row>
    <row r="576" spans="1:17" x14ac:dyDescent="0.15">
      <c r="A576" s="790"/>
      <c r="B576" s="791"/>
      <c r="C576" s="791"/>
      <c r="D576" s="791"/>
      <c r="E576" s="791"/>
      <c r="F576" s="791"/>
      <c r="G576" s="791"/>
      <c r="H576" s="791"/>
      <c r="I576" s="791"/>
      <c r="J576" s="791"/>
      <c r="K576" s="791"/>
      <c r="L576" s="791"/>
      <c r="M576" s="791"/>
      <c r="N576" s="791"/>
      <c r="O576" s="791"/>
      <c r="P576" s="791"/>
      <c r="Q576" s="122"/>
    </row>
    <row r="577" spans="1:17" s="126" customFormat="1" ht="12.75" customHeight="1" x14ac:dyDescent="0.15">
      <c r="A577" s="822" t="s">
        <v>150</v>
      </c>
      <c r="B577" s="823" t="s">
        <v>151</v>
      </c>
      <c r="C577" s="823"/>
      <c r="D577" s="832" t="s">
        <v>241</v>
      </c>
      <c r="E577" s="823" t="s">
        <v>152</v>
      </c>
      <c r="F577" s="823"/>
      <c r="G577" s="823"/>
      <c r="H577" s="802" t="s">
        <v>153</v>
      </c>
      <c r="I577" s="802" t="s">
        <v>159</v>
      </c>
      <c r="J577" s="804" t="s">
        <v>73</v>
      </c>
      <c r="K577" s="216" t="s">
        <v>154</v>
      </c>
      <c r="L577" s="123"/>
      <c r="M577" s="124"/>
      <c r="N577" s="124"/>
      <c r="O577" s="124"/>
      <c r="P577" s="124"/>
      <c r="Q577" s="125"/>
    </row>
    <row r="578" spans="1:17" s="130" customFormat="1" ht="14" x14ac:dyDescent="0.15">
      <c r="A578" s="822"/>
      <c r="B578" s="823"/>
      <c r="C578" s="823"/>
      <c r="D578" s="833"/>
      <c r="E578" s="217" t="s">
        <v>155</v>
      </c>
      <c r="F578" s="220" t="s">
        <v>572</v>
      </c>
      <c r="G578" s="217" t="s">
        <v>157</v>
      </c>
      <c r="H578" s="803"/>
      <c r="I578" s="803"/>
      <c r="J578" s="805"/>
      <c r="K578" s="216" t="s">
        <v>158</v>
      </c>
      <c r="L578" s="127"/>
      <c r="M578" s="128"/>
      <c r="N578" s="128"/>
      <c r="O578" s="128"/>
      <c r="P578" s="128"/>
      <c r="Q578" s="129"/>
    </row>
    <row r="579" spans="1:17" ht="24" customHeight="1" x14ac:dyDescent="0.15">
      <c r="A579" s="148"/>
      <c r="B579" s="788" t="s">
        <v>1251</v>
      </c>
      <c r="C579" s="789"/>
      <c r="D579" s="149"/>
      <c r="E579" s="143">
        <v>16.809999999999999</v>
      </c>
      <c r="F579" s="143">
        <v>0.6</v>
      </c>
      <c r="G579" s="143">
        <v>0.1</v>
      </c>
      <c r="H579" s="143">
        <v>2</v>
      </c>
      <c r="I579" s="143">
        <f>F579*E579</f>
        <v>10.085999999999999</v>
      </c>
      <c r="J579" s="133" t="s">
        <v>5</v>
      </c>
      <c r="K579" s="143">
        <f t="shared" ref="K579:K581" si="104">I579*H579</f>
        <v>20.171999999999997</v>
      </c>
      <c r="L579" s="127"/>
      <c r="M579" s="128"/>
      <c r="N579" s="128"/>
      <c r="O579" s="128"/>
      <c r="P579" s="128"/>
      <c r="Q579" s="129"/>
    </row>
    <row r="580" spans="1:17" ht="24" customHeight="1" x14ac:dyDescent="0.15">
      <c r="A580" s="148"/>
      <c r="B580" s="788" t="s">
        <v>1252</v>
      </c>
      <c r="C580" s="789"/>
      <c r="D580" s="149"/>
      <c r="E580" s="143">
        <v>4.91</v>
      </c>
      <c r="F580" s="143">
        <v>1.3</v>
      </c>
      <c r="G580" s="143">
        <v>0.1</v>
      </c>
      <c r="H580" s="143">
        <v>1</v>
      </c>
      <c r="I580" s="143">
        <f>F580*E580</f>
        <v>6.383</v>
      </c>
      <c r="J580" s="133" t="s">
        <v>5</v>
      </c>
      <c r="K580" s="143">
        <f t="shared" si="104"/>
        <v>6.383</v>
      </c>
      <c r="L580" s="127"/>
      <c r="M580" s="128"/>
      <c r="N580" s="128"/>
      <c r="O580" s="128"/>
      <c r="P580" s="128"/>
      <c r="Q580" s="129"/>
    </row>
    <row r="581" spans="1:17" ht="24" customHeight="1" x14ac:dyDescent="0.15">
      <c r="A581" s="148"/>
      <c r="B581" s="788" t="s">
        <v>1253</v>
      </c>
      <c r="C581" s="789"/>
      <c r="D581" s="149"/>
      <c r="E581" s="143">
        <v>3.86</v>
      </c>
      <c r="F581" s="143">
        <v>0.8</v>
      </c>
      <c r="G581" s="143">
        <v>0.1</v>
      </c>
      <c r="H581" s="143">
        <v>1</v>
      </c>
      <c r="I581" s="143">
        <f>F581*E581</f>
        <v>3.0880000000000001</v>
      </c>
      <c r="J581" s="133" t="s">
        <v>5</v>
      </c>
      <c r="K581" s="143">
        <f t="shared" si="104"/>
        <v>3.0880000000000001</v>
      </c>
      <c r="L581" s="127"/>
      <c r="M581" s="128"/>
      <c r="N581" s="128"/>
      <c r="O581" s="128"/>
      <c r="P581" s="128"/>
      <c r="Q581" s="129"/>
    </row>
    <row r="582" spans="1:17" ht="14" x14ac:dyDescent="0.15">
      <c r="A582" s="795" t="s">
        <v>149</v>
      </c>
      <c r="B582" s="817"/>
      <c r="C582" s="817"/>
      <c r="D582" s="817"/>
      <c r="E582" s="817"/>
      <c r="F582" s="817"/>
      <c r="G582" s="817"/>
      <c r="H582" s="817"/>
      <c r="I582" s="817"/>
      <c r="J582" s="796"/>
      <c r="K582" s="418">
        <f>SUM(K579:K581)</f>
        <v>29.642999999999997</v>
      </c>
      <c r="L582" s="134"/>
      <c r="M582" s="135"/>
      <c r="N582" s="135"/>
      <c r="O582" s="135"/>
      <c r="P582" s="135"/>
      <c r="Q582" s="136"/>
    </row>
    <row r="583" spans="1:17" x14ac:dyDescent="0.15">
      <c r="A583" s="790"/>
      <c r="B583" s="791"/>
      <c r="C583" s="791"/>
      <c r="D583" s="791"/>
      <c r="E583" s="791"/>
      <c r="F583" s="791"/>
      <c r="G583" s="791"/>
      <c r="H583" s="791"/>
      <c r="I583" s="791"/>
      <c r="J583" s="791"/>
      <c r="K583" s="791"/>
      <c r="L583" s="791"/>
      <c r="M583" s="791"/>
      <c r="N583" s="791"/>
      <c r="O583" s="791"/>
      <c r="P583" s="791"/>
      <c r="Q583" s="792"/>
    </row>
    <row r="584" spans="1:17" s="121" customFormat="1" ht="19.5" customHeight="1" x14ac:dyDescent="0.15">
      <c r="A584" s="218" t="s">
        <v>0</v>
      </c>
      <c r="B584" s="793" t="s">
        <v>1381</v>
      </c>
      <c r="C584" s="794"/>
      <c r="D584" s="794"/>
      <c r="E584" s="794"/>
      <c r="F584" s="794"/>
      <c r="G584" s="794"/>
      <c r="H584" s="794"/>
      <c r="I584" s="794"/>
      <c r="J584" s="794"/>
      <c r="K584" s="794"/>
      <c r="L584" s="794"/>
      <c r="M584" s="794"/>
      <c r="N584" s="821"/>
      <c r="O584" s="216" t="s">
        <v>73</v>
      </c>
      <c r="P584" s="795" t="s">
        <v>193</v>
      </c>
      <c r="Q584" s="796"/>
    </row>
    <row r="585" spans="1:17" x14ac:dyDescent="0.15">
      <c r="A585" s="790"/>
      <c r="B585" s="791"/>
      <c r="C585" s="791"/>
      <c r="D585" s="791"/>
      <c r="E585" s="791"/>
      <c r="F585" s="791"/>
      <c r="G585" s="791"/>
      <c r="H585" s="791"/>
      <c r="I585" s="791"/>
      <c r="J585" s="791"/>
      <c r="K585" s="791"/>
      <c r="L585" s="791"/>
      <c r="M585" s="791"/>
      <c r="N585" s="791"/>
      <c r="O585" s="791"/>
      <c r="P585" s="791"/>
      <c r="Q585" s="792"/>
    </row>
    <row r="586" spans="1:17" s="126" customFormat="1" ht="12.75" customHeight="1" x14ac:dyDescent="0.15">
      <c r="A586" s="822" t="s">
        <v>150</v>
      </c>
      <c r="B586" s="823" t="s">
        <v>151</v>
      </c>
      <c r="C586" s="823"/>
      <c r="D586" s="825" t="s">
        <v>152</v>
      </c>
      <c r="E586" s="826"/>
      <c r="F586" s="826"/>
      <c r="G586" s="834"/>
      <c r="H586" s="802" t="s">
        <v>153</v>
      </c>
      <c r="I586" s="802" t="s">
        <v>242</v>
      </c>
      <c r="J586" s="804" t="s">
        <v>73</v>
      </c>
      <c r="K586" s="216" t="s">
        <v>154</v>
      </c>
      <c r="L586" s="123"/>
      <c r="M586" s="124"/>
      <c r="N586" s="124"/>
      <c r="O586" s="124"/>
      <c r="P586" s="124"/>
      <c r="Q586" s="125"/>
    </row>
    <row r="587" spans="1:17" s="130" customFormat="1" x14ac:dyDescent="0.15">
      <c r="A587" s="822"/>
      <c r="B587" s="823"/>
      <c r="C587" s="823"/>
      <c r="D587" s="220"/>
      <c r="E587" s="217" t="s">
        <v>155</v>
      </c>
      <c r="F587" s="217" t="s">
        <v>156</v>
      </c>
      <c r="G587" s="217" t="s">
        <v>269</v>
      </c>
      <c r="H587" s="803"/>
      <c r="I587" s="803"/>
      <c r="J587" s="805"/>
      <c r="K587" s="216" t="s">
        <v>158</v>
      </c>
      <c r="L587" s="127"/>
      <c r="M587" s="128"/>
      <c r="N587" s="128"/>
      <c r="O587" s="128"/>
      <c r="P587" s="128"/>
      <c r="Q587" s="129"/>
    </row>
    <row r="588" spans="1:17" ht="21" customHeight="1" x14ac:dyDescent="0.15">
      <c r="A588" s="148"/>
      <c r="B588" s="815" t="s">
        <v>1502</v>
      </c>
      <c r="C588" s="816"/>
      <c r="D588" s="219">
        <v>0</v>
      </c>
      <c r="E588" s="132">
        <v>16.600000000000001</v>
      </c>
      <c r="F588" s="144">
        <v>0</v>
      </c>
      <c r="G588" s="144">
        <v>0</v>
      </c>
      <c r="H588" s="132">
        <v>6</v>
      </c>
      <c r="I588" s="143">
        <f>E588</f>
        <v>16.600000000000001</v>
      </c>
      <c r="J588" s="133" t="s">
        <v>193</v>
      </c>
      <c r="K588" s="143">
        <f>I588*H588</f>
        <v>99.600000000000009</v>
      </c>
      <c r="L588" s="127"/>
      <c r="M588" s="128"/>
      <c r="N588" s="128"/>
      <c r="O588" s="128"/>
      <c r="P588" s="128"/>
      <c r="Q588" s="129"/>
    </row>
    <row r="589" spans="1:17" ht="14" x14ac:dyDescent="0.15">
      <c r="A589" s="795" t="s">
        <v>149</v>
      </c>
      <c r="B589" s="817"/>
      <c r="C589" s="817"/>
      <c r="D589" s="817"/>
      <c r="E589" s="817"/>
      <c r="F589" s="817"/>
      <c r="G589" s="817"/>
      <c r="H589" s="817"/>
      <c r="I589" s="817"/>
      <c r="J589" s="796"/>
      <c r="K589" s="418">
        <f>SUM(K588:K588)</f>
        <v>99.600000000000009</v>
      </c>
      <c r="L589" s="134"/>
      <c r="M589" s="135"/>
      <c r="N589" s="135"/>
      <c r="O589" s="135"/>
      <c r="P589" s="135"/>
      <c r="Q589" s="136"/>
    </row>
    <row r="590" spans="1:17" x14ac:dyDescent="0.15">
      <c r="A590" s="790"/>
      <c r="B590" s="791"/>
      <c r="C590" s="791"/>
      <c r="D590" s="791"/>
      <c r="E590" s="791"/>
      <c r="F590" s="791"/>
      <c r="G590" s="791"/>
      <c r="H590" s="791"/>
      <c r="I590" s="791"/>
      <c r="J590" s="791"/>
      <c r="K590" s="791"/>
      <c r="L590" s="791"/>
      <c r="M590" s="791"/>
      <c r="N590" s="791"/>
      <c r="O590" s="791"/>
      <c r="P590" s="791"/>
      <c r="Q590" s="792"/>
    </row>
    <row r="591" spans="1:17" s="121" customFormat="1" ht="18" customHeight="1" x14ac:dyDescent="0.15">
      <c r="A591" s="218" t="s">
        <v>0</v>
      </c>
      <c r="B591" s="838" t="s">
        <v>1219</v>
      </c>
      <c r="C591" s="839"/>
      <c r="D591" s="839"/>
      <c r="E591" s="839"/>
      <c r="F591" s="839"/>
      <c r="G591" s="839"/>
      <c r="H591" s="839"/>
      <c r="I591" s="839"/>
      <c r="J591" s="839"/>
      <c r="K591" s="839"/>
      <c r="L591" s="839"/>
      <c r="M591" s="839"/>
      <c r="N591" s="839"/>
      <c r="O591" s="216" t="s">
        <v>73</v>
      </c>
      <c r="P591" s="795" t="s">
        <v>319</v>
      </c>
      <c r="Q591" s="796"/>
    </row>
    <row r="592" spans="1:17" x14ac:dyDescent="0.15">
      <c r="A592" s="790"/>
      <c r="B592" s="791"/>
      <c r="C592" s="791"/>
      <c r="D592" s="791"/>
      <c r="E592" s="791"/>
      <c r="F592" s="791"/>
      <c r="G592" s="791"/>
      <c r="H592" s="791"/>
      <c r="I592" s="791"/>
      <c r="J592" s="791"/>
      <c r="K592" s="791"/>
      <c r="L592" s="791"/>
      <c r="M592" s="791"/>
      <c r="N592" s="791"/>
      <c r="O592" s="791"/>
      <c r="P592" s="791"/>
      <c r="Q592" s="792"/>
    </row>
    <row r="593" spans="1:17" s="126" customFormat="1" ht="12.75" customHeight="1" x14ac:dyDescent="0.15">
      <c r="A593" s="802" t="s">
        <v>150</v>
      </c>
      <c r="B593" s="848" t="s">
        <v>151</v>
      </c>
      <c r="C593" s="849"/>
      <c r="D593" s="802"/>
      <c r="E593" s="825" t="s">
        <v>152</v>
      </c>
      <c r="F593" s="826"/>
      <c r="G593" s="834"/>
      <c r="H593" s="802" t="s">
        <v>153</v>
      </c>
      <c r="I593" s="802" t="s">
        <v>479</v>
      </c>
      <c r="J593" s="804" t="s">
        <v>73</v>
      </c>
      <c r="K593" s="216" t="s">
        <v>154</v>
      </c>
      <c r="L593" s="123"/>
      <c r="M593" s="124"/>
      <c r="N593" s="124"/>
      <c r="O593" s="124"/>
      <c r="P593" s="124"/>
      <c r="Q593" s="125"/>
    </row>
    <row r="594" spans="1:17" s="130" customFormat="1" x14ac:dyDescent="0.15">
      <c r="A594" s="803"/>
      <c r="B594" s="850"/>
      <c r="C594" s="851"/>
      <c r="D594" s="803"/>
      <c r="E594" s="217" t="s">
        <v>155</v>
      </c>
      <c r="F594" s="217" t="s">
        <v>156</v>
      </c>
      <c r="G594" s="217" t="s">
        <v>157</v>
      </c>
      <c r="H594" s="803"/>
      <c r="I594" s="803"/>
      <c r="J594" s="805"/>
      <c r="K594" s="216" t="s">
        <v>158</v>
      </c>
      <c r="L594" s="127"/>
      <c r="M594" s="128"/>
      <c r="N594" s="128"/>
      <c r="O594" s="128"/>
      <c r="P594" s="128"/>
      <c r="Q594" s="129"/>
    </row>
    <row r="595" spans="1:17" ht="17.25" customHeight="1" x14ac:dyDescent="0.15">
      <c r="A595" s="148"/>
      <c r="B595" s="788" t="s">
        <v>1225</v>
      </c>
      <c r="C595" s="789"/>
      <c r="D595" s="149"/>
      <c r="E595" s="143">
        <v>0</v>
      </c>
      <c r="F595" s="143">
        <v>0</v>
      </c>
      <c r="G595" s="143">
        <v>0</v>
      </c>
      <c r="H595" s="143">
        <v>4</v>
      </c>
      <c r="I595" s="143">
        <f>H595</f>
        <v>4</v>
      </c>
      <c r="J595" s="133" t="s">
        <v>319</v>
      </c>
      <c r="K595" s="143">
        <f>I595</f>
        <v>4</v>
      </c>
      <c r="L595" s="127"/>
      <c r="M595" s="128"/>
      <c r="N595" s="128"/>
      <c r="O595" s="128"/>
      <c r="P595" s="128"/>
      <c r="Q595" s="129"/>
    </row>
    <row r="596" spans="1:17" ht="14" x14ac:dyDescent="0.15">
      <c r="A596" s="795" t="s">
        <v>149</v>
      </c>
      <c r="B596" s="817"/>
      <c r="C596" s="817"/>
      <c r="D596" s="817"/>
      <c r="E596" s="817"/>
      <c r="F596" s="817"/>
      <c r="G596" s="817"/>
      <c r="H596" s="817"/>
      <c r="I596" s="817"/>
      <c r="J596" s="796"/>
      <c r="K596" s="418">
        <f>SUM(K595:K595)</f>
        <v>4</v>
      </c>
      <c r="L596" s="134"/>
      <c r="M596" s="135"/>
      <c r="N596" s="135"/>
      <c r="O596" s="135"/>
      <c r="P596" s="135"/>
      <c r="Q596" s="136"/>
    </row>
    <row r="597" spans="1:17" x14ac:dyDescent="0.15">
      <c r="A597" s="790"/>
      <c r="B597" s="791"/>
      <c r="C597" s="791"/>
      <c r="D597" s="791"/>
      <c r="E597" s="791"/>
      <c r="F597" s="791"/>
      <c r="G597" s="791"/>
      <c r="H597" s="791"/>
      <c r="I597" s="791"/>
      <c r="J597" s="791"/>
      <c r="K597" s="791"/>
      <c r="L597" s="791"/>
      <c r="M597" s="791"/>
      <c r="N597" s="791"/>
      <c r="O597" s="791"/>
      <c r="P597" s="791"/>
      <c r="Q597" s="792"/>
    </row>
    <row r="598" spans="1:17" s="121" customFormat="1" ht="18" customHeight="1" x14ac:dyDescent="0.15">
      <c r="A598" s="218" t="s">
        <v>0</v>
      </c>
      <c r="B598" s="838" t="s">
        <v>1220</v>
      </c>
      <c r="C598" s="839"/>
      <c r="D598" s="839"/>
      <c r="E598" s="839"/>
      <c r="F598" s="839"/>
      <c r="G598" s="839"/>
      <c r="H598" s="839"/>
      <c r="I598" s="839"/>
      <c r="J598" s="839"/>
      <c r="K598" s="839"/>
      <c r="L598" s="839"/>
      <c r="M598" s="839"/>
      <c r="N598" s="839"/>
      <c r="O598" s="216" t="s">
        <v>73</v>
      </c>
      <c r="P598" s="795" t="s">
        <v>5</v>
      </c>
      <c r="Q598" s="796"/>
    </row>
    <row r="599" spans="1:17" x14ac:dyDescent="0.15">
      <c r="A599" s="790"/>
      <c r="B599" s="791"/>
      <c r="C599" s="791"/>
      <c r="D599" s="791"/>
      <c r="E599" s="791"/>
      <c r="F599" s="791"/>
      <c r="G599" s="791"/>
      <c r="H599" s="791"/>
      <c r="I599" s="791"/>
      <c r="J599" s="791"/>
      <c r="K599" s="791"/>
      <c r="L599" s="791"/>
      <c r="M599" s="791"/>
      <c r="N599" s="791"/>
      <c r="O599" s="791"/>
      <c r="P599" s="791"/>
      <c r="Q599" s="792"/>
    </row>
    <row r="600" spans="1:17" s="126" customFormat="1" ht="12.75" customHeight="1" x14ac:dyDescent="0.15">
      <c r="A600" s="802" t="s">
        <v>150</v>
      </c>
      <c r="B600" s="848" t="s">
        <v>151</v>
      </c>
      <c r="C600" s="849"/>
      <c r="D600" s="802"/>
      <c r="E600" s="825" t="s">
        <v>152</v>
      </c>
      <c r="F600" s="826"/>
      <c r="G600" s="834"/>
      <c r="H600" s="802" t="s">
        <v>153</v>
      </c>
      <c r="I600" s="802" t="s">
        <v>159</v>
      </c>
      <c r="J600" s="804" t="s">
        <v>73</v>
      </c>
      <c r="K600" s="216" t="s">
        <v>154</v>
      </c>
      <c r="L600" s="123"/>
      <c r="M600" s="124"/>
      <c r="N600" s="124"/>
      <c r="O600" s="124"/>
      <c r="P600" s="124"/>
      <c r="Q600" s="125"/>
    </row>
    <row r="601" spans="1:17" s="130" customFormat="1" x14ac:dyDescent="0.15">
      <c r="A601" s="803"/>
      <c r="B601" s="850"/>
      <c r="C601" s="851"/>
      <c r="D601" s="803"/>
      <c r="E601" s="217" t="s">
        <v>155</v>
      </c>
      <c r="F601" s="217" t="s">
        <v>156</v>
      </c>
      <c r="G601" s="217" t="s">
        <v>157</v>
      </c>
      <c r="H601" s="803"/>
      <c r="I601" s="803"/>
      <c r="J601" s="805"/>
      <c r="K601" s="216" t="s">
        <v>158</v>
      </c>
      <c r="L601" s="127"/>
      <c r="M601" s="128"/>
      <c r="N601" s="128"/>
      <c r="O601" s="128"/>
      <c r="P601" s="128"/>
      <c r="Q601" s="129"/>
    </row>
    <row r="602" spans="1:17" ht="17.25" customHeight="1" x14ac:dyDescent="0.15">
      <c r="A602" s="148"/>
      <c r="B602" s="788" t="s">
        <v>1119</v>
      </c>
      <c r="C602" s="789"/>
      <c r="D602" s="149"/>
      <c r="E602" s="143">
        <v>1</v>
      </c>
      <c r="F602" s="143">
        <v>0</v>
      </c>
      <c r="G602" s="143">
        <v>2</v>
      </c>
      <c r="H602" s="143">
        <v>7</v>
      </c>
      <c r="I602" s="143">
        <f>E602*G602</f>
        <v>2</v>
      </c>
      <c r="J602" s="133" t="s">
        <v>5</v>
      </c>
      <c r="K602" s="143">
        <f>H602*I602</f>
        <v>14</v>
      </c>
      <c r="L602" s="127"/>
      <c r="M602" s="128"/>
      <c r="N602" s="128"/>
      <c r="O602" s="128"/>
      <c r="P602" s="128"/>
      <c r="Q602" s="129"/>
    </row>
    <row r="603" spans="1:17" ht="14" x14ac:dyDescent="0.15">
      <c r="A603" s="795" t="s">
        <v>149</v>
      </c>
      <c r="B603" s="817"/>
      <c r="C603" s="817"/>
      <c r="D603" s="817"/>
      <c r="E603" s="817"/>
      <c r="F603" s="817"/>
      <c r="G603" s="817"/>
      <c r="H603" s="817"/>
      <c r="I603" s="817"/>
      <c r="J603" s="796"/>
      <c r="K603" s="418">
        <f>SUM(K602:K602)</f>
        <v>14</v>
      </c>
      <c r="L603" s="134"/>
      <c r="M603" s="135"/>
      <c r="N603" s="135"/>
      <c r="O603" s="135"/>
      <c r="P603" s="135"/>
      <c r="Q603" s="136"/>
    </row>
    <row r="604" spans="1:17" x14ac:dyDescent="0.15">
      <c r="A604" s="790"/>
      <c r="B604" s="791"/>
      <c r="C604" s="791"/>
      <c r="D604" s="791"/>
      <c r="E604" s="791"/>
      <c r="F604" s="791"/>
      <c r="G604" s="791"/>
      <c r="H604" s="791"/>
      <c r="I604" s="791"/>
      <c r="J604" s="791"/>
      <c r="K604" s="791"/>
      <c r="L604" s="791"/>
      <c r="M604" s="791"/>
      <c r="N604" s="791"/>
      <c r="O604" s="791"/>
      <c r="P604" s="791"/>
      <c r="Q604" s="792"/>
    </row>
    <row r="605" spans="1:17" s="121" customFormat="1" ht="18" customHeight="1" x14ac:dyDescent="0.15">
      <c r="A605" s="218" t="s">
        <v>0</v>
      </c>
      <c r="B605" s="838" t="s">
        <v>1221</v>
      </c>
      <c r="C605" s="839"/>
      <c r="D605" s="839"/>
      <c r="E605" s="839"/>
      <c r="F605" s="839"/>
      <c r="G605" s="839"/>
      <c r="H605" s="839"/>
      <c r="I605" s="839"/>
      <c r="J605" s="839"/>
      <c r="K605" s="839"/>
      <c r="L605" s="839"/>
      <c r="M605" s="839"/>
      <c r="N605" s="839"/>
      <c r="O605" s="216" t="s">
        <v>73</v>
      </c>
      <c r="P605" s="795" t="s">
        <v>5</v>
      </c>
      <c r="Q605" s="796"/>
    </row>
    <row r="606" spans="1:17" x14ac:dyDescent="0.15">
      <c r="A606" s="790"/>
      <c r="B606" s="791"/>
      <c r="C606" s="791"/>
      <c r="D606" s="791"/>
      <c r="E606" s="791"/>
      <c r="F606" s="791"/>
      <c r="G606" s="791"/>
      <c r="H606" s="791"/>
      <c r="I606" s="791"/>
      <c r="J606" s="791"/>
      <c r="K606" s="791"/>
      <c r="L606" s="791"/>
      <c r="M606" s="791"/>
      <c r="N606" s="791"/>
      <c r="O606" s="791"/>
      <c r="P606" s="791"/>
      <c r="Q606" s="792"/>
    </row>
    <row r="607" spans="1:17" s="126" customFormat="1" x14ac:dyDescent="0.15">
      <c r="A607" s="822" t="s">
        <v>150</v>
      </c>
      <c r="B607" s="823" t="s">
        <v>151</v>
      </c>
      <c r="C607" s="823"/>
      <c r="D607" s="832" t="s">
        <v>246</v>
      </c>
      <c r="E607" s="823" t="s">
        <v>152</v>
      </c>
      <c r="F607" s="823"/>
      <c r="G607" s="823"/>
      <c r="H607" s="802" t="s">
        <v>153</v>
      </c>
      <c r="I607" s="802" t="s">
        <v>159</v>
      </c>
      <c r="J607" s="804" t="s">
        <v>73</v>
      </c>
      <c r="K607" s="216" t="s">
        <v>154</v>
      </c>
      <c r="L607" s="123"/>
      <c r="M607" s="124"/>
      <c r="N607" s="124"/>
      <c r="O607" s="124"/>
      <c r="P607" s="124"/>
      <c r="Q607" s="125"/>
    </row>
    <row r="608" spans="1:17" s="130" customFormat="1" x14ac:dyDescent="0.15">
      <c r="A608" s="822"/>
      <c r="B608" s="823"/>
      <c r="C608" s="823"/>
      <c r="D608" s="833"/>
      <c r="E608" s="217" t="s">
        <v>155</v>
      </c>
      <c r="F608" s="217" t="s">
        <v>156</v>
      </c>
      <c r="G608" s="217" t="s">
        <v>157</v>
      </c>
      <c r="H608" s="803"/>
      <c r="I608" s="803"/>
      <c r="J608" s="805"/>
      <c r="K608" s="216" t="s">
        <v>158</v>
      </c>
      <c r="L608" s="127"/>
      <c r="M608" s="128"/>
      <c r="N608" s="128"/>
      <c r="O608" s="128"/>
      <c r="P608" s="128"/>
      <c r="Q608" s="129"/>
    </row>
    <row r="609" spans="1:17" ht="21.75" customHeight="1" x14ac:dyDescent="0.15">
      <c r="A609" s="148"/>
      <c r="B609" s="788" t="s">
        <v>1183</v>
      </c>
      <c r="C609" s="789"/>
      <c r="D609" s="149"/>
      <c r="E609" s="143">
        <v>2</v>
      </c>
      <c r="F609" s="143">
        <v>0</v>
      </c>
      <c r="G609" s="143">
        <v>1.2</v>
      </c>
      <c r="H609" s="143">
        <v>1</v>
      </c>
      <c r="I609" s="143">
        <f>E609*G609</f>
        <v>2.4</v>
      </c>
      <c r="J609" s="133" t="s">
        <v>5</v>
      </c>
      <c r="K609" s="143">
        <f>I609*H609</f>
        <v>2.4</v>
      </c>
      <c r="L609" s="127"/>
      <c r="M609" s="128"/>
      <c r="N609" s="128"/>
      <c r="O609" s="128"/>
      <c r="P609" s="128"/>
      <c r="Q609" s="129"/>
    </row>
    <row r="610" spans="1:17" ht="21.75" customHeight="1" x14ac:dyDescent="0.15">
      <c r="A610" s="148"/>
      <c r="B610" s="788" t="s">
        <v>1223</v>
      </c>
      <c r="C610" s="789"/>
      <c r="D610" s="149"/>
      <c r="E610" s="143">
        <v>1.5</v>
      </c>
      <c r="F610" s="143">
        <v>0</v>
      </c>
      <c r="G610" s="143">
        <v>1.2</v>
      </c>
      <c r="H610" s="143">
        <v>6</v>
      </c>
      <c r="I610" s="143">
        <f t="shared" ref="I610:I611" si="105">E610*G610</f>
        <v>1.7999999999999998</v>
      </c>
      <c r="J610" s="133" t="s">
        <v>5</v>
      </c>
      <c r="K610" s="143">
        <f>I610*H610</f>
        <v>10.799999999999999</v>
      </c>
      <c r="L610" s="127"/>
      <c r="M610" s="128"/>
      <c r="N610" s="128"/>
      <c r="O610" s="128"/>
      <c r="P610" s="128"/>
      <c r="Q610" s="129"/>
    </row>
    <row r="611" spans="1:17" ht="21.75" customHeight="1" x14ac:dyDescent="0.15">
      <c r="A611" s="148"/>
      <c r="B611" s="788" t="s">
        <v>1224</v>
      </c>
      <c r="C611" s="789"/>
      <c r="D611" s="149"/>
      <c r="E611" s="143">
        <v>0.7</v>
      </c>
      <c r="F611" s="143">
        <v>0</v>
      </c>
      <c r="G611" s="143">
        <v>0.6</v>
      </c>
      <c r="H611" s="143">
        <v>4</v>
      </c>
      <c r="I611" s="143">
        <f t="shared" si="105"/>
        <v>0.42</v>
      </c>
      <c r="J611" s="133" t="s">
        <v>5</v>
      </c>
      <c r="K611" s="143">
        <f>I611*H611</f>
        <v>1.68</v>
      </c>
      <c r="L611" s="127"/>
      <c r="M611" s="128"/>
      <c r="N611" s="128"/>
      <c r="O611" s="128"/>
      <c r="P611" s="128"/>
      <c r="Q611" s="129"/>
    </row>
    <row r="612" spans="1:17" ht="14" x14ac:dyDescent="0.15">
      <c r="A612" s="795" t="s">
        <v>149</v>
      </c>
      <c r="B612" s="817"/>
      <c r="C612" s="817"/>
      <c r="D612" s="817"/>
      <c r="E612" s="817"/>
      <c r="F612" s="817"/>
      <c r="G612" s="817"/>
      <c r="H612" s="817"/>
      <c r="I612" s="817"/>
      <c r="J612" s="796"/>
      <c r="K612" s="418">
        <f>SUM(K609:K611)</f>
        <v>14.879999999999999</v>
      </c>
      <c r="L612" s="134"/>
      <c r="M612" s="135"/>
      <c r="N612" s="135"/>
      <c r="O612" s="135"/>
      <c r="P612" s="135"/>
      <c r="Q612" s="136"/>
    </row>
    <row r="613" spans="1:17" x14ac:dyDescent="0.15">
      <c r="A613" s="790"/>
      <c r="B613" s="791"/>
      <c r="C613" s="791"/>
      <c r="D613" s="791"/>
      <c r="E613" s="791"/>
      <c r="F613" s="791"/>
      <c r="G613" s="791"/>
      <c r="H613" s="791"/>
      <c r="I613" s="791"/>
      <c r="J613" s="791"/>
      <c r="K613" s="791"/>
      <c r="L613" s="791"/>
      <c r="M613" s="791"/>
      <c r="N613" s="791"/>
      <c r="O613" s="791"/>
      <c r="P613" s="791"/>
      <c r="Q613" s="792"/>
    </row>
    <row r="614" spans="1:17" s="121" customFormat="1" ht="18" customHeight="1" x14ac:dyDescent="0.15">
      <c r="A614" s="218" t="s">
        <v>0</v>
      </c>
      <c r="B614" s="838" t="s">
        <v>1388</v>
      </c>
      <c r="C614" s="839"/>
      <c r="D614" s="839"/>
      <c r="E614" s="839"/>
      <c r="F614" s="839"/>
      <c r="G614" s="839"/>
      <c r="H614" s="839"/>
      <c r="I614" s="839"/>
      <c r="J614" s="839"/>
      <c r="K614" s="839"/>
      <c r="L614" s="839"/>
      <c r="M614" s="839"/>
      <c r="N614" s="839"/>
      <c r="O614" s="216" t="s">
        <v>73</v>
      </c>
      <c r="P614" s="795" t="s">
        <v>5</v>
      </c>
      <c r="Q614" s="796"/>
    </row>
    <row r="615" spans="1:17" x14ac:dyDescent="0.15">
      <c r="A615" s="790"/>
      <c r="B615" s="791"/>
      <c r="C615" s="791"/>
      <c r="D615" s="791"/>
      <c r="E615" s="791"/>
      <c r="F615" s="791"/>
      <c r="G615" s="791"/>
      <c r="H615" s="791"/>
      <c r="I615" s="791"/>
      <c r="J615" s="791"/>
      <c r="K615" s="791"/>
      <c r="L615" s="791"/>
      <c r="M615" s="791"/>
      <c r="N615" s="791"/>
      <c r="O615" s="791"/>
      <c r="P615" s="791"/>
      <c r="Q615" s="792"/>
    </row>
    <row r="616" spans="1:17" s="126" customFormat="1" ht="12.75" customHeight="1" x14ac:dyDescent="0.15">
      <c r="A616" s="802" t="s">
        <v>150</v>
      </c>
      <c r="B616" s="848" t="s">
        <v>151</v>
      </c>
      <c r="C616" s="849"/>
      <c r="D616" s="802"/>
      <c r="E616" s="825" t="s">
        <v>152</v>
      </c>
      <c r="F616" s="826"/>
      <c r="G616" s="834"/>
      <c r="H616" s="802" t="s">
        <v>153</v>
      </c>
      <c r="I616" s="802" t="s">
        <v>159</v>
      </c>
      <c r="J616" s="804" t="s">
        <v>73</v>
      </c>
      <c r="K616" s="216" t="s">
        <v>154</v>
      </c>
      <c r="L616" s="123"/>
      <c r="M616" s="124"/>
      <c r="N616" s="124"/>
      <c r="O616" s="124"/>
      <c r="P616" s="124"/>
      <c r="Q616" s="125"/>
    </row>
    <row r="617" spans="1:17" s="130" customFormat="1" x14ac:dyDescent="0.15">
      <c r="A617" s="803"/>
      <c r="B617" s="850"/>
      <c r="C617" s="851"/>
      <c r="D617" s="803"/>
      <c r="E617" s="217" t="s">
        <v>155</v>
      </c>
      <c r="F617" s="217" t="s">
        <v>156</v>
      </c>
      <c r="G617" s="217" t="s">
        <v>157</v>
      </c>
      <c r="H617" s="803"/>
      <c r="I617" s="803"/>
      <c r="J617" s="805"/>
      <c r="K617" s="216" t="s">
        <v>158</v>
      </c>
      <c r="L617" s="127"/>
      <c r="M617" s="128"/>
      <c r="N617" s="128"/>
      <c r="O617" s="128"/>
      <c r="P617" s="128"/>
      <c r="Q617" s="129"/>
    </row>
    <row r="618" spans="1:17" ht="27.75" customHeight="1" x14ac:dyDescent="0.15">
      <c r="A618" s="148"/>
      <c r="B618" s="815" t="s">
        <v>1386</v>
      </c>
      <c r="C618" s="816"/>
      <c r="D618" s="219">
        <v>0</v>
      </c>
      <c r="E618" s="132">
        <v>2.5</v>
      </c>
      <c r="F618" s="144">
        <v>2</v>
      </c>
      <c r="G618" s="144">
        <v>0</v>
      </c>
      <c r="H618" s="132">
        <v>1</v>
      </c>
      <c r="I618" s="143">
        <f>F618*E618</f>
        <v>5</v>
      </c>
      <c r="J618" s="133" t="s">
        <v>5</v>
      </c>
      <c r="K618" s="143">
        <f t="shared" ref="K618" si="106">(I618*H618)-D618</f>
        <v>5</v>
      </c>
      <c r="L618" s="127"/>
      <c r="M618" s="128"/>
      <c r="N618" s="128"/>
      <c r="O618" s="128"/>
      <c r="P618" s="128"/>
      <c r="Q618" s="129"/>
    </row>
    <row r="619" spans="1:17" ht="27.75" customHeight="1" x14ac:dyDescent="0.15">
      <c r="A619" s="148"/>
      <c r="B619" s="815" t="s">
        <v>1387</v>
      </c>
      <c r="C619" s="816"/>
      <c r="D619" s="219">
        <v>0</v>
      </c>
      <c r="E619" s="132">
        <v>2.5</v>
      </c>
      <c r="F619" s="144">
        <v>1.2</v>
      </c>
      <c r="G619" s="144">
        <v>0</v>
      </c>
      <c r="H619" s="132">
        <v>1</v>
      </c>
      <c r="I619" s="143">
        <f>F619*E619</f>
        <v>3</v>
      </c>
      <c r="J619" s="133" t="s">
        <v>5</v>
      </c>
      <c r="K619" s="143">
        <f t="shared" ref="K619" si="107">(I619*H619)-D619</f>
        <v>3</v>
      </c>
      <c r="L619" s="127"/>
      <c r="M619" s="128"/>
      <c r="N619" s="128"/>
      <c r="O619" s="128"/>
      <c r="P619" s="128"/>
      <c r="Q619" s="129"/>
    </row>
    <row r="620" spans="1:17" ht="14" x14ac:dyDescent="0.15">
      <c r="A620" s="795" t="s">
        <v>149</v>
      </c>
      <c r="B620" s="817"/>
      <c r="C620" s="817"/>
      <c r="D620" s="817"/>
      <c r="E620" s="817"/>
      <c r="F620" s="817"/>
      <c r="G620" s="817"/>
      <c r="H620" s="817"/>
      <c r="I620" s="817"/>
      <c r="J620" s="796"/>
      <c r="K620" s="418">
        <f>SUM(K618:K619)</f>
        <v>8</v>
      </c>
      <c r="L620" s="134"/>
      <c r="M620" s="135"/>
      <c r="N620" s="135"/>
      <c r="O620" s="135"/>
      <c r="P620" s="135"/>
      <c r="Q620" s="136"/>
    </row>
    <row r="621" spans="1:17" x14ac:dyDescent="0.15">
      <c r="A621" s="790"/>
      <c r="B621" s="791"/>
      <c r="C621" s="791"/>
      <c r="D621" s="791"/>
      <c r="E621" s="791"/>
      <c r="F621" s="791"/>
      <c r="G621" s="791"/>
      <c r="H621" s="791"/>
      <c r="I621" s="791"/>
      <c r="J621" s="791"/>
      <c r="K621" s="791"/>
      <c r="L621" s="791"/>
      <c r="M621" s="791"/>
      <c r="N621" s="791"/>
      <c r="O621" s="791"/>
      <c r="P621" s="791"/>
      <c r="Q621" s="792"/>
    </row>
    <row r="622" spans="1:17" s="121" customFormat="1" ht="18" customHeight="1" x14ac:dyDescent="0.15">
      <c r="A622" s="218" t="s">
        <v>0</v>
      </c>
      <c r="B622" s="830" t="s">
        <v>1063</v>
      </c>
      <c r="C622" s="831"/>
      <c r="D622" s="831"/>
      <c r="E622" s="831"/>
      <c r="F622" s="831"/>
      <c r="G622" s="831"/>
      <c r="H622" s="831"/>
      <c r="I622" s="831"/>
      <c r="J622" s="831"/>
      <c r="K622" s="831"/>
      <c r="L622" s="831"/>
      <c r="M622" s="831"/>
      <c r="N622" s="831"/>
      <c r="O622" s="216" t="s">
        <v>73</v>
      </c>
      <c r="P622" s="795" t="s">
        <v>319</v>
      </c>
      <c r="Q622" s="796"/>
    </row>
    <row r="623" spans="1:17" x14ac:dyDescent="0.15">
      <c r="A623" s="790"/>
      <c r="B623" s="791"/>
      <c r="C623" s="791"/>
      <c r="D623" s="791"/>
      <c r="E623" s="791"/>
      <c r="F623" s="791"/>
      <c r="G623" s="791"/>
      <c r="H623" s="791"/>
      <c r="I623" s="791"/>
      <c r="J623" s="791"/>
      <c r="K623" s="791"/>
      <c r="L623" s="791"/>
      <c r="M623" s="791"/>
      <c r="N623" s="791"/>
      <c r="O623" s="791"/>
      <c r="P623" s="791"/>
      <c r="Q623" s="792"/>
    </row>
    <row r="624" spans="1:17" s="126" customFormat="1" x14ac:dyDescent="0.15">
      <c r="A624" s="822" t="s">
        <v>150</v>
      </c>
      <c r="B624" s="823" t="s">
        <v>151</v>
      </c>
      <c r="C624" s="823"/>
      <c r="D624" s="802"/>
      <c r="E624" s="823" t="s">
        <v>152</v>
      </c>
      <c r="F624" s="823"/>
      <c r="G624" s="823"/>
      <c r="H624" s="802" t="s">
        <v>153</v>
      </c>
      <c r="I624" s="802" t="s">
        <v>479</v>
      </c>
      <c r="J624" s="804" t="s">
        <v>73</v>
      </c>
      <c r="K624" s="216" t="s">
        <v>154</v>
      </c>
      <c r="L624" s="123"/>
      <c r="M624" s="124"/>
      <c r="N624" s="124"/>
      <c r="O624" s="124"/>
      <c r="P624" s="124"/>
      <c r="Q624" s="125"/>
    </row>
    <row r="625" spans="1:17" s="130" customFormat="1" x14ac:dyDescent="0.15">
      <c r="A625" s="822"/>
      <c r="B625" s="823"/>
      <c r="C625" s="823"/>
      <c r="D625" s="803"/>
      <c r="E625" s="217" t="s">
        <v>155</v>
      </c>
      <c r="F625" s="217" t="s">
        <v>156</v>
      </c>
      <c r="G625" s="217" t="s">
        <v>157</v>
      </c>
      <c r="H625" s="803"/>
      <c r="I625" s="803"/>
      <c r="J625" s="805"/>
      <c r="K625" s="216" t="s">
        <v>158</v>
      </c>
      <c r="L625" s="127"/>
      <c r="M625" s="128"/>
      <c r="N625" s="128"/>
      <c r="O625" s="128"/>
      <c r="P625" s="128"/>
      <c r="Q625" s="129"/>
    </row>
    <row r="626" spans="1:17" ht="26.25" customHeight="1" x14ac:dyDescent="0.15">
      <c r="A626" s="148"/>
      <c r="B626" s="788" t="s">
        <v>1064</v>
      </c>
      <c r="C626" s="789"/>
      <c r="D626" s="143"/>
      <c r="E626" s="143">
        <v>0</v>
      </c>
      <c r="F626" s="143">
        <v>0</v>
      </c>
      <c r="G626" s="143">
        <v>0</v>
      </c>
      <c r="H626" s="143">
        <v>3</v>
      </c>
      <c r="I626" s="143">
        <v>3</v>
      </c>
      <c r="J626" s="133" t="s">
        <v>319</v>
      </c>
      <c r="K626" s="143">
        <f>I626</f>
        <v>3</v>
      </c>
      <c r="L626" s="127"/>
      <c r="M626" s="128"/>
      <c r="N626" s="128"/>
      <c r="O626" s="128"/>
      <c r="P626" s="128"/>
      <c r="Q626" s="129"/>
    </row>
    <row r="627" spans="1:17" ht="14" x14ac:dyDescent="0.15">
      <c r="A627" s="795" t="s">
        <v>149</v>
      </c>
      <c r="B627" s="817"/>
      <c r="C627" s="817"/>
      <c r="D627" s="817"/>
      <c r="E627" s="817"/>
      <c r="F627" s="817"/>
      <c r="G627" s="817"/>
      <c r="H627" s="817"/>
      <c r="I627" s="817"/>
      <c r="J627" s="796"/>
      <c r="K627" s="418">
        <f>SUM(K626:K626)</f>
        <v>3</v>
      </c>
      <c r="L627" s="134"/>
      <c r="M627" s="135"/>
      <c r="N627" s="135"/>
      <c r="O627" s="135"/>
      <c r="P627" s="135"/>
      <c r="Q627" s="136"/>
    </row>
    <row r="628" spans="1:17" x14ac:dyDescent="0.15">
      <c r="A628" s="790"/>
      <c r="B628" s="791"/>
      <c r="C628" s="791"/>
      <c r="D628" s="791"/>
      <c r="E628" s="791"/>
      <c r="F628" s="791"/>
      <c r="G628" s="791"/>
      <c r="H628" s="791"/>
      <c r="I628" s="791"/>
      <c r="J628" s="791"/>
      <c r="K628" s="791"/>
      <c r="L628" s="791"/>
      <c r="M628" s="791"/>
      <c r="N628" s="791"/>
      <c r="O628" s="791"/>
      <c r="P628" s="791"/>
      <c r="Q628" s="792"/>
    </row>
    <row r="629" spans="1:17" s="121" customFormat="1" ht="18" customHeight="1" x14ac:dyDescent="0.15">
      <c r="A629" s="218" t="s">
        <v>0</v>
      </c>
      <c r="B629" s="830" t="s">
        <v>1136</v>
      </c>
      <c r="C629" s="831"/>
      <c r="D629" s="831"/>
      <c r="E629" s="831"/>
      <c r="F629" s="831"/>
      <c r="G629" s="831"/>
      <c r="H629" s="831"/>
      <c r="I629" s="831"/>
      <c r="J629" s="831"/>
      <c r="K629" s="831"/>
      <c r="L629" s="831"/>
      <c r="M629" s="831"/>
      <c r="N629" s="831"/>
      <c r="O629" s="216" t="s">
        <v>73</v>
      </c>
      <c r="P629" s="795" t="s">
        <v>5</v>
      </c>
      <c r="Q629" s="796"/>
    </row>
    <row r="630" spans="1:17" x14ac:dyDescent="0.15">
      <c r="A630" s="790"/>
      <c r="B630" s="791"/>
      <c r="C630" s="791"/>
      <c r="D630" s="791"/>
      <c r="E630" s="791"/>
      <c r="F630" s="791"/>
      <c r="G630" s="791"/>
      <c r="H630" s="791"/>
      <c r="I630" s="791"/>
      <c r="J630" s="791"/>
      <c r="K630" s="791"/>
      <c r="L630" s="791"/>
      <c r="M630" s="791"/>
      <c r="N630" s="791"/>
      <c r="O630" s="791"/>
      <c r="P630" s="791"/>
      <c r="Q630" s="792"/>
    </row>
    <row r="631" spans="1:17" s="126" customFormat="1" x14ac:dyDescent="0.15">
      <c r="A631" s="822" t="s">
        <v>150</v>
      </c>
      <c r="B631" s="823" t="s">
        <v>151</v>
      </c>
      <c r="C631" s="823"/>
      <c r="D631" s="832" t="s">
        <v>246</v>
      </c>
      <c r="E631" s="823" t="s">
        <v>152</v>
      </c>
      <c r="F631" s="823"/>
      <c r="G631" s="823"/>
      <c r="H631" s="802" t="s">
        <v>153</v>
      </c>
      <c r="I631" s="802" t="s">
        <v>159</v>
      </c>
      <c r="J631" s="804" t="s">
        <v>73</v>
      </c>
      <c r="K631" s="216" t="s">
        <v>154</v>
      </c>
      <c r="L631" s="123"/>
      <c r="M631" s="124"/>
      <c r="N631" s="124"/>
      <c r="O631" s="124"/>
      <c r="P631" s="124"/>
      <c r="Q631" s="125"/>
    </row>
    <row r="632" spans="1:17" s="130" customFormat="1" x14ac:dyDescent="0.15">
      <c r="A632" s="822"/>
      <c r="B632" s="823"/>
      <c r="C632" s="823"/>
      <c r="D632" s="833"/>
      <c r="E632" s="217" t="s">
        <v>155</v>
      </c>
      <c r="F632" s="217" t="s">
        <v>156</v>
      </c>
      <c r="G632" s="217" t="s">
        <v>157</v>
      </c>
      <c r="H632" s="803"/>
      <c r="I632" s="803"/>
      <c r="J632" s="805"/>
      <c r="K632" s="216" t="s">
        <v>158</v>
      </c>
      <c r="L632" s="127"/>
      <c r="M632" s="128"/>
      <c r="N632" s="128"/>
      <c r="O632" s="128"/>
      <c r="P632" s="128"/>
      <c r="Q632" s="129"/>
    </row>
    <row r="633" spans="1:17" ht="21.75" customHeight="1" x14ac:dyDescent="0.15">
      <c r="A633" s="148"/>
      <c r="B633" s="788" t="s">
        <v>1183</v>
      </c>
      <c r="C633" s="789"/>
      <c r="D633" s="149"/>
      <c r="E633" s="143">
        <v>2</v>
      </c>
      <c r="F633" s="143">
        <v>0</v>
      </c>
      <c r="G633" s="143">
        <v>1.4</v>
      </c>
      <c r="H633" s="143">
        <v>1</v>
      </c>
      <c r="I633" s="143">
        <f>E633*G633</f>
        <v>2.8</v>
      </c>
      <c r="J633" s="133" t="s">
        <v>5</v>
      </c>
      <c r="K633" s="143">
        <f>I633*H633</f>
        <v>2.8</v>
      </c>
      <c r="L633" s="127"/>
      <c r="M633" s="128"/>
      <c r="N633" s="128"/>
      <c r="O633" s="128"/>
      <c r="P633" s="128"/>
      <c r="Q633" s="129"/>
    </row>
    <row r="634" spans="1:17" ht="21.75" customHeight="1" x14ac:dyDescent="0.15">
      <c r="A634" s="148"/>
      <c r="B634" s="788" t="s">
        <v>1223</v>
      </c>
      <c r="C634" s="789"/>
      <c r="D634" s="149"/>
      <c r="E634" s="143">
        <v>1.5</v>
      </c>
      <c r="F634" s="143">
        <v>0</v>
      </c>
      <c r="G634" s="143">
        <v>1.4</v>
      </c>
      <c r="H634" s="143">
        <v>6</v>
      </c>
      <c r="I634" s="143">
        <f t="shared" ref="I634" si="108">E634*G634</f>
        <v>2.0999999999999996</v>
      </c>
      <c r="J634" s="133" t="s">
        <v>5</v>
      </c>
      <c r="K634" s="143">
        <f>I634*H634</f>
        <v>12.599999999999998</v>
      </c>
      <c r="L634" s="127"/>
      <c r="M634" s="128"/>
      <c r="N634" s="128"/>
      <c r="O634" s="128"/>
      <c r="P634" s="128"/>
      <c r="Q634" s="129"/>
    </row>
    <row r="635" spans="1:17" ht="14" x14ac:dyDescent="0.15">
      <c r="A635" s="795" t="s">
        <v>149</v>
      </c>
      <c r="B635" s="817"/>
      <c r="C635" s="817"/>
      <c r="D635" s="817"/>
      <c r="E635" s="817"/>
      <c r="F635" s="817"/>
      <c r="G635" s="817"/>
      <c r="H635" s="817"/>
      <c r="I635" s="817"/>
      <c r="J635" s="796"/>
      <c r="K635" s="418">
        <f>SUM(K633:K634)</f>
        <v>15.399999999999999</v>
      </c>
      <c r="L635" s="134"/>
      <c r="M635" s="135"/>
      <c r="N635" s="135"/>
      <c r="O635" s="135"/>
      <c r="P635" s="135"/>
      <c r="Q635" s="136"/>
    </row>
    <row r="636" spans="1:17" x14ac:dyDescent="0.15">
      <c r="A636" s="790"/>
      <c r="B636" s="791"/>
      <c r="C636" s="791"/>
      <c r="D636" s="791"/>
      <c r="E636" s="791"/>
      <c r="F636" s="791"/>
      <c r="G636" s="791"/>
      <c r="H636" s="791"/>
      <c r="I636" s="791"/>
      <c r="J636" s="791"/>
      <c r="K636" s="791"/>
      <c r="L636" s="791"/>
      <c r="M636" s="791"/>
      <c r="N636" s="791"/>
      <c r="O636" s="791"/>
      <c r="P636" s="791"/>
      <c r="Q636" s="792"/>
    </row>
    <row r="637" spans="1:17" s="121" customFormat="1" ht="18" customHeight="1" x14ac:dyDescent="0.15">
      <c r="A637" s="218" t="s">
        <v>0</v>
      </c>
      <c r="B637" s="841" t="s">
        <v>1066</v>
      </c>
      <c r="C637" s="842"/>
      <c r="D637" s="842"/>
      <c r="E637" s="842"/>
      <c r="F637" s="842"/>
      <c r="G637" s="842"/>
      <c r="H637" s="842"/>
      <c r="I637" s="842"/>
      <c r="J637" s="842"/>
      <c r="K637" s="842"/>
      <c r="L637" s="842"/>
      <c r="M637" s="842"/>
      <c r="N637" s="842"/>
      <c r="O637" s="216" t="s">
        <v>73</v>
      </c>
      <c r="P637" s="795" t="s">
        <v>19</v>
      </c>
      <c r="Q637" s="796"/>
    </row>
    <row r="638" spans="1:17" x14ac:dyDescent="0.15">
      <c r="A638" s="790"/>
      <c r="B638" s="791"/>
      <c r="C638" s="791"/>
      <c r="D638" s="791"/>
      <c r="E638" s="791"/>
      <c r="F638" s="791"/>
      <c r="G638" s="791"/>
      <c r="H638" s="791"/>
      <c r="I638" s="791"/>
      <c r="J638" s="791"/>
      <c r="K638" s="791"/>
      <c r="L638" s="791"/>
      <c r="M638" s="791"/>
      <c r="N638" s="791"/>
      <c r="O638" s="791"/>
      <c r="P638" s="791"/>
      <c r="Q638" s="792"/>
    </row>
    <row r="639" spans="1:17" s="126" customFormat="1" x14ac:dyDescent="0.15">
      <c r="A639" s="822" t="s">
        <v>150</v>
      </c>
      <c r="B639" s="823" t="s">
        <v>151</v>
      </c>
      <c r="C639" s="823"/>
      <c r="D639" s="802" t="s">
        <v>165</v>
      </c>
      <c r="E639" s="823" t="s">
        <v>152</v>
      </c>
      <c r="F639" s="823"/>
      <c r="G639" s="823"/>
      <c r="H639" s="802" t="s">
        <v>153</v>
      </c>
      <c r="I639" s="802" t="s">
        <v>479</v>
      </c>
      <c r="J639" s="804" t="s">
        <v>73</v>
      </c>
      <c r="K639" s="216" t="s">
        <v>154</v>
      </c>
      <c r="L639" s="123"/>
      <c r="M639" s="124"/>
      <c r="N639" s="124"/>
      <c r="O639" s="124"/>
      <c r="P639" s="124"/>
      <c r="Q639" s="125"/>
    </row>
    <row r="640" spans="1:17" s="130" customFormat="1" x14ac:dyDescent="0.15">
      <c r="A640" s="822"/>
      <c r="B640" s="823"/>
      <c r="C640" s="823"/>
      <c r="D640" s="803"/>
      <c r="E640" s="217" t="s">
        <v>155</v>
      </c>
      <c r="F640" s="217" t="s">
        <v>156</v>
      </c>
      <c r="G640" s="217" t="s">
        <v>157</v>
      </c>
      <c r="H640" s="803"/>
      <c r="I640" s="803"/>
      <c r="J640" s="805"/>
      <c r="K640" s="216" t="s">
        <v>158</v>
      </c>
      <c r="L640" s="127"/>
      <c r="M640" s="128"/>
      <c r="N640" s="128"/>
      <c r="O640" s="128"/>
      <c r="P640" s="128"/>
      <c r="Q640" s="129"/>
    </row>
    <row r="641" spans="1:18" ht="27.75" customHeight="1" x14ac:dyDescent="0.15">
      <c r="A641" s="148"/>
      <c r="B641" s="788" t="s">
        <v>1477</v>
      </c>
      <c r="C641" s="789"/>
      <c r="D641" s="143" t="s">
        <v>19</v>
      </c>
      <c r="E641" s="143">
        <v>0</v>
      </c>
      <c r="F641" s="143">
        <v>0</v>
      </c>
      <c r="G641" s="143">
        <v>0</v>
      </c>
      <c r="H641" s="143">
        <v>1</v>
      </c>
      <c r="I641" s="143">
        <v>1</v>
      </c>
      <c r="J641" s="133" t="s">
        <v>19</v>
      </c>
      <c r="K641" s="143">
        <f>I641*H641</f>
        <v>1</v>
      </c>
      <c r="L641" s="127"/>
      <c r="M641" s="128"/>
      <c r="N641" s="128"/>
      <c r="O641" s="128"/>
      <c r="P641" s="128"/>
      <c r="Q641" s="129"/>
    </row>
    <row r="642" spans="1:18" ht="14" x14ac:dyDescent="0.15">
      <c r="A642" s="795" t="s">
        <v>149</v>
      </c>
      <c r="B642" s="817"/>
      <c r="C642" s="817"/>
      <c r="D642" s="817"/>
      <c r="E642" s="817"/>
      <c r="F642" s="817"/>
      <c r="G642" s="817"/>
      <c r="H642" s="817"/>
      <c r="I642" s="817"/>
      <c r="J642" s="796"/>
      <c r="K642" s="416">
        <f>SUM(K641:K641)</f>
        <v>1</v>
      </c>
      <c r="L642" s="134"/>
      <c r="M642" s="135"/>
      <c r="N642" s="135"/>
      <c r="O642" s="135"/>
      <c r="P642" s="135"/>
      <c r="Q642" s="136"/>
    </row>
    <row r="643" spans="1:18" s="140" customFormat="1" x14ac:dyDescent="0.15">
      <c r="A643" s="855"/>
      <c r="B643" s="855"/>
      <c r="C643" s="855"/>
      <c r="D643" s="855"/>
      <c r="E643" s="855"/>
      <c r="F643" s="855"/>
      <c r="G643" s="855"/>
      <c r="H643" s="855"/>
      <c r="I643" s="855"/>
      <c r="J643" s="855"/>
      <c r="K643" s="855"/>
      <c r="L643" s="855"/>
      <c r="M643" s="855"/>
      <c r="N643" s="855"/>
      <c r="O643" s="855"/>
      <c r="P643" s="855"/>
      <c r="Q643" s="855"/>
      <c r="R643" s="120"/>
    </row>
    <row r="644" spans="1:18" s="140" customFormat="1" x14ac:dyDescent="0.15">
      <c r="A644" s="178"/>
      <c r="B644" s="178"/>
      <c r="C644" s="137"/>
      <c r="D644" s="137"/>
      <c r="E644" s="138"/>
      <c r="F644" s="139"/>
      <c r="J644" s="141"/>
      <c r="K644" s="138"/>
      <c r="L644" s="142"/>
      <c r="M644" s="142"/>
      <c r="N644" s="142"/>
      <c r="O644" s="142"/>
      <c r="P644" s="138"/>
      <c r="Q644" s="120"/>
      <c r="R644" s="120"/>
    </row>
    <row r="645" spans="1:18" x14ac:dyDescent="0.15">
      <c r="I645" s="120"/>
      <c r="J645" s="120"/>
    </row>
    <row r="646" spans="1:18" x14ac:dyDescent="0.15">
      <c r="I646" s="120"/>
      <c r="J646" s="120"/>
    </row>
    <row r="647" spans="1:18" x14ac:dyDescent="0.15">
      <c r="I647" s="120"/>
      <c r="J647" s="120"/>
    </row>
    <row r="648" spans="1:18" ht="14" x14ac:dyDescent="0.15">
      <c r="B648" s="102"/>
      <c r="I648" s="120"/>
      <c r="J648" s="120"/>
    </row>
    <row r="649" spans="1:18" ht="14" x14ac:dyDescent="0.15">
      <c r="B649" s="83"/>
      <c r="I649" s="120"/>
      <c r="J649" s="120"/>
    </row>
    <row r="650" spans="1:18" ht="18" x14ac:dyDescent="0.2">
      <c r="C650" s="150"/>
      <c r="D650" s="151"/>
      <c r="E650" s="150"/>
      <c r="I650" s="120"/>
      <c r="J650" s="120"/>
    </row>
    <row r="651" spans="1:18" ht="18" x14ac:dyDescent="0.2">
      <c r="C651" s="152"/>
      <c r="D651" s="153"/>
      <c r="E651" s="152"/>
      <c r="I651" s="120"/>
      <c r="J651" s="120"/>
    </row>
    <row r="652" spans="1:18" ht="18" x14ac:dyDescent="0.2">
      <c r="B652" s="83"/>
      <c r="C652" s="154"/>
      <c r="D652" s="154"/>
      <c r="E652" s="154"/>
      <c r="I652" s="120"/>
      <c r="J652" s="120"/>
    </row>
    <row r="653" spans="1:18" x14ac:dyDescent="0.15">
      <c r="I653" s="120"/>
      <c r="J653" s="120"/>
    </row>
    <row r="654" spans="1:18" x14ac:dyDescent="0.15">
      <c r="I654" s="120"/>
      <c r="J654" s="120"/>
    </row>
    <row r="655" spans="1:18" x14ac:dyDescent="0.15">
      <c r="I655" s="120"/>
      <c r="J655" s="120"/>
    </row>
    <row r="656" spans="1:18" x14ac:dyDescent="0.15">
      <c r="I656" s="120"/>
      <c r="J656" s="120"/>
    </row>
    <row r="657" s="120" customFormat="1" x14ac:dyDescent="0.15"/>
    <row r="658" s="120" customFormat="1" x14ac:dyDescent="0.15"/>
    <row r="659" s="120" customFormat="1" x14ac:dyDescent="0.15"/>
    <row r="660" s="120" customFormat="1" x14ac:dyDescent="0.15"/>
    <row r="661" s="120" customFormat="1" x14ac:dyDescent="0.15"/>
    <row r="662" s="120" customFormat="1" x14ac:dyDescent="0.15"/>
    <row r="663" s="120" customFormat="1" x14ac:dyDescent="0.15"/>
    <row r="664" s="120" customFormat="1" x14ac:dyDescent="0.15"/>
    <row r="665" s="120" customFormat="1" x14ac:dyDescent="0.15"/>
    <row r="666" s="120" customFormat="1" x14ac:dyDescent="0.15"/>
    <row r="667" s="120" customFormat="1" x14ac:dyDescent="0.15"/>
    <row r="668" s="120" customFormat="1" x14ac:dyDescent="0.15"/>
    <row r="669" s="120" customFormat="1" x14ac:dyDescent="0.15"/>
    <row r="670" s="120" customFormat="1" x14ac:dyDescent="0.15"/>
    <row r="671" s="120" customFormat="1" x14ac:dyDescent="0.15"/>
    <row r="672" s="120" customFormat="1" x14ac:dyDescent="0.15"/>
    <row r="673" s="120" customFormat="1" x14ac:dyDescent="0.15"/>
    <row r="674" s="120" customFormat="1" x14ac:dyDescent="0.15"/>
    <row r="675" s="120" customFormat="1" x14ac:dyDescent="0.15"/>
    <row r="676" s="120" customFormat="1" x14ac:dyDescent="0.15"/>
    <row r="677" s="120" customFormat="1" x14ac:dyDescent="0.15"/>
    <row r="678" s="120" customFormat="1" x14ac:dyDescent="0.15"/>
    <row r="679" s="120" customFormat="1" x14ac:dyDescent="0.15"/>
    <row r="680" s="120" customFormat="1" x14ac:dyDescent="0.15"/>
    <row r="681" s="120" customFormat="1" x14ac:dyDescent="0.15"/>
    <row r="682" s="120" customFormat="1" x14ac:dyDescent="0.15"/>
    <row r="683" s="120" customFormat="1" x14ac:dyDescent="0.15"/>
    <row r="684" s="120" customFormat="1" x14ac:dyDescent="0.15"/>
    <row r="685" s="120" customFormat="1" x14ac:dyDescent="0.15"/>
    <row r="686" s="120" customFormat="1" x14ac:dyDescent="0.15"/>
    <row r="687" s="120" customFormat="1" x14ac:dyDescent="0.15"/>
    <row r="688" s="120" customFormat="1" x14ac:dyDescent="0.15"/>
    <row r="689" s="120" customFormat="1" x14ac:dyDescent="0.15"/>
    <row r="690" s="120" customFormat="1" x14ac:dyDescent="0.15"/>
    <row r="691" s="120" customFormat="1" x14ac:dyDescent="0.15"/>
    <row r="692" s="120" customFormat="1" x14ac:dyDescent="0.15"/>
    <row r="693" s="120" customFormat="1" x14ac:dyDescent="0.15"/>
    <row r="694" s="120" customFormat="1" x14ac:dyDescent="0.15"/>
    <row r="695" s="120" customFormat="1" x14ac:dyDescent="0.15"/>
    <row r="696" s="120" customFormat="1" x14ac:dyDescent="0.15"/>
    <row r="697" s="120" customFormat="1" x14ac:dyDescent="0.15"/>
    <row r="698" s="120" customFormat="1" x14ac:dyDescent="0.15"/>
    <row r="699" s="120" customFormat="1" x14ac:dyDescent="0.15"/>
    <row r="700" s="120" customFormat="1" x14ac:dyDescent="0.15"/>
    <row r="701" s="120" customFormat="1" x14ac:dyDescent="0.15"/>
    <row r="702" s="120" customFormat="1" x14ac:dyDescent="0.15"/>
    <row r="703" s="120" customFormat="1" x14ac:dyDescent="0.15"/>
    <row r="704" s="120" customFormat="1" x14ac:dyDescent="0.15"/>
    <row r="705" s="120" customFormat="1" x14ac:dyDescent="0.15"/>
    <row r="706" s="120" customFormat="1" x14ac:dyDescent="0.15"/>
    <row r="707" s="120" customFormat="1" x14ac:dyDescent="0.15"/>
    <row r="708" s="120" customFormat="1" x14ac:dyDescent="0.15"/>
    <row r="709" s="120" customFormat="1" x14ac:dyDescent="0.15"/>
    <row r="710" s="120" customFormat="1" x14ac:dyDescent="0.15"/>
    <row r="711" s="120" customFormat="1" x14ac:dyDescent="0.15"/>
    <row r="712" s="120" customFormat="1" x14ac:dyDescent="0.15"/>
    <row r="713" s="120" customFormat="1" x14ac:dyDescent="0.15"/>
    <row r="714" s="120" customFormat="1" x14ac:dyDescent="0.15"/>
    <row r="715" s="120" customFormat="1" x14ac:dyDescent="0.15"/>
    <row r="716" s="120" customFormat="1" x14ac:dyDescent="0.15"/>
    <row r="717" s="120" customFormat="1" x14ac:dyDescent="0.15"/>
    <row r="718" s="120" customFormat="1" x14ac:dyDescent="0.15"/>
    <row r="719" s="120" customFormat="1" x14ac:dyDescent="0.15"/>
    <row r="720" s="120" customFormat="1" x14ac:dyDescent="0.15"/>
    <row r="721" s="120" customFormat="1" x14ac:dyDescent="0.15"/>
    <row r="722" s="120" customFormat="1" x14ac:dyDescent="0.15"/>
    <row r="723" s="120" customFormat="1" x14ac:dyDescent="0.15"/>
    <row r="724" s="120" customFormat="1" x14ac:dyDescent="0.15"/>
    <row r="725" s="120" customFormat="1" x14ac:dyDescent="0.15"/>
    <row r="726" s="120" customFormat="1" x14ac:dyDescent="0.15"/>
    <row r="727" s="120" customFormat="1" x14ac:dyDescent="0.15"/>
    <row r="728" s="120" customFormat="1" x14ac:dyDescent="0.15"/>
    <row r="729" s="120" customFormat="1" x14ac:dyDescent="0.15"/>
    <row r="730" s="120" customFormat="1" x14ac:dyDescent="0.15"/>
    <row r="731" s="120" customFormat="1" x14ac:dyDescent="0.15"/>
    <row r="732" s="120" customFormat="1" x14ac:dyDescent="0.15"/>
    <row r="733" s="120" customFormat="1" x14ac:dyDescent="0.15"/>
    <row r="734" s="120" customFormat="1" x14ac:dyDescent="0.15"/>
    <row r="735" s="120" customFormat="1" x14ac:dyDescent="0.15"/>
    <row r="736" s="120" customFormat="1" x14ac:dyDescent="0.15"/>
    <row r="737" s="120" customFormat="1" x14ac:dyDescent="0.15"/>
    <row r="738" s="120" customFormat="1" x14ac:dyDescent="0.15"/>
    <row r="739" s="120" customFormat="1" x14ac:dyDescent="0.15"/>
    <row r="740" s="120" customFormat="1" x14ac:dyDescent="0.15"/>
    <row r="741" s="120" customFormat="1" x14ac:dyDescent="0.15"/>
    <row r="742" s="120" customFormat="1" x14ac:dyDescent="0.15"/>
    <row r="743" s="120" customFormat="1" x14ac:dyDescent="0.15"/>
    <row r="744" s="120" customFormat="1" x14ac:dyDescent="0.15"/>
    <row r="745" s="120" customFormat="1" x14ac:dyDescent="0.15"/>
    <row r="746" s="120" customFormat="1" x14ac:dyDescent="0.15"/>
    <row r="747" s="120" customFormat="1" x14ac:dyDescent="0.15"/>
    <row r="748" s="120" customFormat="1" x14ac:dyDescent="0.15"/>
    <row r="749" s="120" customFormat="1" x14ac:dyDescent="0.15"/>
    <row r="750" s="120" customFormat="1" x14ac:dyDescent="0.15"/>
    <row r="751" s="120" customFormat="1" x14ac:dyDescent="0.15"/>
    <row r="752" s="120" customFormat="1" x14ac:dyDescent="0.15"/>
    <row r="753" s="120" customFormat="1" x14ac:dyDescent="0.15"/>
    <row r="754" s="120" customFormat="1" x14ac:dyDescent="0.15"/>
    <row r="755" s="120" customFormat="1" x14ac:dyDescent="0.15"/>
    <row r="756" s="120" customFormat="1" x14ac:dyDescent="0.15"/>
    <row r="757" s="120" customFormat="1" x14ac:dyDescent="0.15"/>
    <row r="758" s="120" customFormat="1" x14ac:dyDescent="0.15"/>
    <row r="759" s="120" customFormat="1" x14ac:dyDescent="0.15"/>
    <row r="760" s="120" customFormat="1" x14ac:dyDescent="0.15"/>
    <row r="761" s="120" customFormat="1" x14ac:dyDescent="0.15"/>
    <row r="762" s="120" customFormat="1" x14ac:dyDescent="0.15"/>
    <row r="763" s="120" customFormat="1" x14ac:dyDescent="0.15"/>
    <row r="764" s="120" customFormat="1" x14ac:dyDescent="0.15"/>
    <row r="765" s="120" customFormat="1" x14ac:dyDescent="0.15"/>
    <row r="766" s="120" customFormat="1" x14ac:dyDescent="0.15"/>
    <row r="767" s="120" customFormat="1" x14ac:dyDescent="0.15"/>
    <row r="768" s="120" customFormat="1" x14ac:dyDescent="0.15"/>
    <row r="769" s="120" customFormat="1" x14ac:dyDescent="0.15"/>
    <row r="770" s="120" customFormat="1" x14ac:dyDescent="0.15"/>
    <row r="771" s="120" customFormat="1" x14ac:dyDescent="0.15"/>
    <row r="772" s="120" customFormat="1" x14ac:dyDescent="0.15"/>
    <row r="773" s="120" customFormat="1" x14ac:dyDescent="0.15"/>
    <row r="774" s="120" customFormat="1" x14ac:dyDescent="0.15"/>
    <row r="775" s="120" customFormat="1" x14ac:dyDescent="0.15"/>
    <row r="776" s="120" customFormat="1" x14ac:dyDescent="0.15"/>
    <row r="777" s="120" customFormat="1" x14ac:dyDescent="0.15"/>
    <row r="778" s="120" customFormat="1" x14ac:dyDescent="0.15"/>
    <row r="779" s="120" customFormat="1" x14ac:dyDescent="0.15"/>
    <row r="780" s="120" customFormat="1" x14ac:dyDescent="0.15"/>
    <row r="781" s="120" customFormat="1" x14ac:dyDescent="0.15"/>
    <row r="782" s="120" customFormat="1" x14ac:dyDescent="0.15"/>
    <row r="783" s="120" customFormat="1" x14ac:dyDescent="0.15"/>
    <row r="784" s="120" customFormat="1" x14ac:dyDescent="0.15"/>
    <row r="785" s="120" customFormat="1" x14ac:dyDescent="0.15"/>
    <row r="786" s="120" customFormat="1" x14ac:dyDescent="0.15"/>
    <row r="787" s="120" customFormat="1" x14ac:dyDescent="0.15"/>
    <row r="788" s="120" customFormat="1" x14ac:dyDescent="0.15"/>
    <row r="789" s="120" customFormat="1" x14ac:dyDescent="0.15"/>
    <row r="790" s="120" customFormat="1" x14ac:dyDescent="0.15"/>
    <row r="791" s="120" customFormat="1" x14ac:dyDescent="0.15"/>
    <row r="792" s="120" customFormat="1" x14ac:dyDescent="0.15"/>
    <row r="793" s="120" customFormat="1" x14ac:dyDescent="0.15"/>
    <row r="794" s="120" customFormat="1" x14ac:dyDescent="0.15"/>
    <row r="795" s="120" customFormat="1" x14ac:dyDescent="0.15"/>
    <row r="796" s="120" customFormat="1" x14ac:dyDescent="0.15"/>
    <row r="797" s="120" customFormat="1" x14ac:dyDescent="0.15"/>
    <row r="798" s="120" customFormat="1" x14ac:dyDescent="0.15"/>
    <row r="799" s="120" customFormat="1" x14ac:dyDescent="0.15"/>
    <row r="800" s="120" customFormat="1" x14ac:dyDescent="0.15"/>
    <row r="801" s="120" customFormat="1" x14ac:dyDescent="0.15"/>
    <row r="802" s="120" customFormat="1" x14ac:dyDescent="0.15"/>
    <row r="803" s="120" customFormat="1" x14ac:dyDescent="0.15"/>
    <row r="804" s="120" customFormat="1" x14ac:dyDescent="0.15"/>
    <row r="805" s="120" customFormat="1" x14ac:dyDescent="0.15"/>
    <row r="806" s="120" customFormat="1" x14ac:dyDescent="0.15"/>
    <row r="807" s="120" customFormat="1" x14ac:dyDescent="0.15"/>
    <row r="808" s="120" customFormat="1" x14ac:dyDescent="0.15"/>
    <row r="809" s="120" customFormat="1" x14ac:dyDescent="0.15"/>
    <row r="810" s="120" customFormat="1" x14ac:dyDescent="0.15"/>
    <row r="811" s="120" customFormat="1" x14ac:dyDescent="0.15"/>
    <row r="812" s="120" customFormat="1" x14ac:dyDescent="0.15"/>
    <row r="813" s="120" customFormat="1" x14ac:dyDescent="0.15"/>
    <row r="814" s="120" customFormat="1" x14ac:dyDescent="0.15"/>
    <row r="815" s="120" customFormat="1" x14ac:dyDescent="0.15"/>
    <row r="816" s="120" customFormat="1" x14ac:dyDescent="0.15"/>
    <row r="817" s="120" customFormat="1" x14ac:dyDescent="0.15"/>
    <row r="818" s="120" customFormat="1" x14ac:dyDescent="0.15"/>
    <row r="819" s="120" customFormat="1" x14ac:dyDescent="0.15"/>
    <row r="820" s="120" customFormat="1" x14ac:dyDescent="0.15"/>
    <row r="821" s="120" customFormat="1" x14ac:dyDescent="0.15"/>
    <row r="822" s="120" customFormat="1" x14ac:dyDescent="0.15"/>
    <row r="823" s="120" customFormat="1" x14ac:dyDescent="0.15"/>
    <row r="824" s="120" customFormat="1" x14ac:dyDescent="0.15"/>
    <row r="825" s="120" customFormat="1" x14ac:dyDescent="0.15"/>
    <row r="826" s="120" customFormat="1" x14ac:dyDescent="0.15"/>
    <row r="827" s="120" customFormat="1" x14ac:dyDescent="0.15"/>
    <row r="828" s="120" customFormat="1" x14ac:dyDescent="0.15"/>
    <row r="829" s="120" customFormat="1" x14ac:dyDescent="0.15"/>
    <row r="830" s="120" customFormat="1" x14ac:dyDescent="0.15"/>
    <row r="831" s="120" customFormat="1" x14ac:dyDescent="0.15"/>
    <row r="832" s="120" customFormat="1" x14ac:dyDescent="0.15"/>
    <row r="833" s="120" customFormat="1" x14ac:dyDescent="0.15"/>
    <row r="834" s="120" customFormat="1" x14ac:dyDescent="0.15"/>
    <row r="835" s="120" customFormat="1" x14ac:dyDescent="0.15"/>
    <row r="836" s="120" customFormat="1" x14ac:dyDescent="0.15"/>
    <row r="837" s="120" customFormat="1" x14ac:dyDescent="0.15"/>
    <row r="838" s="120" customFormat="1" x14ac:dyDescent="0.15"/>
    <row r="839" s="120" customFormat="1" x14ac:dyDescent="0.15"/>
    <row r="840" s="120" customFormat="1" x14ac:dyDescent="0.15"/>
    <row r="841" s="120" customFormat="1" x14ac:dyDescent="0.15"/>
    <row r="842" s="120" customFormat="1" x14ac:dyDescent="0.15"/>
    <row r="843" s="120" customFormat="1" x14ac:dyDescent="0.15"/>
    <row r="844" s="120" customFormat="1" x14ac:dyDescent="0.15"/>
    <row r="845" s="120" customFormat="1" x14ac:dyDescent="0.15"/>
    <row r="846" s="120" customFormat="1" x14ac:dyDescent="0.15"/>
    <row r="847" s="120" customFormat="1" x14ac:dyDescent="0.15"/>
    <row r="848" s="120" customFormat="1" x14ac:dyDescent="0.15"/>
    <row r="849" s="120" customFormat="1" x14ac:dyDescent="0.15"/>
    <row r="850" s="120" customFormat="1" x14ac:dyDescent="0.15"/>
    <row r="851" s="120" customFormat="1" x14ac:dyDescent="0.15"/>
    <row r="852" s="120" customFormat="1" x14ac:dyDescent="0.15"/>
    <row r="853" s="120" customFormat="1" x14ac:dyDescent="0.15"/>
    <row r="854" s="120" customFormat="1" x14ac:dyDescent="0.15"/>
    <row r="855" s="120" customFormat="1" x14ac:dyDescent="0.15"/>
    <row r="856" s="120" customFormat="1" x14ac:dyDescent="0.15"/>
    <row r="857" s="120" customFormat="1" x14ac:dyDescent="0.15"/>
    <row r="858" s="120" customFormat="1" x14ac:dyDescent="0.15"/>
    <row r="859" s="120" customFormat="1" x14ac:dyDescent="0.15"/>
    <row r="860" s="120" customFormat="1" x14ac:dyDescent="0.15"/>
    <row r="861" s="120" customFormat="1" x14ac:dyDescent="0.15"/>
    <row r="862" s="120" customFormat="1" x14ac:dyDescent="0.15"/>
    <row r="863" s="120" customFormat="1" x14ac:dyDescent="0.15"/>
    <row r="864" s="120" customFormat="1" x14ac:dyDescent="0.15"/>
    <row r="865" s="120" customFormat="1" x14ac:dyDescent="0.15"/>
    <row r="866" s="120" customFormat="1" x14ac:dyDescent="0.15"/>
    <row r="867" s="120" customFormat="1" x14ac:dyDescent="0.15"/>
    <row r="868" s="120" customFormat="1" x14ac:dyDescent="0.15"/>
    <row r="869" s="120" customFormat="1" x14ac:dyDescent="0.15"/>
    <row r="870" s="120" customFormat="1" x14ac:dyDescent="0.15"/>
    <row r="871" s="120" customFormat="1" x14ac:dyDescent="0.15"/>
    <row r="872" s="120" customFormat="1" x14ac:dyDescent="0.15"/>
    <row r="873" s="120" customFormat="1" x14ac:dyDescent="0.15"/>
    <row r="874" s="120" customFormat="1" x14ac:dyDescent="0.15"/>
    <row r="875" s="120" customFormat="1" x14ac:dyDescent="0.15"/>
    <row r="876" s="120" customFormat="1" x14ac:dyDescent="0.15"/>
    <row r="877" s="120" customFormat="1" x14ac:dyDescent="0.15"/>
    <row r="878" s="120" customFormat="1" x14ac:dyDescent="0.15"/>
    <row r="879" s="120" customFormat="1" x14ac:dyDescent="0.15"/>
    <row r="880" s="120" customFormat="1" x14ac:dyDescent="0.15"/>
    <row r="881" s="120" customFormat="1" x14ac:dyDescent="0.15"/>
    <row r="882" s="120" customFormat="1" x14ac:dyDescent="0.15"/>
    <row r="883" s="120" customFormat="1" x14ac:dyDescent="0.15"/>
    <row r="884" s="120" customFormat="1" x14ac:dyDescent="0.15"/>
    <row r="885" s="120" customFormat="1" x14ac:dyDescent="0.15"/>
    <row r="886" s="120" customFormat="1" x14ac:dyDescent="0.15"/>
    <row r="887" s="120" customFormat="1" x14ac:dyDescent="0.15"/>
    <row r="888" s="120" customFormat="1" x14ac:dyDescent="0.15"/>
    <row r="889" s="120" customFormat="1" x14ac:dyDescent="0.15"/>
    <row r="890" s="120" customFormat="1" x14ac:dyDescent="0.15"/>
    <row r="891" s="120" customFormat="1" x14ac:dyDescent="0.15"/>
    <row r="892" s="120" customFormat="1" x14ac:dyDescent="0.15"/>
    <row r="893" s="120" customFormat="1" x14ac:dyDescent="0.15"/>
    <row r="894" s="120" customFormat="1" x14ac:dyDescent="0.15"/>
    <row r="895" s="120" customFormat="1" x14ac:dyDescent="0.15"/>
    <row r="896" s="120" customFormat="1" x14ac:dyDescent="0.15"/>
    <row r="897" s="120" customFormat="1" x14ac:dyDescent="0.15"/>
    <row r="898" s="120" customFormat="1" x14ac:dyDescent="0.15"/>
    <row r="899" s="120" customFormat="1" x14ac:dyDescent="0.15"/>
    <row r="900" s="120" customFormat="1" x14ac:dyDescent="0.15"/>
    <row r="901" s="120" customFormat="1" x14ac:dyDescent="0.15"/>
    <row r="902" s="120" customFormat="1" x14ac:dyDescent="0.15"/>
    <row r="903" s="120" customFormat="1" x14ac:dyDescent="0.15"/>
    <row r="904" s="120" customFormat="1" x14ac:dyDescent="0.15"/>
    <row r="905" s="120" customFormat="1" x14ac:dyDescent="0.15"/>
    <row r="906" s="120" customFormat="1" x14ac:dyDescent="0.15"/>
    <row r="907" s="120" customFormat="1" x14ac:dyDescent="0.15"/>
    <row r="908" s="120" customFormat="1" x14ac:dyDescent="0.15"/>
    <row r="909" s="120" customFormat="1" x14ac:dyDescent="0.15"/>
    <row r="910" s="120" customFormat="1" x14ac:dyDescent="0.15"/>
    <row r="911" s="120" customFormat="1" x14ac:dyDescent="0.15"/>
    <row r="912" s="120" customFormat="1" x14ac:dyDescent="0.15"/>
    <row r="913" s="120" customFormat="1" x14ac:dyDescent="0.15"/>
    <row r="914" s="120" customFormat="1" x14ac:dyDescent="0.15"/>
    <row r="915" s="120" customFormat="1" x14ac:dyDescent="0.15"/>
    <row r="916" s="120" customFormat="1" x14ac:dyDescent="0.15"/>
    <row r="917" s="120" customFormat="1" x14ac:dyDescent="0.15"/>
    <row r="918" s="120" customFormat="1" x14ac:dyDescent="0.15"/>
    <row r="919" s="120" customFormat="1" x14ac:dyDescent="0.15"/>
    <row r="920" s="120" customFormat="1" x14ac:dyDescent="0.15"/>
    <row r="921" s="120" customFormat="1" x14ac:dyDescent="0.15"/>
    <row r="922" s="120" customFormat="1" x14ac:dyDescent="0.15"/>
    <row r="923" s="120" customFormat="1" x14ac:dyDescent="0.15"/>
    <row r="924" s="120" customFormat="1" x14ac:dyDescent="0.15"/>
    <row r="925" s="120" customFormat="1" x14ac:dyDescent="0.15"/>
    <row r="926" s="120" customFormat="1" x14ac:dyDescent="0.15"/>
    <row r="927" s="120" customFormat="1" x14ac:dyDescent="0.15"/>
    <row r="928" s="120" customFormat="1" x14ac:dyDescent="0.15"/>
    <row r="929" s="120" customFormat="1" x14ac:dyDescent="0.15"/>
    <row r="930" s="120" customFormat="1" x14ac:dyDescent="0.15"/>
    <row r="931" s="120" customFormat="1" x14ac:dyDescent="0.15"/>
    <row r="932" s="120" customFormat="1" x14ac:dyDescent="0.15"/>
    <row r="933" s="120" customFormat="1" x14ac:dyDescent="0.15"/>
    <row r="934" s="120" customFormat="1" x14ac:dyDescent="0.15"/>
    <row r="935" s="120" customFormat="1" x14ac:dyDescent="0.15"/>
    <row r="936" s="120" customFormat="1" x14ac:dyDescent="0.15"/>
    <row r="937" s="120" customFormat="1" x14ac:dyDescent="0.15"/>
    <row r="938" s="120" customFormat="1" x14ac:dyDescent="0.15"/>
    <row r="939" s="120" customFormat="1" x14ac:dyDescent="0.15"/>
    <row r="940" s="120" customFormat="1" x14ac:dyDescent="0.15"/>
    <row r="941" s="120" customFormat="1" x14ac:dyDescent="0.15"/>
    <row r="942" s="120" customFormat="1" x14ac:dyDescent="0.15"/>
    <row r="943" s="120" customFormat="1" x14ac:dyDescent="0.15"/>
    <row r="944" s="120" customFormat="1" x14ac:dyDescent="0.15"/>
    <row r="945" s="120" customFormat="1" x14ac:dyDescent="0.15"/>
    <row r="946" s="120" customFormat="1" x14ac:dyDescent="0.15"/>
    <row r="947" s="120" customFormat="1" x14ac:dyDescent="0.15"/>
    <row r="948" s="120" customFormat="1" x14ac:dyDescent="0.15"/>
    <row r="949" s="120" customFormat="1" x14ac:dyDescent="0.15"/>
    <row r="950" s="120" customFormat="1" x14ac:dyDescent="0.15"/>
    <row r="951" s="120" customFormat="1" x14ac:dyDescent="0.15"/>
    <row r="952" s="120" customFormat="1" x14ac:dyDescent="0.15"/>
    <row r="953" s="120" customFormat="1" x14ac:dyDescent="0.15"/>
    <row r="954" s="120" customFormat="1" x14ac:dyDescent="0.15"/>
    <row r="955" s="120" customFormat="1" x14ac:dyDescent="0.15"/>
    <row r="956" s="120" customFormat="1" x14ac:dyDescent="0.15"/>
    <row r="957" s="120" customFormat="1" x14ac:dyDescent="0.15"/>
    <row r="958" s="120" customFormat="1" x14ac:dyDescent="0.15"/>
    <row r="959" s="120" customFormat="1" x14ac:dyDescent="0.15"/>
    <row r="960" s="120" customFormat="1" x14ac:dyDescent="0.15"/>
    <row r="961" s="120" customFormat="1" x14ac:dyDescent="0.15"/>
    <row r="962" s="120" customFormat="1" x14ac:dyDescent="0.15"/>
    <row r="963" s="120" customFormat="1" x14ac:dyDescent="0.15"/>
    <row r="964" s="120" customFormat="1" x14ac:dyDescent="0.15"/>
    <row r="965" s="120" customFormat="1" x14ac:dyDescent="0.15"/>
    <row r="966" s="120" customFormat="1" x14ac:dyDescent="0.15"/>
    <row r="967" s="120" customFormat="1" x14ac:dyDescent="0.15"/>
    <row r="968" s="120" customFormat="1" x14ac:dyDescent="0.15"/>
    <row r="969" s="120" customFormat="1" x14ac:dyDescent="0.15"/>
    <row r="970" s="120" customFormat="1" x14ac:dyDescent="0.15"/>
    <row r="971" s="120" customFormat="1" x14ac:dyDescent="0.15"/>
    <row r="972" s="120" customFormat="1" x14ac:dyDescent="0.15"/>
    <row r="973" s="120" customFormat="1" x14ac:dyDescent="0.15"/>
    <row r="974" s="120" customFormat="1" x14ac:dyDescent="0.15"/>
    <row r="975" s="120" customFormat="1" x14ac:dyDescent="0.15"/>
    <row r="976" s="120" customFormat="1" x14ac:dyDescent="0.15"/>
    <row r="977" s="120" customFormat="1" x14ac:dyDescent="0.15"/>
    <row r="978" s="120" customFormat="1" x14ac:dyDescent="0.15"/>
    <row r="979" s="120" customFormat="1" x14ac:dyDescent="0.15"/>
    <row r="980" s="120" customFormat="1" x14ac:dyDescent="0.15"/>
    <row r="981" s="120" customFormat="1" x14ac:dyDescent="0.15"/>
    <row r="982" s="120" customFormat="1" x14ac:dyDescent="0.15"/>
    <row r="983" s="120" customFormat="1" x14ac:dyDescent="0.15"/>
    <row r="984" s="120" customFormat="1" x14ac:dyDescent="0.15"/>
    <row r="985" s="120" customFormat="1" x14ac:dyDescent="0.15"/>
    <row r="986" s="120" customFormat="1" x14ac:dyDescent="0.15"/>
    <row r="987" s="120" customFormat="1" x14ac:dyDescent="0.15"/>
    <row r="988" s="120" customFormat="1" x14ac:dyDescent="0.15"/>
    <row r="989" s="120" customFormat="1" x14ac:dyDescent="0.15"/>
    <row r="990" s="120" customFormat="1" x14ac:dyDescent="0.15"/>
    <row r="991" s="120" customFormat="1" x14ac:dyDescent="0.15"/>
    <row r="992" s="120" customFormat="1" x14ac:dyDescent="0.15"/>
    <row r="993" s="120" customFormat="1" x14ac:dyDescent="0.15"/>
    <row r="994" s="120" customFormat="1" x14ac:dyDescent="0.15"/>
    <row r="995" s="120" customFormat="1" x14ac:dyDescent="0.15"/>
    <row r="996" s="120" customFormat="1" x14ac:dyDescent="0.15"/>
    <row r="997" s="120" customFormat="1" x14ac:dyDescent="0.15"/>
    <row r="998" s="120" customFormat="1" x14ac:dyDescent="0.15"/>
    <row r="999" s="120" customFormat="1" x14ac:dyDescent="0.15"/>
    <row r="1000" s="120" customFormat="1" x14ac:dyDescent="0.15"/>
    <row r="1001" s="120" customFormat="1" x14ac:dyDescent="0.15"/>
    <row r="1002" s="120" customFormat="1" x14ac:dyDescent="0.15"/>
    <row r="1003" s="120" customFormat="1" x14ac:dyDescent="0.15"/>
    <row r="1004" s="120" customFormat="1" x14ac:dyDescent="0.15"/>
    <row r="1005" s="120" customFormat="1" x14ac:dyDescent="0.15"/>
    <row r="1006" s="120" customFormat="1" x14ac:dyDescent="0.15"/>
    <row r="1007" s="120" customFormat="1" x14ac:dyDescent="0.15"/>
    <row r="1008" s="120" customFormat="1" x14ac:dyDescent="0.15"/>
    <row r="1009" s="120" customFormat="1" x14ac:dyDescent="0.15"/>
    <row r="1010" s="120" customFormat="1" x14ac:dyDescent="0.15"/>
    <row r="1011" s="120" customFormat="1" x14ac:dyDescent="0.15"/>
    <row r="1012" s="120" customFormat="1" x14ac:dyDescent="0.15"/>
    <row r="1013" s="120" customFormat="1" x14ac:dyDescent="0.15"/>
    <row r="1014" s="120" customFormat="1" x14ac:dyDescent="0.15"/>
    <row r="1015" s="120" customFormat="1" x14ac:dyDescent="0.15"/>
    <row r="1016" s="120" customFormat="1" x14ac:dyDescent="0.15"/>
    <row r="1017" s="120" customFormat="1" x14ac:dyDescent="0.15"/>
    <row r="1018" s="120" customFormat="1" x14ac:dyDescent="0.15"/>
    <row r="1019" s="120" customFormat="1" x14ac:dyDescent="0.15"/>
    <row r="1020" s="120" customFormat="1" x14ac:dyDescent="0.15"/>
    <row r="1021" s="120" customFormat="1" x14ac:dyDescent="0.15"/>
    <row r="1022" s="120" customFormat="1" x14ac:dyDescent="0.15"/>
    <row r="1023" s="120" customFormat="1" x14ac:dyDescent="0.15"/>
    <row r="1024" s="120" customFormat="1" x14ac:dyDescent="0.15"/>
    <row r="1025" s="120" customFormat="1" x14ac:dyDescent="0.15"/>
    <row r="1026" s="120" customFormat="1" x14ac:dyDescent="0.15"/>
    <row r="1027" s="120" customFormat="1" x14ac:dyDescent="0.15"/>
    <row r="1028" s="120" customFormat="1" x14ac:dyDescent="0.15"/>
    <row r="1029" s="120" customFormat="1" x14ac:dyDescent="0.15"/>
    <row r="1030" s="120" customFormat="1" x14ac:dyDescent="0.15"/>
    <row r="1031" s="120" customFormat="1" x14ac:dyDescent="0.15"/>
    <row r="1032" s="120" customFormat="1" x14ac:dyDescent="0.15"/>
    <row r="1033" s="120" customFormat="1" x14ac:dyDescent="0.15"/>
    <row r="1034" s="120" customFormat="1" x14ac:dyDescent="0.15"/>
    <row r="1035" s="120" customFormat="1" x14ac:dyDescent="0.15"/>
    <row r="1036" s="120" customFormat="1" x14ac:dyDescent="0.15"/>
    <row r="1037" s="120" customFormat="1" x14ac:dyDescent="0.15"/>
    <row r="1038" s="120" customFormat="1" x14ac:dyDescent="0.15"/>
    <row r="1039" s="120" customFormat="1" x14ac:dyDescent="0.15"/>
    <row r="1040" s="120" customFormat="1" x14ac:dyDescent="0.15"/>
    <row r="1041" s="120" customFormat="1" x14ac:dyDescent="0.15"/>
    <row r="1042" s="120" customFormat="1" x14ac:dyDescent="0.15"/>
    <row r="1043" s="120" customFormat="1" x14ac:dyDescent="0.15"/>
    <row r="1044" s="120" customFormat="1" x14ac:dyDescent="0.15"/>
    <row r="1045" s="120" customFormat="1" x14ac:dyDescent="0.15"/>
    <row r="1046" s="120" customFormat="1" x14ac:dyDescent="0.15"/>
    <row r="1047" s="120" customFormat="1" x14ac:dyDescent="0.15"/>
    <row r="1048" s="120" customFormat="1" x14ac:dyDescent="0.15"/>
    <row r="1049" s="120" customFormat="1" x14ac:dyDescent="0.15"/>
    <row r="1050" s="120" customFormat="1" x14ac:dyDescent="0.15"/>
    <row r="1051" s="120" customFormat="1" x14ac:dyDescent="0.15"/>
    <row r="1052" s="120" customFormat="1" x14ac:dyDescent="0.15"/>
    <row r="1053" s="120" customFormat="1" x14ac:dyDescent="0.15"/>
    <row r="1054" s="120" customFormat="1" x14ac:dyDescent="0.15"/>
    <row r="1055" s="120" customFormat="1" x14ac:dyDescent="0.15"/>
    <row r="1056" s="120" customFormat="1" x14ac:dyDescent="0.15"/>
    <row r="1057" s="120" customFormat="1" x14ac:dyDescent="0.15"/>
    <row r="1058" s="120" customFormat="1" x14ac:dyDescent="0.15"/>
    <row r="1059" s="120" customFormat="1" x14ac:dyDescent="0.15"/>
    <row r="1060" s="120" customFormat="1" x14ac:dyDescent="0.15"/>
    <row r="1061" s="120" customFormat="1" x14ac:dyDescent="0.15"/>
    <row r="1062" s="120" customFormat="1" x14ac:dyDescent="0.15"/>
    <row r="1063" s="120" customFormat="1" x14ac:dyDescent="0.15"/>
    <row r="1064" s="120" customFormat="1" x14ac:dyDescent="0.15"/>
    <row r="1065" s="120" customFormat="1" x14ac:dyDescent="0.15"/>
    <row r="1066" s="120" customFormat="1" x14ac:dyDescent="0.15"/>
    <row r="1067" s="120" customFormat="1" x14ac:dyDescent="0.15"/>
    <row r="1068" s="120" customFormat="1" x14ac:dyDescent="0.15"/>
    <row r="1069" s="120" customFormat="1" x14ac:dyDescent="0.15"/>
    <row r="1070" s="120" customFormat="1" x14ac:dyDescent="0.15"/>
    <row r="1071" s="120" customFormat="1" x14ac:dyDescent="0.15"/>
    <row r="1072" s="120" customFormat="1" x14ac:dyDescent="0.15"/>
    <row r="1073" s="120" customFormat="1" x14ac:dyDescent="0.15"/>
    <row r="1074" s="120" customFormat="1" x14ac:dyDescent="0.15"/>
    <row r="1075" s="120" customFormat="1" x14ac:dyDescent="0.15"/>
    <row r="1076" s="120" customFormat="1" x14ac:dyDescent="0.15"/>
    <row r="1077" s="120" customFormat="1" x14ac:dyDescent="0.15"/>
    <row r="1078" s="120" customFormat="1" x14ac:dyDescent="0.15"/>
    <row r="1079" s="120" customFormat="1" x14ac:dyDescent="0.15"/>
    <row r="1080" s="120" customFormat="1" x14ac:dyDescent="0.15"/>
    <row r="1081" s="120" customFormat="1" x14ac:dyDescent="0.15"/>
    <row r="1082" s="120" customFormat="1" x14ac:dyDescent="0.15"/>
    <row r="1083" s="120" customFormat="1" x14ac:dyDescent="0.15"/>
    <row r="1084" s="120" customFormat="1" x14ac:dyDescent="0.15"/>
    <row r="1085" s="120" customFormat="1" x14ac:dyDescent="0.15"/>
    <row r="1086" s="120" customFormat="1" x14ac:dyDescent="0.15"/>
    <row r="1087" s="120" customFormat="1" x14ac:dyDescent="0.15"/>
    <row r="1088" s="120" customFormat="1" x14ac:dyDescent="0.15"/>
    <row r="1089" s="120" customFormat="1" x14ac:dyDescent="0.15"/>
    <row r="1090" s="120" customFormat="1" x14ac:dyDescent="0.15"/>
    <row r="1091" s="120" customFormat="1" x14ac:dyDescent="0.15"/>
    <row r="1092" s="120" customFormat="1" x14ac:dyDescent="0.15"/>
    <row r="1093" s="120" customFormat="1" x14ac:dyDescent="0.15"/>
    <row r="1094" s="120" customFormat="1" x14ac:dyDescent="0.15"/>
    <row r="1095" s="120" customFormat="1" x14ac:dyDescent="0.15"/>
    <row r="1096" s="120" customFormat="1" x14ac:dyDescent="0.15"/>
    <row r="1097" s="120" customFormat="1" x14ac:dyDescent="0.15"/>
    <row r="1098" s="120" customFormat="1" x14ac:dyDescent="0.15"/>
    <row r="1099" s="120" customFormat="1" x14ac:dyDescent="0.15"/>
    <row r="1100" s="120" customFormat="1" x14ac:dyDescent="0.15"/>
    <row r="1101" s="120" customFormat="1" x14ac:dyDescent="0.15"/>
    <row r="1102" s="120" customFormat="1" x14ac:dyDescent="0.15"/>
    <row r="1103" s="120" customFormat="1" x14ac:dyDescent="0.15"/>
    <row r="1104" s="120" customFormat="1" x14ac:dyDescent="0.15"/>
    <row r="1105" s="120" customFormat="1" x14ac:dyDescent="0.15"/>
    <row r="1106" s="120" customFormat="1" x14ac:dyDescent="0.15"/>
    <row r="1107" s="120" customFormat="1" x14ac:dyDescent="0.15"/>
    <row r="1108" s="120" customFormat="1" x14ac:dyDescent="0.15"/>
    <row r="1109" s="120" customFormat="1" x14ac:dyDescent="0.15"/>
    <row r="1110" s="120" customFormat="1" x14ac:dyDescent="0.15"/>
    <row r="1111" s="120" customFormat="1" x14ac:dyDescent="0.15"/>
    <row r="1112" s="120" customFormat="1" x14ac:dyDescent="0.15"/>
    <row r="1113" s="120" customFormat="1" x14ac:dyDescent="0.15"/>
    <row r="1114" s="120" customFormat="1" x14ac:dyDescent="0.15"/>
    <row r="1115" s="120" customFormat="1" x14ac:dyDescent="0.15"/>
    <row r="1116" s="120" customFormat="1" x14ac:dyDescent="0.15"/>
    <row r="1117" s="120" customFormat="1" x14ac:dyDescent="0.15"/>
    <row r="1118" s="120" customFormat="1" x14ac:dyDescent="0.15"/>
    <row r="1119" s="120" customFormat="1" x14ac:dyDescent="0.15"/>
    <row r="1120" s="120" customFormat="1" x14ac:dyDescent="0.15"/>
    <row r="1121" s="120" customFormat="1" x14ac:dyDescent="0.15"/>
    <row r="1122" s="120" customFormat="1" x14ac:dyDescent="0.15"/>
    <row r="1123" s="120" customFormat="1" x14ac:dyDescent="0.15"/>
    <row r="1124" s="120" customFormat="1" x14ac:dyDescent="0.15"/>
    <row r="1125" s="120" customFormat="1" x14ac:dyDescent="0.15"/>
    <row r="1126" s="120" customFormat="1" x14ac:dyDescent="0.15"/>
    <row r="1127" s="120" customFormat="1" x14ac:dyDescent="0.15"/>
    <row r="1128" s="120" customFormat="1" x14ac:dyDescent="0.15"/>
    <row r="1129" s="120" customFormat="1" x14ac:dyDescent="0.15"/>
    <row r="1130" s="120" customFormat="1" x14ac:dyDescent="0.15"/>
    <row r="1131" s="120" customFormat="1" x14ac:dyDescent="0.15"/>
    <row r="1132" s="120" customFormat="1" x14ac:dyDescent="0.15"/>
    <row r="1133" s="120" customFormat="1" x14ac:dyDescent="0.15"/>
    <row r="1134" s="120" customFormat="1" x14ac:dyDescent="0.15"/>
    <row r="1135" s="120" customFormat="1" x14ac:dyDescent="0.15"/>
    <row r="1136" s="120" customFormat="1" x14ac:dyDescent="0.15"/>
    <row r="1137" s="120" customFormat="1" x14ac:dyDescent="0.15"/>
    <row r="1138" s="120" customFormat="1" x14ac:dyDescent="0.15"/>
    <row r="1139" s="120" customFormat="1" x14ac:dyDescent="0.15"/>
    <row r="1140" s="120" customFormat="1" x14ac:dyDescent="0.15"/>
    <row r="1141" s="120" customFormat="1" x14ac:dyDescent="0.15"/>
    <row r="1142" s="120" customFormat="1" x14ac:dyDescent="0.15"/>
    <row r="1143" s="120" customFormat="1" x14ac:dyDescent="0.15"/>
    <row r="1144" s="120" customFormat="1" x14ac:dyDescent="0.15"/>
    <row r="1145" s="120" customFormat="1" x14ac:dyDescent="0.15"/>
    <row r="1146" s="120" customFormat="1" x14ac:dyDescent="0.15"/>
    <row r="1147" s="120" customFormat="1" x14ac:dyDescent="0.15"/>
    <row r="1148" s="120" customFormat="1" x14ac:dyDescent="0.15"/>
    <row r="1149" s="120" customFormat="1" x14ac:dyDescent="0.15"/>
    <row r="1150" s="120" customFormat="1" x14ac:dyDescent="0.15"/>
    <row r="1151" s="120" customFormat="1" x14ac:dyDescent="0.15"/>
    <row r="1152" s="120" customFormat="1" x14ac:dyDescent="0.15"/>
    <row r="1153" s="120" customFormat="1" x14ac:dyDescent="0.15"/>
    <row r="1154" s="120" customFormat="1" x14ac:dyDescent="0.15"/>
    <row r="1155" s="120" customFormat="1" x14ac:dyDescent="0.15"/>
    <row r="1156" s="120" customFormat="1" x14ac:dyDescent="0.15"/>
    <row r="1157" s="120" customFormat="1" x14ac:dyDescent="0.15"/>
    <row r="1158" s="120" customFormat="1" x14ac:dyDescent="0.15"/>
    <row r="1159" s="120" customFormat="1" x14ac:dyDescent="0.15"/>
    <row r="1160" s="120" customFormat="1" x14ac:dyDescent="0.15"/>
    <row r="1161" s="120" customFormat="1" x14ac:dyDescent="0.15"/>
    <row r="1162" s="120" customFormat="1" x14ac:dyDescent="0.15"/>
    <row r="1163" s="120" customFormat="1" x14ac:dyDescent="0.15"/>
    <row r="1164" s="120" customFormat="1" x14ac:dyDescent="0.15"/>
    <row r="1165" s="120" customFormat="1" x14ac:dyDescent="0.15"/>
    <row r="1166" s="120" customFormat="1" x14ac:dyDescent="0.15"/>
    <row r="1167" s="120" customFormat="1" x14ac:dyDescent="0.15"/>
    <row r="1168" s="120" customFormat="1" x14ac:dyDescent="0.15"/>
    <row r="1169" s="120" customFormat="1" x14ac:dyDescent="0.15"/>
    <row r="1170" s="120" customFormat="1" x14ac:dyDescent="0.15"/>
    <row r="1171" s="120" customFormat="1" x14ac:dyDescent="0.15"/>
    <row r="1172" s="120" customFormat="1" x14ac:dyDescent="0.15"/>
    <row r="1173" s="120" customFormat="1" x14ac:dyDescent="0.15"/>
    <row r="1174" s="120" customFormat="1" x14ac:dyDescent="0.15"/>
    <row r="1175" s="120" customFormat="1" x14ac:dyDescent="0.15"/>
    <row r="1176" s="120" customFormat="1" x14ac:dyDescent="0.15"/>
    <row r="1177" s="120" customFormat="1" x14ac:dyDescent="0.15"/>
    <row r="1178" s="120" customFormat="1" x14ac:dyDescent="0.15"/>
    <row r="1179" s="120" customFormat="1" x14ac:dyDescent="0.15"/>
    <row r="1180" s="120" customFormat="1" x14ac:dyDescent="0.15"/>
    <row r="1181" s="120" customFormat="1" x14ac:dyDescent="0.15"/>
    <row r="1182" s="120" customFormat="1" x14ac:dyDescent="0.15"/>
    <row r="1183" s="120" customFormat="1" x14ac:dyDescent="0.15"/>
    <row r="1184" s="120" customFormat="1" x14ac:dyDescent="0.15"/>
    <row r="1185" s="120" customFormat="1" x14ac:dyDescent="0.15"/>
    <row r="1186" s="120" customFormat="1" x14ac:dyDescent="0.15"/>
    <row r="1187" s="120" customFormat="1" x14ac:dyDescent="0.15"/>
    <row r="1188" s="120" customFormat="1" x14ac:dyDescent="0.15"/>
    <row r="1189" s="120" customFormat="1" x14ac:dyDescent="0.15"/>
    <row r="1190" s="120" customFormat="1" x14ac:dyDescent="0.15"/>
    <row r="1191" s="120" customFormat="1" x14ac:dyDescent="0.15"/>
    <row r="1192" s="120" customFormat="1" x14ac:dyDescent="0.15"/>
    <row r="1193" s="120" customFormat="1" x14ac:dyDescent="0.15"/>
    <row r="1194" s="120" customFormat="1" x14ac:dyDescent="0.15"/>
    <row r="1195" s="120" customFormat="1" x14ac:dyDescent="0.15"/>
    <row r="1196" s="120" customFormat="1" x14ac:dyDescent="0.15"/>
    <row r="1197" s="120" customFormat="1" x14ac:dyDescent="0.15"/>
    <row r="1198" s="120" customFormat="1" x14ac:dyDescent="0.15"/>
    <row r="1199" s="120" customFormat="1" x14ac:dyDescent="0.15"/>
    <row r="1200" s="120" customFormat="1" x14ac:dyDescent="0.15"/>
    <row r="1201" s="120" customFormat="1" x14ac:dyDescent="0.15"/>
    <row r="1202" s="120" customFormat="1" x14ac:dyDescent="0.15"/>
    <row r="1203" s="120" customFormat="1" x14ac:dyDescent="0.15"/>
    <row r="1204" s="120" customFormat="1" x14ac:dyDescent="0.15"/>
    <row r="1205" s="120" customFormat="1" x14ac:dyDescent="0.15"/>
    <row r="1206" s="120" customFormat="1" x14ac:dyDescent="0.15"/>
    <row r="1207" s="120" customFormat="1" x14ac:dyDescent="0.15"/>
    <row r="1208" s="120" customFormat="1" x14ac:dyDescent="0.15"/>
    <row r="1209" s="120" customFormat="1" x14ac:dyDescent="0.15"/>
    <row r="1210" s="120" customFormat="1" x14ac:dyDescent="0.15"/>
    <row r="1211" s="120" customFormat="1" x14ac:dyDescent="0.15"/>
    <row r="1212" s="120" customFormat="1" x14ac:dyDescent="0.15"/>
    <row r="1213" s="120" customFormat="1" x14ac:dyDescent="0.15"/>
    <row r="1214" s="120" customFormat="1" x14ac:dyDescent="0.15"/>
    <row r="1215" s="120" customFormat="1" x14ac:dyDescent="0.15"/>
    <row r="1216" s="120" customFormat="1" x14ac:dyDescent="0.15"/>
    <row r="1217" s="120" customFormat="1" x14ac:dyDescent="0.15"/>
    <row r="1218" s="120" customFormat="1" x14ac:dyDescent="0.15"/>
    <row r="1219" s="120" customFormat="1" x14ac:dyDescent="0.15"/>
    <row r="1220" s="120" customFormat="1" x14ac:dyDescent="0.15"/>
    <row r="1221" s="120" customFormat="1" x14ac:dyDescent="0.15"/>
    <row r="1222" s="120" customFormat="1" x14ac:dyDescent="0.15"/>
    <row r="1223" s="120" customFormat="1" x14ac:dyDescent="0.15"/>
    <row r="1224" s="120" customFormat="1" x14ac:dyDescent="0.15"/>
    <row r="1225" s="120" customFormat="1" x14ac:dyDescent="0.15"/>
    <row r="1226" s="120" customFormat="1" x14ac:dyDescent="0.15"/>
    <row r="1227" s="120" customFormat="1" x14ac:dyDescent="0.15"/>
    <row r="1228" s="120" customFormat="1" x14ac:dyDescent="0.15"/>
    <row r="1229" s="120" customFormat="1" x14ac:dyDescent="0.15"/>
    <row r="1230" s="120" customFormat="1" x14ac:dyDescent="0.15"/>
    <row r="1231" s="120" customFormat="1" x14ac:dyDescent="0.15"/>
    <row r="1232" s="120" customFormat="1" x14ac:dyDescent="0.15"/>
    <row r="1233" s="120" customFormat="1" x14ac:dyDescent="0.15"/>
    <row r="1234" s="120" customFormat="1" x14ac:dyDescent="0.15"/>
    <row r="1235" s="120" customFormat="1" x14ac:dyDescent="0.15"/>
    <row r="1236" s="120" customFormat="1" x14ac:dyDescent="0.15"/>
    <row r="1237" s="120" customFormat="1" x14ac:dyDescent="0.15"/>
    <row r="1238" s="120" customFormat="1" x14ac:dyDescent="0.15"/>
    <row r="1239" s="120" customFormat="1" x14ac:dyDescent="0.15"/>
    <row r="1240" s="120" customFormat="1" x14ac:dyDescent="0.15"/>
    <row r="1241" s="120" customFormat="1" x14ac:dyDescent="0.15"/>
    <row r="1242" s="120" customFormat="1" x14ac:dyDescent="0.15"/>
    <row r="1243" s="120" customFormat="1" x14ac:dyDescent="0.15"/>
    <row r="1244" s="120" customFormat="1" x14ac:dyDescent="0.15"/>
    <row r="1245" s="120" customFormat="1" x14ac:dyDescent="0.15"/>
    <row r="1246" s="120" customFormat="1" x14ac:dyDescent="0.15"/>
    <row r="1247" s="120" customFormat="1" x14ac:dyDescent="0.15"/>
    <row r="1248" s="120" customFormat="1" x14ac:dyDescent="0.15"/>
    <row r="1249" s="120" customFormat="1" x14ac:dyDescent="0.15"/>
    <row r="1250" s="120" customFormat="1" x14ac:dyDescent="0.15"/>
    <row r="1251" s="120" customFormat="1" x14ac:dyDescent="0.15"/>
    <row r="1252" s="120" customFormat="1" x14ac:dyDescent="0.15"/>
    <row r="1253" s="120" customFormat="1" x14ac:dyDescent="0.15"/>
    <row r="1254" s="120" customFormat="1" x14ac:dyDescent="0.15"/>
    <row r="1255" s="120" customFormat="1" x14ac:dyDescent="0.15"/>
    <row r="1256" s="120" customFormat="1" x14ac:dyDescent="0.15"/>
    <row r="1257" s="120" customFormat="1" x14ac:dyDescent="0.15"/>
    <row r="1258" s="120" customFormat="1" x14ac:dyDescent="0.15"/>
    <row r="1259" s="120" customFormat="1" x14ac:dyDescent="0.15"/>
    <row r="1260" s="120" customFormat="1" x14ac:dyDescent="0.15"/>
    <row r="1261" s="120" customFormat="1" x14ac:dyDescent="0.15"/>
    <row r="1262" s="120" customFormat="1" x14ac:dyDescent="0.15"/>
    <row r="1263" s="120" customFormat="1" x14ac:dyDescent="0.15"/>
    <row r="1264" s="120" customFormat="1" x14ac:dyDescent="0.15"/>
    <row r="1265" s="120" customFormat="1" x14ac:dyDescent="0.15"/>
    <row r="1266" s="120" customFormat="1" x14ac:dyDescent="0.15"/>
    <row r="1267" s="120" customFormat="1" x14ac:dyDescent="0.15"/>
    <row r="1268" s="120" customFormat="1" x14ac:dyDescent="0.15"/>
    <row r="1269" s="120" customFormat="1" x14ac:dyDescent="0.15"/>
    <row r="1270" s="120" customFormat="1" x14ac:dyDescent="0.15"/>
    <row r="1271" s="120" customFormat="1" x14ac:dyDescent="0.15"/>
    <row r="1272" s="120" customFormat="1" x14ac:dyDescent="0.15"/>
    <row r="1273" s="120" customFormat="1" x14ac:dyDescent="0.15"/>
    <row r="1274" s="120" customFormat="1" x14ac:dyDescent="0.15"/>
    <row r="1275" s="120" customFormat="1" x14ac:dyDescent="0.15"/>
    <row r="1276" s="120" customFormat="1" x14ac:dyDescent="0.15"/>
    <row r="1277" s="120" customFormat="1" x14ac:dyDescent="0.15"/>
    <row r="1278" s="120" customFormat="1" x14ac:dyDescent="0.15"/>
    <row r="1279" s="120" customFormat="1" x14ac:dyDescent="0.15"/>
    <row r="1280" s="120" customFormat="1" x14ac:dyDescent="0.15"/>
    <row r="1281" s="120" customFormat="1" x14ac:dyDescent="0.15"/>
    <row r="1282" s="120" customFormat="1" x14ac:dyDescent="0.15"/>
    <row r="1283" s="120" customFormat="1" x14ac:dyDescent="0.15"/>
    <row r="1284" s="120" customFormat="1" x14ac:dyDescent="0.15"/>
    <row r="1285" s="120" customFormat="1" x14ac:dyDescent="0.15"/>
    <row r="1286" s="120" customFormat="1" x14ac:dyDescent="0.15"/>
    <row r="1287" s="120" customFormat="1" x14ac:dyDescent="0.15"/>
    <row r="1288" s="120" customFormat="1" x14ac:dyDescent="0.15"/>
    <row r="1289" s="120" customFormat="1" x14ac:dyDescent="0.15"/>
    <row r="1290" s="120" customFormat="1" x14ac:dyDescent="0.15"/>
    <row r="1291" s="120" customFormat="1" x14ac:dyDescent="0.15"/>
    <row r="1292" s="120" customFormat="1" x14ac:dyDescent="0.15"/>
    <row r="1293" s="120" customFormat="1" x14ac:dyDescent="0.15"/>
    <row r="1294" s="120" customFormat="1" x14ac:dyDescent="0.15"/>
    <row r="1295" s="120" customFormat="1" x14ac:dyDescent="0.15"/>
    <row r="1296" s="120" customFormat="1" x14ac:dyDescent="0.15"/>
    <row r="1297" s="120" customFormat="1" x14ac:dyDescent="0.15"/>
    <row r="1298" s="120" customFormat="1" x14ac:dyDescent="0.15"/>
    <row r="1299" s="120" customFormat="1" x14ac:dyDescent="0.15"/>
    <row r="1300" s="120" customFormat="1" x14ac:dyDescent="0.15"/>
    <row r="1301" s="120" customFormat="1" x14ac:dyDescent="0.15"/>
    <row r="1302" s="120" customFormat="1" x14ac:dyDescent="0.15"/>
    <row r="1303" s="120" customFormat="1" x14ac:dyDescent="0.15"/>
    <row r="1304" s="120" customFormat="1" x14ac:dyDescent="0.15"/>
    <row r="1305" s="120" customFormat="1" x14ac:dyDescent="0.15"/>
    <row r="1306" s="120" customFormat="1" x14ac:dyDescent="0.15"/>
    <row r="1307" s="120" customFormat="1" x14ac:dyDescent="0.15"/>
    <row r="1308" s="120" customFormat="1" x14ac:dyDescent="0.15"/>
    <row r="1309" s="120" customFormat="1" x14ac:dyDescent="0.15"/>
    <row r="1310" s="120" customFormat="1" x14ac:dyDescent="0.15"/>
    <row r="1311" s="120" customFormat="1" x14ac:dyDescent="0.15"/>
    <row r="1312" s="120" customFormat="1" x14ac:dyDescent="0.15"/>
    <row r="1313" s="120" customFormat="1" x14ac:dyDescent="0.15"/>
    <row r="1314" s="120" customFormat="1" x14ac:dyDescent="0.15"/>
    <row r="1315" s="120" customFormat="1" x14ac:dyDescent="0.15"/>
    <row r="1316" s="120" customFormat="1" x14ac:dyDescent="0.15"/>
    <row r="1317" s="120" customFormat="1" x14ac:dyDescent="0.15"/>
    <row r="1318" s="120" customFormat="1" x14ac:dyDescent="0.15"/>
    <row r="1319" s="120" customFormat="1" x14ac:dyDescent="0.15"/>
    <row r="1320" s="120" customFormat="1" x14ac:dyDescent="0.15"/>
    <row r="1321" s="120" customFormat="1" x14ac:dyDescent="0.15"/>
    <row r="1322" s="120" customFormat="1" x14ac:dyDescent="0.15"/>
    <row r="1323" s="120" customFormat="1" x14ac:dyDescent="0.15"/>
    <row r="1324" s="120" customFormat="1" x14ac:dyDescent="0.15"/>
    <row r="1325" s="120" customFormat="1" x14ac:dyDescent="0.15"/>
    <row r="1326" s="120" customFormat="1" x14ac:dyDescent="0.15"/>
    <row r="1327" s="120" customFormat="1" x14ac:dyDescent="0.15"/>
    <row r="1328" s="120" customFormat="1" x14ac:dyDescent="0.15"/>
    <row r="1329" s="120" customFormat="1" x14ac:dyDescent="0.15"/>
    <row r="1330" s="120" customFormat="1" x14ac:dyDescent="0.15"/>
    <row r="1331" s="120" customFormat="1" x14ac:dyDescent="0.15"/>
    <row r="1332" s="120" customFormat="1" x14ac:dyDescent="0.15"/>
    <row r="1333" s="120" customFormat="1" x14ac:dyDescent="0.15"/>
    <row r="1334" s="120" customFormat="1" x14ac:dyDescent="0.15"/>
    <row r="1335" s="120" customFormat="1" x14ac:dyDescent="0.15"/>
    <row r="1336" s="120" customFormat="1" x14ac:dyDescent="0.15"/>
    <row r="1337" s="120" customFormat="1" x14ac:dyDescent="0.15"/>
    <row r="1338" s="120" customFormat="1" x14ac:dyDescent="0.15"/>
    <row r="1339" s="120" customFormat="1" x14ac:dyDescent="0.15"/>
    <row r="1340" s="120" customFormat="1" x14ac:dyDescent="0.15"/>
    <row r="1341" s="120" customFormat="1" x14ac:dyDescent="0.15"/>
    <row r="1342" s="120" customFormat="1" x14ac:dyDescent="0.15"/>
    <row r="1343" s="120" customFormat="1" x14ac:dyDescent="0.15"/>
    <row r="1344" s="120" customFormat="1" x14ac:dyDescent="0.15"/>
    <row r="1345" s="120" customFormat="1" x14ac:dyDescent="0.15"/>
    <row r="1346" s="120" customFormat="1" x14ac:dyDescent="0.15"/>
    <row r="1347" s="120" customFormat="1" x14ac:dyDescent="0.15"/>
    <row r="1348" s="120" customFormat="1" x14ac:dyDescent="0.15"/>
    <row r="1349" s="120" customFormat="1" x14ac:dyDescent="0.15"/>
    <row r="1350" s="120" customFormat="1" x14ac:dyDescent="0.15"/>
    <row r="1351" s="120" customFormat="1" x14ac:dyDescent="0.15"/>
    <row r="1352" s="120" customFormat="1" x14ac:dyDescent="0.15"/>
    <row r="1353" s="120" customFormat="1" x14ac:dyDescent="0.15"/>
    <row r="1354" s="120" customFormat="1" x14ac:dyDescent="0.15"/>
    <row r="1355" s="120" customFormat="1" x14ac:dyDescent="0.15"/>
    <row r="1356" s="120" customFormat="1" x14ac:dyDescent="0.15"/>
    <row r="1357" s="120" customFormat="1" x14ac:dyDescent="0.15"/>
    <row r="1358" s="120" customFormat="1" x14ac:dyDescent="0.15"/>
    <row r="1359" s="120" customFormat="1" x14ac:dyDescent="0.15"/>
    <row r="1360" s="120" customFormat="1" x14ac:dyDescent="0.15"/>
    <row r="1361" s="120" customFormat="1" x14ac:dyDescent="0.15"/>
    <row r="1362" s="120" customFormat="1" x14ac:dyDescent="0.15"/>
    <row r="1363" s="120" customFormat="1" x14ac:dyDescent="0.15"/>
    <row r="1364" s="120" customFormat="1" x14ac:dyDescent="0.15"/>
    <row r="1365" s="120" customFormat="1" x14ac:dyDescent="0.15"/>
    <row r="1366" s="120" customFormat="1" x14ac:dyDescent="0.15"/>
    <row r="1367" s="120" customFormat="1" x14ac:dyDescent="0.15"/>
    <row r="1368" s="120" customFormat="1" x14ac:dyDescent="0.15"/>
    <row r="1369" s="120" customFormat="1" x14ac:dyDescent="0.15"/>
    <row r="1370" s="120" customFormat="1" x14ac:dyDescent="0.15"/>
    <row r="1371" s="120" customFormat="1" x14ac:dyDescent="0.15"/>
    <row r="1372" s="120" customFormat="1" x14ac:dyDescent="0.15"/>
    <row r="1373" s="120" customFormat="1" x14ac:dyDescent="0.15"/>
    <row r="1374" s="120" customFormat="1" x14ac:dyDescent="0.15"/>
    <row r="1375" s="120" customFormat="1" x14ac:dyDescent="0.15"/>
    <row r="1376" s="120" customFormat="1" x14ac:dyDescent="0.15"/>
    <row r="1377" s="120" customFormat="1" x14ac:dyDescent="0.15"/>
    <row r="1378" s="120" customFormat="1" x14ac:dyDescent="0.15"/>
    <row r="1379" s="120" customFormat="1" x14ac:dyDescent="0.15"/>
    <row r="1380" s="120" customFormat="1" x14ac:dyDescent="0.15"/>
    <row r="1381" s="120" customFormat="1" x14ac:dyDescent="0.15"/>
    <row r="1382" s="120" customFormat="1" x14ac:dyDescent="0.15"/>
    <row r="1383" s="120" customFormat="1" x14ac:dyDescent="0.15"/>
    <row r="1384" s="120" customFormat="1" x14ac:dyDescent="0.15"/>
    <row r="1385" s="120" customFormat="1" x14ac:dyDescent="0.15"/>
    <row r="1386" s="120" customFormat="1" x14ac:dyDescent="0.15"/>
    <row r="1387" s="120" customFormat="1" x14ac:dyDescent="0.15"/>
    <row r="1388" s="120" customFormat="1" x14ac:dyDescent="0.15"/>
    <row r="1389" s="120" customFormat="1" x14ac:dyDescent="0.15"/>
    <row r="1390" s="120" customFormat="1" x14ac:dyDescent="0.15"/>
    <row r="1391" s="120" customFormat="1" x14ac:dyDescent="0.15"/>
    <row r="1392" s="120" customFormat="1" x14ac:dyDescent="0.15"/>
    <row r="1393" s="120" customFormat="1" x14ac:dyDescent="0.15"/>
    <row r="1394" s="120" customFormat="1" x14ac:dyDescent="0.15"/>
    <row r="1395" s="120" customFormat="1" x14ac:dyDescent="0.15"/>
    <row r="1396" s="120" customFormat="1" x14ac:dyDescent="0.15"/>
    <row r="1397" s="120" customFormat="1" x14ac:dyDescent="0.15"/>
    <row r="1398" s="120" customFormat="1" x14ac:dyDescent="0.15"/>
    <row r="1399" s="120" customFormat="1" x14ac:dyDescent="0.15"/>
    <row r="1400" s="120" customFormat="1" x14ac:dyDescent="0.15"/>
    <row r="1401" s="120" customFormat="1" x14ac:dyDescent="0.15"/>
    <row r="1402" s="120" customFormat="1" x14ac:dyDescent="0.15"/>
    <row r="1403" s="120" customFormat="1" x14ac:dyDescent="0.15"/>
    <row r="1404" s="120" customFormat="1" x14ac:dyDescent="0.15"/>
    <row r="1405" s="120" customFormat="1" x14ac:dyDescent="0.15"/>
    <row r="1406" s="120" customFormat="1" x14ac:dyDescent="0.15"/>
    <row r="1407" s="120" customFormat="1" x14ac:dyDescent="0.15"/>
    <row r="1408" s="120" customFormat="1" x14ac:dyDescent="0.15"/>
    <row r="1409" s="120" customFormat="1" x14ac:dyDescent="0.15"/>
    <row r="1410" s="120" customFormat="1" x14ac:dyDescent="0.15"/>
    <row r="1411" s="120" customFormat="1" x14ac:dyDescent="0.15"/>
    <row r="1412" s="120" customFormat="1" x14ac:dyDescent="0.15"/>
    <row r="1413" s="120" customFormat="1" x14ac:dyDescent="0.15"/>
    <row r="1414" s="120" customFormat="1" x14ac:dyDescent="0.15"/>
    <row r="1415" s="120" customFormat="1" x14ac:dyDescent="0.15"/>
    <row r="1416" s="120" customFormat="1" x14ac:dyDescent="0.15"/>
    <row r="1417" s="120" customFormat="1" x14ac:dyDescent="0.15"/>
    <row r="1418" s="120" customFormat="1" x14ac:dyDescent="0.15"/>
    <row r="1419" s="120" customFormat="1" x14ac:dyDescent="0.15"/>
    <row r="1420" s="120" customFormat="1" x14ac:dyDescent="0.15"/>
    <row r="1421" s="120" customFormat="1" x14ac:dyDescent="0.15"/>
    <row r="1422" s="120" customFormat="1" x14ac:dyDescent="0.15"/>
    <row r="1423" s="120" customFormat="1" x14ac:dyDescent="0.15"/>
    <row r="1424" s="120" customFormat="1" x14ac:dyDescent="0.15"/>
    <row r="1425" s="120" customFormat="1" x14ac:dyDescent="0.15"/>
    <row r="1426" s="120" customFormat="1" x14ac:dyDescent="0.15"/>
    <row r="1427" s="120" customFormat="1" x14ac:dyDescent="0.15"/>
    <row r="1428" s="120" customFormat="1" x14ac:dyDescent="0.15"/>
    <row r="1429" s="120" customFormat="1" x14ac:dyDescent="0.15"/>
    <row r="1430" s="120" customFormat="1" x14ac:dyDescent="0.15"/>
    <row r="1431" s="120" customFormat="1" x14ac:dyDescent="0.15"/>
    <row r="1432" s="120" customFormat="1" x14ac:dyDescent="0.15"/>
    <row r="1433" s="120" customFormat="1" x14ac:dyDescent="0.15"/>
    <row r="1434" s="120" customFormat="1" x14ac:dyDescent="0.15"/>
    <row r="1435" s="120" customFormat="1" x14ac:dyDescent="0.15"/>
    <row r="1436" s="120" customFormat="1" x14ac:dyDescent="0.15"/>
    <row r="1437" s="120" customFormat="1" x14ac:dyDescent="0.15"/>
    <row r="1438" s="120" customFormat="1" x14ac:dyDescent="0.15"/>
    <row r="1439" s="120" customFormat="1" x14ac:dyDescent="0.15"/>
    <row r="1440" s="120" customFormat="1" x14ac:dyDescent="0.15"/>
    <row r="1441" s="120" customFormat="1" x14ac:dyDescent="0.15"/>
    <row r="1442" s="120" customFormat="1" x14ac:dyDescent="0.15"/>
    <row r="1443" s="120" customFormat="1" x14ac:dyDescent="0.15"/>
    <row r="1444" s="120" customFormat="1" x14ac:dyDescent="0.15"/>
    <row r="1445" s="120" customFormat="1" x14ac:dyDescent="0.15"/>
    <row r="1446" s="120" customFormat="1" x14ac:dyDescent="0.15"/>
    <row r="1447" s="120" customFormat="1" x14ac:dyDescent="0.15"/>
    <row r="1448" s="120" customFormat="1" x14ac:dyDescent="0.15"/>
    <row r="1449" s="120" customFormat="1" x14ac:dyDescent="0.15"/>
    <row r="1450" s="120" customFormat="1" x14ac:dyDescent="0.15"/>
    <row r="1451" s="120" customFormat="1" x14ac:dyDescent="0.15"/>
    <row r="1452" s="120" customFormat="1" x14ac:dyDescent="0.15"/>
    <row r="1453" s="120" customFormat="1" x14ac:dyDescent="0.15"/>
    <row r="1454" s="120" customFormat="1" x14ac:dyDescent="0.15"/>
    <row r="1455" s="120" customFormat="1" x14ac:dyDescent="0.15"/>
    <row r="1456" s="120" customFormat="1" x14ac:dyDescent="0.15"/>
    <row r="1457" s="120" customFormat="1" x14ac:dyDescent="0.15"/>
    <row r="1458" s="120" customFormat="1" x14ac:dyDescent="0.15"/>
    <row r="1459" s="120" customFormat="1" x14ac:dyDescent="0.15"/>
    <row r="1460" s="120" customFormat="1" x14ac:dyDescent="0.15"/>
    <row r="1461" s="120" customFormat="1" x14ac:dyDescent="0.15"/>
    <row r="1462" s="120" customFormat="1" x14ac:dyDescent="0.15"/>
    <row r="1463" s="120" customFormat="1" x14ac:dyDescent="0.15"/>
    <row r="1464" s="120" customFormat="1" x14ac:dyDescent="0.15"/>
    <row r="1465" s="120" customFormat="1" x14ac:dyDescent="0.15"/>
    <row r="1466" s="120" customFormat="1" x14ac:dyDescent="0.15"/>
    <row r="1467" s="120" customFormat="1" x14ac:dyDescent="0.15"/>
    <row r="1468" s="120" customFormat="1" x14ac:dyDescent="0.15"/>
    <row r="1469" s="120" customFormat="1" x14ac:dyDescent="0.15"/>
    <row r="1470" s="120" customFormat="1" x14ac:dyDescent="0.15"/>
    <row r="1471" s="120" customFormat="1" x14ac:dyDescent="0.15"/>
    <row r="1472" s="120" customFormat="1" x14ac:dyDescent="0.15"/>
    <row r="1473" s="120" customFormat="1" x14ac:dyDescent="0.15"/>
    <row r="1474" s="120" customFormat="1" x14ac:dyDescent="0.15"/>
    <row r="1475" s="120" customFormat="1" x14ac:dyDescent="0.15"/>
    <row r="1476" s="120" customFormat="1" x14ac:dyDescent="0.15"/>
    <row r="1477" s="120" customFormat="1" x14ac:dyDescent="0.15"/>
    <row r="1478" s="120" customFormat="1" x14ac:dyDescent="0.15"/>
    <row r="1479" s="120" customFormat="1" x14ac:dyDescent="0.15"/>
    <row r="1480" s="120" customFormat="1" x14ac:dyDescent="0.15"/>
    <row r="1481" s="120" customFormat="1" x14ac:dyDescent="0.15"/>
    <row r="1482" s="120" customFormat="1" x14ac:dyDescent="0.15"/>
    <row r="1483" s="120" customFormat="1" x14ac:dyDescent="0.15"/>
    <row r="1484" s="120" customFormat="1" x14ac:dyDescent="0.15"/>
    <row r="1485" s="120" customFormat="1" x14ac:dyDescent="0.15"/>
    <row r="1486" s="120" customFormat="1" x14ac:dyDescent="0.15"/>
    <row r="1487" s="120" customFormat="1" x14ac:dyDescent="0.15"/>
    <row r="1488" s="120" customFormat="1" x14ac:dyDescent="0.15"/>
    <row r="1489" s="120" customFormat="1" x14ac:dyDescent="0.15"/>
    <row r="1490" s="120" customFormat="1" x14ac:dyDescent="0.15"/>
    <row r="1491" s="120" customFormat="1" x14ac:dyDescent="0.15"/>
    <row r="1492" s="120" customFormat="1" x14ac:dyDescent="0.15"/>
    <row r="1493" s="120" customFormat="1" x14ac:dyDescent="0.15"/>
    <row r="1494" s="120" customFormat="1" x14ac:dyDescent="0.15"/>
    <row r="1495" s="120" customFormat="1" x14ac:dyDescent="0.15"/>
    <row r="1496" s="120" customFormat="1" x14ac:dyDescent="0.15"/>
    <row r="1497" s="120" customFormat="1" x14ac:dyDescent="0.15"/>
    <row r="1498" s="120" customFormat="1" x14ac:dyDescent="0.15"/>
    <row r="1499" s="120" customFormat="1" x14ac:dyDescent="0.15"/>
    <row r="1500" s="120" customFormat="1" x14ac:dyDescent="0.15"/>
    <row r="1501" s="120" customFormat="1" x14ac:dyDescent="0.15"/>
    <row r="1502" s="120" customFormat="1" x14ac:dyDescent="0.15"/>
    <row r="1503" s="120" customFormat="1" x14ac:dyDescent="0.15"/>
    <row r="1504" s="120" customFormat="1" x14ac:dyDescent="0.15"/>
    <row r="1505" s="120" customFormat="1" x14ac:dyDescent="0.15"/>
    <row r="1506" s="120" customFormat="1" x14ac:dyDescent="0.15"/>
    <row r="1507" s="120" customFormat="1" x14ac:dyDescent="0.15"/>
    <row r="1508" s="120" customFormat="1" x14ac:dyDescent="0.15"/>
    <row r="1509" s="120" customFormat="1" x14ac:dyDescent="0.15"/>
    <row r="1510" s="120" customFormat="1" x14ac:dyDescent="0.15"/>
    <row r="1511" s="120" customFormat="1" x14ac:dyDescent="0.15"/>
    <row r="1512" s="120" customFormat="1" x14ac:dyDescent="0.15"/>
    <row r="1513" s="120" customFormat="1" x14ac:dyDescent="0.15"/>
    <row r="1514" s="120" customFormat="1" x14ac:dyDescent="0.15"/>
    <row r="1515" s="120" customFormat="1" x14ac:dyDescent="0.15"/>
    <row r="1516" s="120" customFormat="1" x14ac:dyDescent="0.15"/>
    <row r="1517" s="120" customFormat="1" x14ac:dyDescent="0.15"/>
    <row r="1518" s="120" customFormat="1" x14ac:dyDescent="0.15"/>
    <row r="1519" s="120" customFormat="1" x14ac:dyDescent="0.15"/>
    <row r="1520" s="120" customFormat="1" x14ac:dyDescent="0.15"/>
    <row r="1521" s="120" customFormat="1" x14ac:dyDescent="0.15"/>
    <row r="1522" s="120" customFormat="1" x14ac:dyDescent="0.15"/>
    <row r="1523" s="120" customFormat="1" x14ac:dyDescent="0.15"/>
    <row r="1524" s="120" customFormat="1" x14ac:dyDescent="0.15"/>
    <row r="1525" s="120" customFormat="1" x14ac:dyDescent="0.15"/>
    <row r="1526" s="120" customFormat="1" x14ac:dyDescent="0.15"/>
    <row r="1527" s="120" customFormat="1" x14ac:dyDescent="0.15"/>
    <row r="1528" s="120" customFormat="1" x14ac:dyDescent="0.15"/>
    <row r="1529" s="120" customFormat="1" x14ac:dyDescent="0.15"/>
    <row r="1530" s="120" customFormat="1" x14ac:dyDescent="0.15"/>
    <row r="1531" s="120" customFormat="1" x14ac:dyDescent="0.15"/>
    <row r="1532" s="120" customFormat="1" x14ac:dyDescent="0.15"/>
    <row r="1533" s="120" customFormat="1" x14ac:dyDescent="0.15"/>
    <row r="1534" s="120" customFormat="1" x14ac:dyDescent="0.15"/>
    <row r="1535" s="120" customFormat="1" x14ac:dyDescent="0.15"/>
    <row r="1536" s="120" customFormat="1" x14ac:dyDescent="0.15"/>
    <row r="1537" s="120" customFormat="1" x14ac:dyDescent="0.15"/>
    <row r="1538" s="120" customFormat="1" x14ac:dyDescent="0.15"/>
    <row r="1539" s="120" customFormat="1" x14ac:dyDescent="0.15"/>
    <row r="1540" s="120" customFormat="1" x14ac:dyDescent="0.15"/>
    <row r="1541" s="120" customFormat="1" x14ac:dyDescent="0.15"/>
    <row r="1542" s="120" customFormat="1" x14ac:dyDescent="0.15"/>
    <row r="1543" s="120" customFormat="1" x14ac:dyDescent="0.15"/>
    <row r="1544" s="120" customFormat="1" x14ac:dyDescent="0.15"/>
    <row r="1545" s="120" customFormat="1" x14ac:dyDescent="0.15"/>
    <row r="1546" s="120" customFormat="1" x14ac:dyDescent="0.15"/>
    <row r="1547" s="120" customFormat="1" x14ac:dyDescent="0.15"/>
    <row r="1548" s="120" customFormat="1" x14ac:dyDescent="0.15"/>
    <row r="1549" s="120" customFormat="1" x14ac:dyDescent="0.15"/>
    <row r="1550" s="120" customFormat="1" x14ac:dyDescent="0.15"/>
    <row r="1551" s="120" customFormat="1" x14ac:dyDescent="0.15"/>
    <row r="1552" s="120" customFormat="1" x14ac:dyDescent="0.15"/>
    <row r="1553" s="120" customFormat="1" x14ac:dyDescent="0.15"/>
    <row r="1554" s="120" customFormat="1" x14ac:dyDescent="0.15"/>
    <row r="1555" s="120" customFormat="1" x14ac:dyDescent="0.15"/>
    <row r="1556" s="120" customFormat="1" x14ac:dyDescent="0.15"/>
    <row r="1557" s="120" customFormat="1" x14ac:dyDescent="0.15"/>
    <row r="1558" s="120" customFormat="1" x14ac:dyDescent="0.15"/>
    <row r="1559" s="120" customFormat="1" x14ac:dyDescent="0.15"/>
    <row r="1560" s="120" customFormat="1" x14ac:dyDescent="0.15"/>
    <row r="1561" s="120" customFormat="1" x14ac:dyDescent="0.15"/>
    <row r="1562" s="120" customFormat="1" x14ac:dyDescent="0.15"/>
    <row r="1563" s="120" customFormat="1" x14ac:dyDescent="0.15"/>
    <row r="1564" s="120" customFormat="1" x14ac:dyDescent="0.15"/>
    <row r="1565" s="120" customFormat="1" x14ac:dyDescent="0.15"/>
    <row r="1566" s="120" customFormat="1" x14ac:dyDescent="0.15"/>
    <row r="1567" s="120" customFormat="1" x14ac:dyDescent="0.15"/>
    <row r="1568" s="120" customFormat="1" x14ac:dyDescent="0.15"/>
    <row r="1569" s="120" customFormat="1" x14ac:dyDescent="0.15"/>
    <row r="1570" s="120" customFormat="1" x14ac:dyDescent="0.15"/>
    <row r="1571" s="120" customFormat="1" x14ac:dyDescent="0.15"/>
    <row r="1572" s="120" customFormat="1" x14ac:dyDescent="0.15"/>
    <row r="1573" s="120" customFormat="1" x14ac:dyDescent="0.15"/>
    <row r="1574" s="120" customFormat="1" x14ac:dyDescent="0.15"/>
    <row r="1575" s="120" customFormat="1" x14ac:dyDescent="0.15"/>
    <row r="1576" s="120" customFormat="1" x14ac:dyDescent="0.15"/>
    <row r="1577" s="120" customFormat="1" x14ac:dyDescent="0.15"/>
    <row r="1578" s="120" customFormat="1" x14ac:dyDescent="0.15"/>
    <row r="1579" s="120" customFormat="1" x14ac:dyDescent="0.15"/>
    <row r="1580" s="120" customFormat="1" x14ac:dyDescent="0.15"/>
    <row r="1581" s="120" customFormat="1" x14ac:dyDescent="0.15"/>
    <row r="1582" s="120" customFormat="1" x14ac:dyDescent="0.15"/>
    <row r="1583" s="120" customFormat="1" x14ac:dyDescent="0.15"/>
    <row r="1584" s="120" customFormat="1" x14ac:dyDescent="0.15"/>
    <row r="1585" s="120" customFormat="1" x14ac:dyDescent="0.15"/>
    <row r="1586" s="120" customFormat="1" x14ac:dyDescent="0.15"/>
    <row r="1587" s="120" customFormat="1" x14ac:dyDescent="0.15"/>
    <row r="1588" s="120" customFormat="1" x14ac:dyDescent="0.15"/>
    <row r="1589" s="120" customFormat="1" x14ac:dyDescent="0.15"/>
    <row r="1590" s="120" customFormat="1" x14ac:dyDescent="0.15"/>
    <row r="1591" s="120" customFormat="1" x14ac:dyDescent="0.15"/>
    <row r="1592" s="120" customFormat="1" x14ac:dyDescent="0.15"/>
    <row r="1593" s="120" customFormat="1" x14ac:dyDescent="0.15"/>
    <row r="1594" s="120" customFormat="1" x14ac:dyDescent="0.15"/>
    <row r="1595" s="120" customFormat="1" x14ac:dyDescent="0.15"/>
    <row r="1596" s="120" customFormat="1" x14ac:dyDescent="0.15"/>
    <row r="1597" s="120" customFormat="1" x14ac:dyDescent="0.15"/>
    <row r="1598" s="120" customFormat="1" x14ac:dyDescent="0.15"/>
    <row r="1599" s="120" customFormat="1" x14ac:dyDescent="0.15"/>
    <row r="1600" s="120" customFormat="1" x14ac:dyDescent="0.15"/>
    <row r="1601" s="120" customFormat="1" x14ac:dyDescent="0.15"/>
    <row r="1602" s="120" customFormat="1" x14ac:dyDescent="0.15"/>
    <row r="1603" s="120" customFormat="1" x14ac:dyDescent="0.15"/>
    <row r="1604" s="120" customFormat="1" x14ac:dyDescent="0.15"/>
    <row r="1605" s="120" customFormat="1" x14ac:dyDescent="0.15"/>
    <row r="1606" s="120" customFormat="1" x14ac:dyDescent="0.15"/>
    <row r="1607" s="120" customFormat="1" x14ac:dyDescent="0.15"/>
    <row r="1608" s="120" customFormat="1" x14ac:dyDescent="0.15"/>
    <row r="1609" s="120" customFormat="1" x14ac:dyDescent="0.15"/>
    <row r="1610" s="120" customFormat="1" x14ac:dyDescent="0.15"/>
    <row r="1611" s="120" customFormat="1" x14ac:dyDescent="0.15"/>
    <row r="1612" s="120" customFormat="1" x14ac:dyDescent="0.15"/>
    <row r="1613" s="120" customFormat="1" x14ac:dyDescent="0.15"/>
    <row r="1614" s="120" customFormat="1" x14ac:dyDescent="0.15"/>
    <row r="1615" s="120" customFormat="1" x14ac:dyDescent="0.15"/>
    <row r="1616" s="120" customFormat="1" x14ac:dyDescent="0.15"/>
    <row r="1617" s="120" customFormat="1" x14ac:dyDescent="0.15"/>
    <row r="1618" s="120" customFormat="1" x14ac:dyDescent="0.15"/>
    <row r="1619" s="120" customFormat="1" x14ac:dyDescent="0.15"/>
    <row r="1620" s="120" customFormat="1" x14ac:dyDescent="0.15"/>
    <row r="1621" s="120" customFormat="1" x14ac:dyDescent="0.15"/>
    <row r="1622" s="120" customFormat="1" x14ac:dyDescent="0.15"/>
    <row r="1623" s="120" customFormat="1" x14ac:dyDescent="0.15"/>
    <row r="1624" s="120" customFormat="1" x14ac:dyDescent="0.15"/>
    <row r="1625" s="120" customFormat="1" x14ac:dyDescent="0.15"/>
    <row r="1626" s="120" customFormat="1" x14ac:dyDescent="0.15"/>
    <row r="1627" s="120" customFormat="1" x14ac:dyDescent="0.15"/>
    <row r="1628" s="120" customFormat="1" x14ac:dyDescent="0.15"/>
    <row r="1629" s="120" customFormat="1" x14ac:dyDescent="0.15"/>
    <row r="1630" s="120" customFormat="1" x14ac:dyDescent="0.15"/>
    <row r="1631" s="120" customFormat="1" x14ac:dyDescent="0.15"/>
    <row r="1632" s="120" customFormat="1" x14ac:dyDescent="0.15"/>
    <row r="1633" s="120" customFormat="1" x14ac:dyDescent="0.15"/>
    <row r="1634" s="120" customFormat="1" x14ac:dyDescent="0.15"/>
    <row r="1635" s="120" customFormat="1" x14ac:dyDescent="0.15"/>
    <row r="1636" s="120" customFormat="1" x14ac:dyDescent="0.15"/>
    <row r="1637" s="120" customFormat="1" x14ac:dyDescent="0.15"/>
    <row r="1638" s="120" customFormat="1" x14ac:dyDescent="0.15"/>
    <row r="1639" s="120" customFormat="1" x14ac:dyDescent="0.15"/>
    <row r="1640" s="120" customFormat="1" x14ac:dyDescent="0.15"/>
    <row r="1641" s="120" customFormat="1" x14ac:dyDescent="0.15"/>
    <row r="1642" s="120" customFormat="1" x14ac:dyDescent="0.15"/>
    <row r="1643" s="120" customFormat="1" x14ac:dyDescent="0.15"/>
    <row r="1644" s="120" customFormat="1" x14ac:dyDescent="0.15"/>
    <row r="1645" s="120" customFormat="1" x14ac:dyDescent="0.15"/>
    <row r="1646" s="120" customFormat="1" x14ac:dyDescent="0.15"/>
    <row r="1647" s="120" customFormat="1" x14ac:dyDescent="0.15"/>
    <row r="1648" s="120" customFormat="1" x14ac:dyDescent="0.15"/>
    <row r="1649" s="120" customFormat="1" x14ac:dyDescent="0.15"/>
    <row r="1650" s="120" customFormat="1" x14ac:dyDescent="0.15"/>
    <row r="1651" s="120" customFormat="1" x14ac:dyDescent="0.15"/>
    <row r="1652" s="120" customFormat="1" x14ac:dyDescent="0.15"/>
    <row r="1653" s="120" customFormat="1" x14ac:dyDescent="0.15"/>
    <row r="1654" s="120" customFormat="1" x14ac:dyDescent="0.15"/>
    <row r="1655" s="120" customFormat="1" x14ac:dyDescent="0.15"/>
    <row r="1656" s="120" customFormat="1" x14ac:dyDescent="0.15"/>
    <row r="1657" s="120" customFormat="1" x14ac:dyDescent="0.15"/>
    <row r="1658" s="120" customFormat="1" x14ac:dyDescent="0.15"/>
    <row r="1659" s="120" customFormat="1" x14ac:dyDescent="0.15"/>
    <row r="1660" s="120" customFormat="1" x14ac:dyDescent="0.15"/>
    <row r="1661" s="120" customFormat="1" x14ac:dyDescent="0.15"/>
    <row r="1662" s="120" customFormat="1" x14ac:dyDescent="0.15"/>
    <row r="1663" s="120" customFormat="1" x14ac:dyDescent="0.15"/>
    <row r="1664" s="120" customFormat="1" x14ac:dyDescent="0.15"/>
    <row r="1665" s="120" customFormat="1" x14ac:dyDescent="0.15"/>
    <row r="1666" s="120" customFormat="1" x14ac:dyDescent="0.15"/>
    <row r="1667" s="120" customFormat="1" x14ac:dyDescent="0.15"/>
    <row r="1668" s="120" customFormat="1" x14ac:dyDescent="0.15"/>
    <row r="1669" s="120" customFormat="1" x14ac:dyDescent="0.15"/>
    <row r="1670" s="120" customFormat="1" x14ac:dyDescent="0.15"/>
    <row r="1671" s="120" customFormat="1" x14ac:dyDescent="0.15"/>
    <row r="1672" s="120" customFormat="1" x14ac:dyDescent="0.15"/>
    <row r="1673" s="120" customFormat="1" x14ac:dyDescent="0.15"/>
    <row r="1674" s="120" customFormat="1" x14ac:dyDescent="0.15"/>
    <row r="1675" s="120" customFormat="1" x14ac:dyDescent="0.15"/>
    <row r="1676" s="120" customFormat="1" x14ac:dyDescent="0.15"/>
    <row r="1677" s="120" customFormat="1" x14ac:dyDescent="0.15"/>
    <row r="1678" s="120" customFormat="1" x14ac:dyDescent="0.15"/>
    <row r="1679" s="120" customFormat="1" x14ac:dyDescent="0.15"/>
    <row r="1680" s="120" customFormat="1" x14ac:dyDescent="0.15"/>
    <row r="1681" s="120" customFormat="1" x14ac:dyDescent="0.15"/>
    <row r="1682" s="120" customFormat="1" x14ac:dyDescent="0.15"/>
    <row r="1683" s="120" customFormat="1" x14ac:dyDescent="0.15"/>
    <row r="1684" s="120" customFormat="1" x14ac:dyDescent="0.15"/>
    <row r="1685" s="120" customFormat="1" x14ac:dyDescent="0.15"/>
    <row r="1686" s="120" customFormat="1" x14ac:dyDescent="0.15"/>
    <row r="1687" s="120" customFormat="1" x14ac:dyDescent="0.15"/>
    <row r="1688" s="120" customFormat="1" x14ac:dyDescent="0.15"/>
    <row r="1689" s="120" customFormat="1" x14ac:dyDescent="0.15"/>
    <row r="1690" s="120" customFormat="1" x14ac:dyDescent="0.15"/>
    <row r="1691" s="120" customFormat="1" x14ac:dyDescent="0.15"/>
    <row r="1692" s="120" customFormat="1" x14ac:dyDescent="0.15"/>
    <row r="1693" s="120" customFormat="1" x14ac:dyDescent="0.15"/>
    <row r="1694" s="120" customFormat="1" x14ac:dyDescent="0.15"/>
    <row r="1695" s="120" customFormat="1" x14ac:dyDescent="0.15"/>
    <row r="1696" s="120" customFormat="1" x14ac:dyDescent="0.15"/>
    <row r="1697" s="120" customFormat="1" x14ac:dyDescent="0.15"/>
    <row r="1698" s="120" customFormat="1" x14ac:dyDescent="0.15"/>
    <row r="1699" s="120" customFormat="1" x14ac:dyDescent="0.15"/>
    <row r="1700" s="120" customFormat="1" x14ac:dyDescent="0.15"/>
    <row r="1701" s="120" customFormat="1" x14ac:dyDescent="0.15"/>
    <row r="1702" s="120" customFormat="1" x14ac:dyDescent="0.15"/>
    <row r="1703" s="120" customFormat="1" x14ac:dyDescent="0.15"/>
    <row r="1704" s="120" customFormat="1" x14ac:dyDescent="0.15"/>
    <row r="1705" s="120" customFormat="1" x14ac:dyDescent="0.15"/>
    <row r="1706" s="120" customFormat="1" x14ac:dyDescent="0.15"/>
    <row r="1707" s="120" customFormat="1" x14ac:dyDescent="0.15"/>
    <row r="1708" s="120" customFormat="1" x14ac:dyDescent="0.15"/>
    <row r="1709" s="120" customFormat="1" x14ac:dyDescent="0.15"/>
    <row r="1710" s="120" customFormat="1" x14ac:dyDescent="0.15"/>
    <row r="1711" s="120" customFormat="1" x14ac:dyDescent="0.15"/>
    <row r="1712" s="120" customFormat="1" x14ac:dyDescent="0.15"/>
    <row r="1713" s="120" customFormat="1" x14ac:dyDescent="0.15"/>
    <row r="1714" s="120" customFormat="1" x14ac:dyDescent="0.15"/>
    <row r="1715" s="120" customFormat="1" x14ac:dyDescent="0.15"/>
    <row r="1716" s="120" customFormat="1" x14ac:dyDescent="0.15"/>
    <row r="1717" s="120" customFormat="1" x14ac:dyDescent="0.15"/>
    <row r="1718" s="120" customFormat="1" x14ac:dyDescent="0.15"/>
    <row r="1719" s="120" customFormat="1" x14ac:dyDescent="0.15"/>
    <row r="1720" s="120" customFormat="1" x14ac:dyDescent="0.15"/>
    <row r="1721" s="120" customFormat="1" x14ac:dyDescent="0.15"/>
    <row r="1722" s="120" customFormat="1" x14ac:dyDescent="0.15"/>
    <row r="1723" s="120" customFormat="1" x14ac:dyDescent="0.15"/>
    <row r="1724" s="120" customFormat="1" x14ac:dyDescent="0.15"/>
    <row r="1725" s="120" customFormat="1" x14ac:dyDescent="0.15"/>
    <row r="1726" s="120" customFormat="1" x14ac:dyDescent="0.15"/>
    <row r="1727" s="120" customFormat="1" x14ac:dyDescent="0.15"/>
    <row r="1728" s="120" customFormat="1" x14ac:dyDescent="0.15"/>
    <row r="1729" s="120" customFormat="1" x14ac:dyDescent="0.15"/>
    <row r="1730" s="120" customFormat="1" x14ac:dyDescent="0.15"/>
    <row r="1731" s="120" customFormat="1" x14ac:dyDescent="0.15"/>
    <row r="1732" s="120" customFormat="1" x14ac:dyDescent="0.15"/>
    <row r="1733" s="120" customFormat="1" x14ac:dyDescent="0.15"/>
    <row r="1734" s="120" customFormat="1" x14ac:dyDescent="0.15"/>
    <row r="1735" s="120" customFormat="1" x14ac:dyDescent="0.15"/>
    <row r="1736" s="120" customFormat="1" x14ac:dyDescent="0.15"/>
    <row r="1737" s="120" customFormat="1" x14ac:dyDescent="0.15"/>
    <row r="1738" s="120" customFormat="1" x14ac:dyDescent="0.15"/>
    <row r="1739" s="120" customFormat="1" x14ac:dyDescent="0.15"/>
    <row r="1740" s="120" customFormat="1" x14ac:dyDescent="0.15"/>
    <row r="1741" s="120" customFormat="1" x14ac:dyDescent="0.15"/>
    <row r="1742" s="120" customFormat="1" x14ac:dyDescent="0.15"/>
    <row r="1743" s="120" customFormat="1" x14ac:dyDescent="0.15"/>
    <row r="1744" s="120" customFormat="1" x14ac:dyDescent="0.15"/>
    <row r="1745" s="120" customFormat="1" x14ac:dyDescent="0.15"/>
    <row r="1746" s="120" customFormat="1" x14ac:dyDescent="0.15"/>
    <row r="1747" s="120" customFormat="1" x14ac:dyDescent="0.15"/>
    <row r="1748" s="120" customFormat="1" x14ac:dyDescent="0.15"/>
    <row r="1749" s="120" customFormat="1" x14ac:dyDescent="0.15"/>
    <row r="1750" s="120" customFormat="1" x14ac:dyDescent="0.15"/>
    <row r="1751" s="120" customFormat="1" x14ac:dyDescent="0.15"/>
    <row r="1752" s="120" customFormat="1" x14ac:dyDescent="0.15"/>
    <row r="1753" s="120" customFormat="1" x14ac:dyDescent="0.15"/>
    <row r="1754" s="120" customFormat="1" x14ac:dyDescent="0.15"/>
    <row r="1755" s="120" customFormat="1" x14ac:dyDescent="0.15"/>
    <row r="1756" s="120" customFormat="1" x14ac:dyDescent="0.15"/>
    <row r="1757" s="120" customFormat="1" x14ac:dyDescent="0.15"/>
    <row r="1758" s="120" customFormat="1" x14ac:dyDescent="0.15"/>
    <row r="1759" s="120" customFormat="1" x14ac:dyDescent="0.15"/>
    <row r="1760" s="120" customFormat="1" x14ac:dyDescent="0.15"/>
    <row r="1761" s="120" customFormat="1" x14ac:dyDescent="0.15"/>
    <row r="1762" s="120" customFormat="1" x14ac:dyDescent="0.15"/>
    <row r="1763" s="120" customFormat="1" x14ac:dyDescent="0.15"/>
    <row r="1764" s="120" customFormat="1" x14ac:dyDescent="0.15"/>
    <row r="1765" s="120" customFormat="1" x14ac:dyDescent="0.15"/>
    <row r="1766" s="120" customFormat="1" x14ac:dyDescent="0.15"/>
    <row r="1767" s="120" customFormat="1" x14ac:dyDescent="0.15"/>
    <row r="1768" s="120" customFormat="1" x14ac:dyDescent="0.15"/>
    <row r="1769" s="120" customFormat="1" x14ac:dyDescent="0.15"/>
    <row r="1770" s="120" customFormat="1" x14ac:dyDescent="0.15"/>
    <row r="1771" s="120" customFormat="1" x14ac:dyDescent="0.15"/>
    <row r="1772" s="120" customFormat="1" x14ac:dyDescent="0.15"/>
    <row r="1773" s="120" customFormat="1" x14ac:dyDescent="0.15"/>
    <row r="1774" s="120" customFormat="1" x14ac:dyDescent="0.15"/>
    <row r="1775" s="120" customFormat="1" x14ac:dyDescent="0.15"/>
    <row r="1776" s="120" customFormat="1" x14ac:dyDescent="0.15"/>
    <row r="1777" s="120" customFormat="1" x14ac:dyDescent="0.15"/>
    <row r="1778" s="120" customFormat="1" x14ac:dyDescent="0.15"/>
    <row r="1779" s="120" customFormat="1" x14ac:dyDescent="0.15"/>
    <row r="1780" s="120" customFormat="1" x14ac:dyDescent="0.15"/>
    <row r="1781" s="120" customFormat="1" x14ac:dyDescent="0.15"/>
    <row r="1782" s="120" customFormat="1" x14ac:dyDescent="0.15"/>
    <row r="1783" s="120" customFormat="1" x14ac:dyDescent="0.15"/>
    <row r="1784" s="120" customFormat="1" x14ac:dyDescent="0.15"/>
    <row r="1785" s="120" customFormat="1" x14ac:dyDescent="0.15"/>
    <row r="1786" s="120" customFormat="1" x14ac:dyDescent="0.15"/>
    <row r="1787" s="120" customFormat="1" x14ac:dyDescent="0.15"/>
    <row r="1788" s="120" customFormat="1" x14ac:dyDescent="0.15"/>
    <row r="1789" s="120" customFormat="1" x14ac:dyDescent="0.15"/>
    <row r="1790" s="120" customFormat="1" x14ac:dyDescent="0.15"/>
    <row r="1791" s="120" customFormat="1" x14ac:dyDescent="0.15"/>
    <row r="1792" s="120" customFormat="1" x14ac:dyDescent="0.15"/>
    <row r="1793" s="120" customFormat="1" x14ac:dyDescent="0.15"/>
    <row r="1794" s="120" customFormat="1" x14ac:dyDescent="0.15"/>
    <row r="1795" s="120" customFormat="1" x14ac:dyDescent="0.15"/>
    <row r="1796" s="120" customFormat="1" x14ac:dyDescent="0.15"/>
    <row r="1797" s="120" customFormat="1" x14ac:dyDescent="0.15"/>
    <row r="1798" s="120" customFormat="1" x14ac:dyDescent="0.15"/>
    <row r="1799" s="120" customFormat="1" x14ac:dyDescent="0.15"/>
    <row r="1800" s="120" customFormat="1" x14ac:dyDescent="0.15"/>
    <row r="1801" s="120" customFormat="1" x14ac:dyDescent="0.15"/>
    <row r="1802" s="120" customFormat="1" x14ac:dyDescent="0.15"/>
    <row r="1803" s="120" customFormat="1" x14ac:dyDescent="0.15"/>
    <row r="1804" s="120" customFormat="1" x14ac:dyDescent="0.15"/>
    <row r="1805" s="120" customFormat="1" x14ac:dyDescent="0.15"/>
    <row r="1806" s="120" customFormat="1" x14ac:dyDescent="0.15"/>
    <row r="1807" s="120" customFormat="1" x14ac:dyDescent="0.15"/>
    <row r="1808" s="120" customFormat="1" x14ac:dyDescent="0.15"/>
    <row r="1809" s="120" customFormat="1" x14ac:dyDescent="0.15"/>
    <row r="1810" s="120" customFormat="1" x14ac:dyDescent="0.15"/>
    <row r="1811" s="120" customFormat="1" x14ac:dyDescent="0.15"/>
    <row r="1812" s="120" customFormat="1" x14ac:dyDescent="0.15"/>
    <row r="1813" s="120" customFormat="1" x14ac:dyDescent="0.15"/>
    <row r="1814" s="120" customFormat="1" x14ac:dyDescent="0.15"/>
    <row r="1815" s="120" customFormat="1" x14ac:dyDescent="0.15"/>
    <row r="1816" s="120" customFormat="1" x14ac:dyDescent="0.15"/>
    <row r="1817" s="120" customFormat="1" x14ac:dyDescent="0.15"/>
    <row r="1818" s="120" customFormat="1" x14ac:dyDescent="0.15"/>
    <row r="1819" s="120" customFormat="1" x14ac:dyDescent="0.15"/>
    <row r="1820" s="120" customFormat="1" x14ac:dyDescent="0.15"/>
    <row r="1821" s="120" customFormat="1" x14ac:dyDescent="0.15"/>
    <row r="1822" s="120" customFormat="1" x14ac:dyDescent="0.15"/>
    <row r="1823" s="120" customFormat="1" x14ac:dyDescent="0.15"/>
    <row r="1824" s="120" customFormat="1" x14ac:dyDescent="0.15"/>
    <row r="1825" s="120" customFormat="1" x14ac:dyDescent="0.15"/>
    <row r="1826" s="120" customFormat="1" x14ac:dyDescent="0.15"/>
    <row r="1827" s="120" customFormat="1" x14ac:dyDescent="0.15"/>
    <row r="1828" s="120" customFormat="1" x14ac:dyDescent="0.15"/>
    <row r="1829" s="120" customFormat="1" x14ac:dyDescent="0.15"/>
    <row r="1830" s="120" customFormat="1" x14ac:dyDescent="0.15"/>
    <row r="1831" s="120" customFormat="1" x14ac:dyDescent="0.15"/>
    <row r="1832" s="120" customFormat="1" x14ac:dyDescent="0.15"/>
    <row r="1833" s="120" customFormat="1" x14ac:dyDescent="0.15"/>
    <row r="1834" s="120" customFormat="1" x14ac:dyDescent="0.15"/>
    <row r="1835" s="120" customFormat="1" x14ac:dyDescent="0.15"/>
    <row r="1836" s="120" customFormat="1" x14ac:dyDescent="0.15"/>
    <row r="1837" s="120" customFormat="1" x14ac:dyDescent="0.15"/>
    <row r="1838" s="120" customFormat="1" x14ac:dyDescent="0.15"/>
    <row r="1839" s="120" customFormat="1" x14ac:dyDescent="0.15"/>
    <row r="1840" s="120" customFormat="1" x14ac:dyDescent="0.15"/>
    <row r="1841" s="120" customFormat="1" x14ac:dyDescent="0.15"/>
    <row r="1842" s="120" customFormat="1" x14ac:dyDescent="0.15"/>
    <row r="1843" s="120" customFormat="1" x14ac:dyDescent="0.15"/>
    <row r="1844" s="120" customFormat="1" x14ac:dyDescent="0.15"/>
    <row r="1845" s="120" customFormat="1" x14ac:dyDescent="0.15"/>
    <row r="1846" s="120" customFormat="1" x14ac:dyDescent="0.15"/>
    <row r="1847" s="120" customFormat="1" x14ac:dyDescent="0.15"/>
    <row r="1848" s="120" customFormat="1" x14ac:dyDescent="0.15"/>
    <row r="1849" s="120" customFormat="1" x14ac:dyDescent="0.15"/>
    <row r="1850" s="120" customFormat="1" x14ac:dyDescent="0.15"/>
    <row r="1851" s="120" customFormat="1" x14ac:dyDescent="0.15"/>
    <row r="1852" s="120" customFormat="1" x14ac:dyDescent="0.15"/>
    <row r="1853" s="120" customFormat="1" x14ac:dyDescent="0.15"/>
    <row r="1854" s="120" customFormat="1" x14ac:dyDescent="0.15"/>
    <row r="1855" s="120" customFormat="1" x14ac:dyDescent="0.15"/>
    <row r="1856" s="120" customFormat="1" x14ac:dyDescent="0.15"/>
    <row r="1857" s="120" customFormat="1" x14ac:dyDescent="0.15"/>
    <row r="1858" s="120" customFormat="1" x14ac:dyDescent="0.15"/>
    <row r="1859" s="120" customFormat="1" x14ac:dyDescent="0.15"/>
    <row r="1860" s="120" customFormat="1" x14ac:dyDescent="0.15"/>
    <row r="1861" s="120" customFormat="1" x14ac:dyDescent="0.15"/>
    <row r="1862" s="120" customFormat="1" x14ac:dyDescent="0.15"/>
    <row r="1863" s="120" customFormat="1" x14ac:dyDescent="0.15"/>
    <row r="1864" s="120" customFormat="1" x14ac:dyDescent="0.15"/>
    <row r="1865" s="120" customFormat="1" x14ac:dyDescent="0.15"/>
    <row r="1866" s="120" customFormat="1" x14ac:dyDescent="0.15"/>
    <row r="1867" s="120" customFormat="1" x14ac:dyDescent="0.15"/>
    <row r="1868" s="120" customFormat="1" x14ac:dyDescent="0.15"/>
    <row r="1869" s="120" customFormat="1" x14ac:dyDescent="0.15"/>
    <row r="1870" s="120" customFormat="1" x14ac:dyDescent="0.15"/>
    <row r="1871" s="120" customFormat="1" x14ac:dyDescent="0.15"/>
    <row r="1872" s="120" customFormat="1" x14ac:dyDescent="0.15"/>
    <row r="1873" s="120" customFormat="1" x14ac:dyDescent="0.15"/>
    <row r="1874" s="120" customFormat="1" x14ac:dyDescent="0.15"/>
    <row r="1875" s="120" customFormat="1" x14ac:dyDescent="0.15"/>
    <row r="1876" s="120" customFormat="1" x14ac:dyDescent="0.15"/>
    <row r="1877" s="120" customFormat="1" x14ac:dyDescent="0.15"/>
    <row r="1878" s="120" customFormat="1" x14ac:dyDescent="0.15"/>
    <row r="1879" s="120" customFormat="1" x14ac:dyDescent="0.15"/>
    <row r="1880" s="120" customFormat="1" x14ac:dyDescent="0.15"/>
    <row r="1881" s="120" customFormat="1" x14ac:dyDescent="0.15"/>
    <row r="1882" s="120" customFormat="1" x14ac:dyDescent="0.15"/>
    <row r="1883" s="120" customFormat="1" x14ac:dyDescent="0.15"/>
    <row r="1884" s="120" customFormat="1" x14ac:dyDescent="0.15"/>
    <row r="1885" s="120" customFormat="1" x14ac:dyDescent="0.15"/>
    <row r="1886" s="120" customFormat="1" x14ac:dyDescent="0.15"/>
    <row r="1887" s="120" customFormat="1" x14ac:dyDescent="0.15"/>
    <row r="1888" s="120" customFormat="1" x14ac:dyDescent="0.15"/>
    <row r="1889" s="120" customFormat="1" x14ac:dyDescent="0.15"/>
    <row r="1890" s="120" customFormat="1" x14ac:dyDescent="0.15"/>
    <row r="1891" s="120" customFormat="1" x14ac:dyDescent="0.15"/>
    <row r="1892" s="120" customFormat="1" x14ac:dyDescent="0.15"/>
    <row r="1893" s="120" customFormat="1" x14ac:dyDescent="0.15"/>
    <row r="1894" s="120" customFormat="1" x14ac:dyDescent="0.15"/>
    <row r="1895" s="120" customFormat="1" x14ac:dyDescent="0.15"/>
    <row r="1896" s="120" customFormat="1" x14ac:dyDescent="0.15"/>
    <row r="1897" s="120" customFormat="1" x14ac:dyDescent="0.15"/>
    <row r="1898" s="120" customFormat="1" x14ac:dyDescent="0.15"/>
    <row r="1899" s="120" customFormat="1" x14ac:dyDescent="0.15"/>
    <row r="1900" s="120" customFormat="1" x14ac:dyDescent="0.15"/>
    <row r="1901" s="120" customFormat="1" x14ac:dyDescent="0.15"/>
    <row r="1902" s="120" customFormat="1" x14ac:dyDescent="0.15"/>
    <row r="1903" s="120" customFormat="1" x14ac:dyDescent="0.15"/>
    <row r="1904" s="120" customFormat="1" x14ac:dyDescent="0.15"/>
    <row r="1905" s="120" customFormat="1" x14ac:dyDescent="0.15"/>
    <row r="1906" s="120" customFormat="1" x14ac:dyDescent="0.15"/>
    <row r="1907" s="120" customFormat="1" x14ac:dyDescent="0.15"/>
    <row r="1908" s="120" customFormat="1" x14ac:dyDescent="0.15"/>
    <row r="1909" s="120" customFormat="1" x14ac:dyDescent="0.15"/>
    <row r="1910" s="120" customFormat="1" x14ac:dyDescent="0.15"/>
    <row r="1911" s="120" customFormat="1" x14ac:dyDescent="0.15"/>
    <row r="1912" s="120" customFormat="1" x14ac:dyDescent="0.15"/>
    <row r="1913" s="120" customFormat="1" x14ac:dyDescent="0.15"/>
    <row r="1914" s="120" customFormat="1" x14ac:dyDescent="0.15"/>
    <row r="1915" s="120" customFormat="1" x14ac:dyDescent="0.15"/>
    <row r="1916" s="120" customFormat="1" x14ac:dyDescent="0.15"/>
    <row r="1917" s="120" customFormat="1" x14ac:dyDescent="0.15"/>
    <row r="1918" s="120" customFormat="1" x14ac:dyDescent="0.15"/>
    <row r="1919" s="120" customFormat="1" x14ac:dyDescent="0.15"/>
    <row r="1920" s="120" customFormat="1" x14ac:dyDescent="0.15"/>
    <row r="1921" s="120" customFormat="1" x14ac:dyDescent="0.15"/>
    <row r="1922" s="120" customFormat="1" x14ac:dyDescent="0.15"/>
    <row r="1923" s="120" customFormat="1" x14ac:dyDescent="0.15"/>
    <row r="1924" s="120" customFormat="1" x14ac:dyDescent="0.15"/>
    <row r="1925" s="120" customFormat="1" x14ac:dyDescent="0.15"/>
    <row r="1926" s="120" customFormat="1" x14ac:dyDescent="0.15"/>
    <row r="1927" s="120" customFormat="1" x14ac:dyDescent="0.15"/>
    <row r="1928" s="120" customFormat="1" x14ac:dyDescent="0.15"/>
    <row r="1929" s="120" customFormat="1" x14ac:dyDescent="0.15"/>
    <row r="1930" s="120" customFormat="1" x14ac:dyDescent="0.15"/>
    <row r="1931" s="120" customFormat="1" x14ac:dyDescent="0.15"/>
    <row r="1932" s="120" customFormat="1" x14ac:dyDescent="0.15"/>
    <row r="1933" s="120" customFormat="1" x14ac:dyDescent="0.15"/>
    <row r="1934" s="120" customFormat="1" x14ac:dyDescent="0.15"/>
    <row r="1935" s="120" customFormat="1" x14ac:dyDescent="0.15"/>
    <row r="1936" s="120" customFormat="1" x14ac:dyDescent="0.15"/>
    <row r="1937" s="120" customFormat="1" x14ac:dyDescent="0.15"/>
    <row r="1938" s="120" customFormat="1" x14ac:dyDescent="0.15"/>
    <row r="1939" s="120" customFormat="1" x14ac:dyDescent="0.15"/>
    <row r="1940" s="120" customFormat="1" x14ac:dyDescent="0.15"/>
    <row r="1941" s="120" customFormat="1" x14ac:dyDescent="0.15"/>
    <row r="1942" s="120" customFormat="1" x14ac:dyDescent="0.15"/>
    <row r="1943" s="120" customFormat="1" x14ac:dyDescent="0.15"/>
    <row r="1944" s="120" customFormat="1" x14ac:dyDescent="0.15"/>
    <row r="1945" s="120" customFormat="1" x14ac:dyDescent="0.15"/>
    <row r="1946" s="120" customFormat="1" x14ac:dyDescent="0.15"/>
    <row r="1947" s="120" customFormat="1" x14ac:dyDescent="0.15"/>
    <row r="1948" s="120" customFormat="1" x14ac:dyDescent="0.15"/>
    <row r="1949" s="120" customFormat="1" x14ac:dyDescent="0.15"/>
    <row r="1950" s="120" customFormat="1" x14ac:dyDescent="0.15"/>
    <row r="1951" s="120" customFormat="1" x14ac:dyDescent="0.15"/>
    <row r="1952" s="120" customFormat="1" x14ac:dyDescent="0.15"/>
    <row r="1953" s="120" customFormat="1" x14ac:dyDescent="0.15"/>
    <row r="1954" s="120" customFormat="1" x14ac:dyDescent="0.15"/>
    <row r="1955" s="120" customFormat="1" x14ac:dyDescent="0.15"/>
    <row r="1956" s="120" customFormat="1" x14ac:dyDescent="0.15"/>
    <row r="1957" s="120" customFormat="1" x14ac:dyDescent="0.15"/>
    <row r="1958" s="120" customFormat="1" x14ac:dyDescent="0.15"/>
    <row r="1959" s="120" customFormat="1" x14ac:dyDescent="0.15"/>
    <row r="1960" s="120" customFormat="1" x14ac:dyDescent="0.15"/>
    <row r="1961" s="120" customFormat="1" x14ac:dyDescent="0.15"/>
    <row r="1962" s="120" customFormat="1" x14ac:dyDescent="0.15"/>
    <row r="1963" s="120" customFormat="1" x14ac:dyDescent="0.15"/>
    <row r="1964" s="120" customFormat="1" x14ac:dyDescent="0.15"/>
    <row r="1965" s="120" customFormat="1" x14ac:dyDescent="0.15"/>
    <row r="1966" s="120" customFormat="1" x14ac:dyDescent="0.15"/>
    <row r="1967" s="120" customFormat="1" x14ac:dyDescent="0.15"/>
    <row r="1968" s="120" customFormat="1" x14ac:dyDescent="0.15"/>
    <row r="1969" s="120" customFormat="1" x14ac:dyDescent="0.15"/>
    <row r="1970" s="120" customFormat="1" x14ac:dyDescent="0.15"/>
    <row r="1971" s="120" customFormat="1" x14ac:dyDescent="0.15"/>
    <row r="1972" s="120" customFormat="1" x14ac:dyDescent="0.15"/>
    <row r="1973" s="120" customFormat="1" x14ac:dyDescent="0.15"/>
    <row r="1974" s="120" customFormat="1" x14ac:dyDescent="0.15"/>
    <row r="1975" s="120" customFormat="1" x14ac:dyDescent="0.15"/>
    <row r="1976" s="120" customFormat="1" x14ac:dyDescent="0.15"/>
    <row r="1977" s="120" customFormat="1" x14ac:dyDescent="0.15"/>
    <row r="1978" s="120" customFormat="1" x14ac:dyDescent="0.15"/>
    <row r="1979" s="120" customFormat="1" x14ac:dyDescent="0.15"/>
    <row r="1980" s="120" customFormat="1" x14ac:dyDescent="0.15"/>
    <row r="1981" s="120" customFormat="1" x14ac:dyDescent="0.15"/>
    <row r="1982" s="120" customFormat="1" x14ac:dyDescent="0.15"/>
    <row r="1983" s="120" customFormat="1" x14ac:dyDescent="0.15"/>
    <row r="1984" s="120" customFormat="1" x14ac:dyDescent="0.15"/>
    <row r="1985" s="120" customFormat="1" x14ac:dyDescent="0.15"/>
    <row r="1986" s="120" customFormat="1" x14ac:dyDescent="0.15"/>
    <row r="1987" s="120" customFormat="1" x14ac:dyDescent="0.15"/>
    <row r="1988" s="120" customFormat="1" x14ac:dyDescent="0.15"/>
    <row r="1989" s="120" customFormat="1" x14ac:dyDescent="0.15"/>
    <row r="1990" s="120" customFormat="1" x14ac:dyDescent="0.15"/>
    <row r="1991" s="120" customFormat="1" x14ac:dyDescent="0.15"/>
    <row r="1992" s="120" customFormat="1" x14ac:dyDescent="0.15"/>
    <row r="1993" s="120" customFormat="1" x14ac:dyDescent="0.15"/>
    <row r="1994" s="120" customFormat="1" x14ac:dyDescent="0.15"/>
    <row r="1995" s="120" customFormat="1" x14ac:dyDescent="0.15"/>
    <row r="1996" s="120" customFormat="1" x14ac:dyDescent="0.15"/>
    <row r="1997" s="120" customFormat="1" x14ac:dyDescent="0.15"/>
    <row r="1998" s="120" customFormat="1" x14ac:dyDescent="0.15"/>
    <row r="1999" s="120" customFormat="1" x14ac:dyDescent="0.15"/>
    <row r="2000" s="120" customFormat="1" x14ac:dyDescent="0.15"/>
    <row r="2001" s="120" customFormat="1" x14ac:dyDescent="0.15"/>
    <row r="2002" s="120" customFormat="1" x14ac:dyDescent="0.15"/>
    <row r="2003" s="120" customFormat="1" x14ac:dyDescent="0.15"/>
    <row r="2004" s="120" customFormat="1" x14ac:dyDescent="0.15"/>
    <row r="2005" s="120" customFormat="1" x14ac:dyDescent="0.15"/>
    <row r="2006" s="120" customFormat="1" x14ac:dyDescent="0.15"/>
    <row r="2007" s="120" customFormat="1" x14ac:dyDescent="0.15"/>
    <row r="2008" s="120" customFormat="1" x14ac:dyDescent="0.15"/>
    <row r="2009" s="120" customFormat="1" x14ac:dyDescent="0.15"/>
    <row r="2010" s="120" customFormat="1" x14ac:dyDescent="0.15"/>
    <row r="2011" s="120" customFormat="1" x14ac:dyDescent="0.15"/>
    <row r="2012" s="120" customFormat="1" x14ac:dyDescent="0.15"/>
    <row r="2013" s="120" customFormat="1" x14ac:dyDescent="0.15"/>
    <row r="2014" s="120" customFormat="1" x14ac:dyDescent="0.15"/>
    <row r="2015" s="120" customFormat="1" x14ac:dyDescent="0.15"/>
    <row r="2016" s="120" customFormat="1" x14ac:dyDescent="0.15"/>
    <row r="2017" s="120" customFormat="1" x14ac:dyDescent="0.15"/>
    <row r="2018" s="120" customFormat="1" x14ac:dyDescent="0.15"/>
    <row r="2019" s="120" customFormat="1" x14ac:dyDescent="0.15"/>
    <row r="2020" s="120" customFormat="1" x14ac:dyDescent="0.15"/>
    <row r="2021" s="120" customFormat="1" x14ac:dyDescent="0.15"/>
    <row r="2022" s="120" customFormat="1" x14ac:dyDescent="0.15"/>
    <row r="2023" s="120" customFormat="1" x14ac:dyDescent="0.15"/>
    <row r="2024" s="120" customFormat="1" x14ac:dyDescent="0.15"/>
    <row r="2025" s="120" customFormat="1" x14ac:dyDescent="0.15"/>
    <row r="2026" s="120" customFormat="1" x14ac:dyDescent="0.15"/>
    <row r="2027" s="120" customFormat="1" x14ac:dyDescent="0.15"/>
    <row r="2028" s="120" customFormat="1" x14ac:dyDescent="0.15"/>
    <row r="2029" s="120" customFormat="1" x14ac:dyDescent="0.15"/>
    <row r="2030" s="120" customFormat="1" x14ac:dyDescent="0.15"/>
    <row r="2031" s="120" customFormat="1" x14ac:dyDescent="0.15"/>
    <row r="2032" s="120" customFormat="1" x14ac:dyDescent="0.15"/>
    <row r="2033" s="120" customFormat="1" x14ac:dyDescent="0.15"/>
    <row r="2034" s="120" customFormat="1" x14ac:dyDescent="0.15"/>
    <row r="2035" s="120" customFormat="1" x14ac:dyDescent="0.15"/>
    <row r="2036" s="120" customFormat="1" x14ac:dyDescent="0.15"/>
    <row r="2037" s="120" customFormat="1" x14ac:dyDescent="0.15"/>
    <row r="2038" s="120" customFormat="1" x14ac:dyDescent="0.15"/>
    <row r="2039" s="120" customFormat="1" x14ac:dyDescent="0.15"/>
    <row r="2040" s="120" customFormat="1" x14ac:dyDescent="0.15"/>
    <row r="2041" s="120" customFormat="1" x14ac:dyDescent="0.15"/>
    <row r="2042" s="120" customFormat="1" x14ac:dyDescent="0.15"/>
    <row r="2043" s="120" customFormat="1" x14ac:dyDescent="0.15"/>
    <row r="2044" s="120" customFormat="1" x14ac:dyDescent="0.15"/>
    <row r="2045" s="120" customFormat="1" x14ac:dyDescent="0.15"/>
    <row r="2046" s="120" customFormat="1" x14ac:dyDescent="0.15"/>
    <row r="2047" s="120" customFormat="1" x14ac:dyDescent="0.15"/>
    <row r="2048" s="120" customFormat="1" x14ac:dyDescent="0.15"/>
    <row r="2049" s="120" customFormat="1" x14ac:dyDescent="0.15"/>
    <row r="2050" s="120" customFormat="1" x14ac:dyDescent="0.15"/>
    <row r="2051" s="120" customFormat="1" x14ac:dyDescent="0.15"/>
    <row r="2052" s="120" customFormat="1" x14ac:dyDescent="0.15"/>
    <row r="2053" s="120" customFormat="1" x14ac:dyDescent="0.15"/>
    <row r="2054" s="120" customFormat="1" x14ac:dyDescent="0.15"/>
    <row r="2055" s="120" customFormat="1" x14ac:dyDescent="0.15"/>
    <row r="2056" s="120" customFormat="1" x14ac:dyDescent="0.15"/>
    <row r="2057" s="120" customFormat="1" x14ac:dyDescent="0.15"/>
    <row r="2058" s="120" customFormat="1" x14ac:dyDescent="0.15"/>
    <row r="2059" s="120" customFormat="1" x14ac:dyDescent="0.15"/>
    <row r="2060" s="120" customFormat="1" x14ac:dyDescent="0.15"/>
    <row r="2061" s="120" customFormat="1" x14ac:dyDescent="0.15"/>
    <row r="2062" s="120" customFormat="1" x14ac:dyDescent="0.15"/>
    <row r="2063" s="120" customFormat="1" x14ac:dyDescent="0.15"/>
    <row r="2064" s="120" customFormat="1" x14ac:dyDescent="0.15"/>
    <row r="2065" s="120" customFormat="1" x14ac:dyDescent="0.15"/>
    <row r="2066" s="120" customFormat="1" x14ac:dyDescent="0.15"/>
    <row r="2067" s="120" customFormat="1" x14ac:dyDescent="0.15"/>
    <row r="2068" s="120" customFormat="1" x14ac:dyDescent="0.15"/>
    <row r="2069" s="120" customFormat="1" x14ac:dyDescent="0.15"/>
    <row r="2070" s="120" customFormat="1" x14ac:dyDescent="0.15"/>
    <row r="2071" s="120" customFormat="1" x14ac:dyDescent="0.15"/>
    <row r="2072" s="120" customFormat="1" x14ac:dyDescent="0.15"/>
    <row r="2073" s="120" customFormat="1" x14ac:dyDescent="0.15"/>
    <row r="2074" s="120" customFormat="1" x14ac:dyDescent="0.15"/>
    <row r="2075" s="120" customFormat="1" x14ac:dyDescent="0.15"/>
    <row r="2076" s="120" customFormat="1" x14ac:dyDescent="0.15"/>
    <row r="2077" s="120" customFormat="1" x14ac:dyDescent="0.15"/>
    <row r="2078" s="120" customFormat="1" x14ac:dyDescent="0.15"/>
    <row r="2079" s="120" customFormat="1" x14ac:dyDescent="0.15"/>
    <row r="2080" s="120" customFormat="1" x14ac:dyDescent="0.15"/>
    <row r="2081" s="120" customFormat="1" x14ac:dyDescent="0.15"/>
    <row r="2082" s="120" customFormat="1" x14ac:dyDescent="0.15"/>
    <row r="2083" s="120" customFormat="1" x14ac:dyDescent="0.15"/>
    <row r="2084" s="120" customFormat="1" x14ac:dyDescent="0.15"/>
    <row r="2085" s="120" customFormat="1" x14ac:dyDescent="0.15"/>
    <row r="2086" s="120" customFormat="1" x14ac:dyDescent="0.15"/>
    <row r="2087" s="120" customFormat="1" x14ac:dyDescent="0.15"/>
    <row r="2088" s="120" customFormat="1" x14ac:dyDescent="0.15"/>
    <row r="2089" s="120" customFormat="1" x14ac:dyDescent="0.15"/>
    <row r="2090" s="120" customFormat="1" x14ac:dyDescent="0.15"/>
    <row r="2091" s="120" customFormat="1" x14ac:dyDescent="0.15"/>
    <row r="2092" s="120" customFormat="1" x14ac:dyDescent="0.15"/>
    <row r="2093" s="120" customFormat="1" x14ac:dyDescent="0.15"/>
    <row r="2094" s="120" customFormat="1" x14ac:dyDescent="0.15"/>
    <row r="2095" s="120" customFormat="1" x14ac:dyDescent="0.15"/>
    <row r="2096" s="120" customFormat="1" x14ac:dyDescent="0.15"/>
    <row r="2097" s="120" customFormat="1" x14ac:dyDescent="0.15"/>
    <row r="2098" s="120" customFormat="1" x14ac:dyDescent="0.15"/>
    <row r="2099" s="120" customFormat="1" x14ac:dyDescent="0.15"/>
    <row r="2100" s="120" customFormat="1" x14ac:dyDescent="0.15"/>
    <row r="2101" s="120" customFormat="1" x14ac:dyDescent="0.15"/>
    <row r="2102" s="120" customFormat="1" x14ac:dyDescent="0.15"/>
    <row r="2103" s="120" customFormat="1" x14ac:dyDescent="0.15"/>
    <row r="2104" s="120" customFormat="1" x14ac:dyDescent="0.15"/>
    <row r="2105" s="120" customFormat="1" x14ac:dyDescent="0.15"/>
    <row r="2106" s="120" customFormat="1" x14ac:dyDescent="0.15"/>
    <row r="2107" s="120" customFormat="1" x14ac:dyDescent="0.15"/>
    <row r="2108" s="120" customFormat="1" x14ac:dyDescent="0.15"/>
    <row r="2109" s="120" customFormat="1" x14ac:dyDescent="0.15"/>
    <row r="2110" s="120" customFormat="1" x14ac:dyDescent="0.15"/>
    <row r="2111" s="120" customFormat="1" x14ac:dyDescent="0.15"/>
    <row r="2112" s="120" customFormat="1" x14ac:dyDescent="0.15"/>
    <row r="2113" s="120" customFormat="1" x14ac:dyDescent="0.15"/>
    <row r="2114" s="120" customFormat="1" x14ac:dyDescent="0.15"/>
    <row r="2115" s="120" customFormat="1" x14ac:dyDescent="0.15"/>
    <row r="2116" s="120" customFormat="1" x14ac:dyDescent="0.15"/>
    <row r="2117" s="120" customFormat="1" x14ac:dyDescent="0.15"/>
    <row r="2118" s="120" customFormat="1" x14ac:dyDescent="0.15"/>
    <row r="2119" s="120" customFormat="1" x14ac:dyDescent="0.15"/>
    <row r="2120" s="120" customFormat="1" x14ac:dyDescent="0.15"/>
    <row r="2121" s="120" customFormat="1" x14ac:dyDescent="0.15"/>
    <row r="2122" s="120" customFormat="1" x14ac:dyDescent="0.15"/>
    <row r="2123" s="120" customFormat="1" x14ac:dyDescent="0.15"/>
    <row r="2124" s="120" customFormat="1" x14ac:dyDescent="0.15"/>
    <row r="2125" s="120" customFormat="1" x14ac:dyDescent="0.15"/>
    <row r="2126" s="120" customFormat="1" x14ac:dyDescent="0.15"/>
    <row r="2127" s="120" customFormat="1" x14ac:dyDescent="0.15"/>
    <row r="2128" s="120" customFormat="1" x14ac:dyDescent="0.15"/>
    <row r="2129" s="120" customFormat="1" x14ac:dyDescent="0.15"/>
    <row r="2130" s="120" customFormat="1" x14ac:dyDescent="0.15"/>
    <row r="2131" s="120" customFormat="1" x14ac:dyDescent="0.15"/>
    <row r="2132" s="120" customFormat="1" x14ac:dyDescent="0.15"/>
    <row r="2133" s="120" customFormat="1" x14ac:dyDescent="0.15"/>
    <row r="2134" s="120" customFormat="1" x14ac:dyDescent="0.15"/>
    <row r="2135" s="120" customFormat="1" x14ac:dyDescent="0.15"/>
    <row r="2136" s="120" customFormat="1" x14ac:dyDescent="0.15"/>
    <row r="2137" s="120" customFormat="1" x14ac:dyDescent="0.15"/>
    <row r="2138" s="120" customFormat="1" x14ac:dyDescent="0.15"/>
    <row r="2139" s="120" customFormat="1" x14ac:dyDescent="0.15"/>
    <row r="2140" s="120" customFormat="1" x14ac:dyDescent="0.15"/>
    <row r="2141" s="120" customFormat="1" x14ac:dyDescent="0.15"/>
    <row r="2142" s="120" customFormat="1" x14ac:dyDescent="0.15"/>
    <row r="2143" s="120" customFormat="1" x14ac:dyDescent="0.15"/>
    <row r="2144" s="120" customFormat="1" x14ac:dyDescent="0.15"/>
    <row r="2145" s="120" customFormat="1" x14ac:dyDescent="0.15"/>
    <row r="2146" s="120" customFormat="1" x14ac:dyDescent="0.15"/>
    <row r="2147" s="120" customFormat="1" x14ac:dyDescent="0.15"/>
    <row r="2148" s="120" customFormat="1" x14ac:dyDescent="0.15"/>
    <row r="2149" s="120" customFormat="1" x14ac:dyDescent="0.15"/>
    <row r="2150" s="120" customFormat="1" x14ac:dyDescent="0.15"/>
    <row r="2151" s="120" customFormat="1" x14ac:dyDescent="0.15"/>
    <row r="2152" s="120" customFormat="1" x14ac:dyDescent="0.15"/>
    <row r="2153" s="120" customFormat="1" x14ac:dyDescent="0.15"/>
    <row r="2154" s="120" customFormat="1" x14ac:dyDescent="0.15"/>
    <row r="2155" s="120" customFormat="1" x14ac:dyDescent="0.15"/>
    <row r="2156" s="120" customFormat="1" x14ac:dyDescent="0.15"/>
    <row r="2157" s="120" customFormat="1" x14ac:dyDescent="0.15"/>
    <row r="2158" s="120" customFormat="1" x14ac:dyDescent="0.15"/>
    <row r="2159" s="120" customFormat="1" x14ac:dyDescent="0.15"/>
    <row r="2160" s="120" customFormat="1" x14ac:dyDescent="0.15"/>
    <row r="2161" s="120" customFormat="1" x14ac:dyDescent="0.15"/>
    <row r="2162" s="120" customFormat="1" x14ac:dyDescent="0.15"/>
    <row r="2163" s="120" customFormat="1" x14ac:dyDescent="0.15"/>
    <row r="2164" s="120" customFormat="1" x14ac:dyDescent="0.15"/>
    <row r="2165" s="120" customFormat="1" x14ac:dyDescent="0.15"/>
    <row r="2166" s="120" customFormat="1" x14ac:dyDescent="0.15"/>
    <row r="2167" s="120" customFormat="1" x14ac:dyDescent="0.15"/>
    <row r="2168" s="120" customFormat="1" x14ac:dyDescent="0.15"/>
    <row r="2169" s="120" customFormat="1" x14ac:dyDescent="0.15"/>
    <row r="2170" s="120" customFormat="1" x14ac:dyDescent="0.15"/>
    <row r="2171" s="120" customFormat="1" x14ac:dyDescent="0.15"/>
    <row r="2172" s="120" customFormat="1" x14ac:dyDescent="0.15"/>
    <row r="2173" s="120" customFormat="1" x14ac:dyDescent="0.15"/>
    <row r="2174" s="120" customFormat="1" x14ac:dyDescent="0.15"/>
    <row r="2175" s="120" customFormat="1" x14ac:dyDescent="0.15"/>
    <row r="2176" s="120" customFormat="1" x14ac:dyDescent="0.15"/>
    <row r="2177" s="120" customFormat="1" x14ac:dyDescent="0.15"/>
    <row r="2178" s="120" customFormat="1" x14ac:dyDescent="0.15"/>
    <row r="2179" s="120" customFormat="1" x14ac:dyDescent="0.15"/>
    <row r="2180" s="120" customFormat="1" x14ac:dyDescent="0.15"/>
    <row r="2181" s="120" customFormat="1" x14ac:dyDescent="0.15"/>
    <row r="2182" s="120" customFormat="1" x14ac:dyDescent="0.15"/>
    <row r="2183" s="120" customFormat="1" x14ac:dyDescent="0.15"/>
    <row r="2184" s="120" customFormat="1" x14ac:dyDescent="0.15"/>
    <row r="2185" s="120" customFormat="1" x14ac:dyDescent="0.15"/>
    <row r="2186" s="120" customFormat="1" x14ac:dyDescent="0.15"/>
    <row r="2187" s="120" customFormat="1" x14ac:dyDescent="0.15"/>
    <row r="2188" s="120" customFormat="1" x14ac:dyDescent="0.15"/>
    <row r="2189" s="120" customFormat="1" x14ac:dyDescent="0.15"/>
    <row r="2190" s="120" customFormat="1" x14ac:dyDescent="0.15"/>
    <row r="2191" s="120" customFormat="1" x14ac:dyDescent="0.15"/>
    <row r="2192" s="120" customFormat="1" x14ac:dyDescent="0.15"/>
    <row r="2193" s="120" customFormat="1" x14ac:dyDescent="0.15"/>
    <row r="2194" s="120" customFormat="1" x14ac:dyDescent="0.15"/>
    <row r="2195" s="120" customFormat="1" x14ac:dyDescent="0.15"/>
    <row r="2196" s="120" customFormat="1" x14ac:dyDescent="0.15"/>
    <row r="2197" s="120" customFormat="1" x14ac:dyDescent="0.15"/>
    <row r="2198" s="120" customFormat="1" x14ac:dyDescent="0.15"/>
    <row r="2199" s="120" customFormat="1" x14ac:dyDescent="0.15"/>
    <row r="2200" s="120" customFormat="1" x14ac:dyDescent="0.15"/>
    <row r="2201" s="120" customFormat="1" x14ac:dyDescent="0.15"/>
    <row r="2202" s="120" customFormat="1" x14ac:dyDescent="0.15"/>
    <row r="2203" s="120" customFormat="1" x14ac:dyDescent="0.15"/>
    <row r="2204" s="120" customFormat="1" x14ac:dyDescent="0.15"/>
    <row r="2205" s="120" customFormat="1" x14ac:dyDescent="0.15"/>
    <row r="2206" s="120" customFormat="1" x14ac:dyDescent="0.15"/>
    <row r="2207" s="120" customFormat="1" x14ac:dyDescent="0.15"/>
    <row r="2208" s="120" customFormat="1" x14ac:dyDescent="0.15"/>
    <row r="2209" s="120" customFormat="1" x14ac:dyDescent="0.15"/>
    <row r="2210" s="120" customFormat="1" x14ac:dyDescent="0.15"/>
    <row r="2211" s="120" customFormat="1" x14ac:dyDescent="0.15"/>
    <row r="2212" s="120" customFormat="1" x14ac:dyDescent="0.15"/>
    <row r="2213" s="120" customFormat="1" x14ac:dyDescent="0.15"/>
    <row r="2214" s="120" customFormat="1" x14ac:dyDescent="0.15"/>
    <row r="2215" s="120" customFormat="1" x14ac:dyDescent="0.15"/>
    <row r="2216" s="120" customFormat="1" x14ac:dyDescent="0.15"/>
    <row r="2217" s="120" customFormat="1" x14ac:dyDescent="0.15"/>
    <row r="2218" s="120" customFormat="1" x14ac:dyDescent="0.15"/>
    <row r="2219" s="120" customFormat="1" x14ac:dyDescent="0.15"/>
    <row r="2220" s="120" customFormat="1" x14ac:dyDescent="0.15"/>
    <row r="2221" s="120" customFormat="1" x14ac:dyDescent="0.15"/>
    <row r="2222" s="120" customFormat="1" x14ac:dyDescent="0.15"/>
    <row r="2223" s="120" customFormat="1" x14ac:dyDescent="0.15"/>
    <row r="2224" s="120" customFormat="1" x14ac:dyDescent="0.15"/>
    <row r="2225" s="120" customFormat="1" x14ac:dyDescent="0.15"/>
    <row r="2226" s="120" customFormat="1" x14ac:dyDescent="0.15"/>
    <row r="2227" s="120" customFormat="1" x14ac:dyDescent="0.15"/>
    <row r="2228" s="120" customFormat="1" x14ac:dyDescent="0.15"/>
    <row r="2229" s="120" customFormat="1" x14ac:dyDescent="0.15"/>
    <row r="2230" s="120" customFormat="1" x14ac:dyDescent="0.15"/>
    <row r="2231" s="120" customFormat="1" x14ac:dyDescent="0.15"/>
    <row r="2232" s="120" customFormat="1" x14ac:dyDescent="0.15"/>
    <row r="2233" s="120" customFormat="1" x14ac:dyDescent="0.15"/>
    <row r="2234" s="120" customFormat="1" x14ac:dyDescent="0.15"/>
    <row r="2235" s="120" customFormat="1" x14ac:dyDescent="0.15"/>
    <row r="2236" s="120" customFormat="1" x14ac:dyDescent="0.15"/>
    <row r="2237" s="120" customFormat="1" x14ac:dyDescent="0.15"/>
    <row r="2238" s="120" customFormat="1" x14ac:dyDescent="0.15"/>
    <row r="2239" s="120" customFormat="1" x14ac:dyDescent="0.15"/>
    <row r="2240" s="120" customFormat="1" x14ac:dyDescent="0.15"/>
    <row r="2241" s="120" customFormat="1" x14ac:dyDescent="0.15"/>
    <row r="2242" s="120" customFormat="1" x14ac:dyDescent="0.15"/>
    <row r="2243" s="120" customFormat="1" x14ac:dyDescent="0.15"/>
    <row r="2244" s="120" customFormat="1" x14ac:dyDescent="0.15"/>
    <row r="2245" s="120" customFormat="1" x14ac:dyDescent="0.15"/>
    <row r="2246" s="120" customFormat="1" x14ac:dyDescent="0.15"/>
    <row r="2247" s="120" customFormat="1" x14ac:dyDescent="0.15"/>
    <row r="2248" s="120" customFormat="1" x14ac:dyDescent="0.15"/>
    <row r="2249" s="120" customFormat="1" x14ac:dyDescent="0.15"/>
    <row r="2250" s="120" customFormat="1" x14ac:dyDescent="0.15"/>
    <row r="2251" s="120" customFormat="1" x14ac:dyDescent="0.15"/>
    <row r="2252" s="120" customFormat="1" x14ac:dyDescent="0.15"/>
    <row r="2253" s="120" customFormat="1" x14ac:dyDescent="0.15"/>
    <row r="2254" s="120" customFormat="1" x14ac:dyDescent="0.15"/>
    <row r="2255" s="120" customFormat="1" x14ac:dyDescent="0.15"/>
    <row r="2256" s="120" customFormat="1" x14ac:dyDescent="0.15"/>
    <row r="2257" s="120" customFormat="1" x14ac:dyDescent="0.15"/>
    <row r="2258" s="120" customFormat="1" x14ac:dyDescent="0.15"/>
    <row r="2259" s="120" customFormat="1" x14ac:dyDescent="0.15"/>
    <row r="2260" s="120" customFormat="1" x14ac:dyDescent="0.15"/>
    <row r="2261" s="120" customFormat="1" x14ac:dyDescent="0.15"/>
    <row r="2262" s="120" customFormat="1" x14ac:dyDescent="0.15"/>
    <row r="2263" s="120" customFormat="1" x14ac:dyDescent="0.15"/>
    <row r="2264" s="120" customFormat="1" x14ac:dyDescent="0.15"/>
    <row r="2265" s="120" customFormat="1" x14ac:dyDescent="0.15"/>
    <row r="2266" s="120" customFormat="1" x14ac:dyDescent="0.15"/>
    <row r="2267" s="120" customFormat="1" x14ac:dyDescent="0.15"/>
    <row r="2268" s="120" customFormat="1" x14ac:dyDescent="0.15"/>
    <row r="2269" s="120" customFormat="1" x14ac:dyDescent="0.15"/>
    <row r="2270" s="120" customFormat="1" x14ac:dyDescent="0.15"/>
    <row r="2271" s="120" customFormat="1" x14ac:dyDescent="0.15"/>
    <row r="2272" s="120" customFormat="1" x14ac:dyDescent="0.15"/>
    <row r="2273" s="120" customFormat="1" x14ac:dyDescent="0.15"/>
    <row r="2274" s="120" customFormat="1" x14ac:dyDescent="0.15"/>
    <row r="2275" s="120" customFormat="1" x14ac:dyDescent="0.15"/>
    <row r="2276" s="120" customFormat="1" x14ac:dyDescent="0.15"/>
    <row r="2277" s="120" customFormat="1" x14ac:dyDescent="0.15"/>
    <row r="2278" s="120" customFormat="1" x14ac:dyDescent="0.15"/>
    <row r="2279" s="120" customFormat="1" x14ac:dyDescent="0.15"/>
    <row r="2280" s="120" customFormat="1" x14ac:dyDescent="0.15"/>
    <row r="2281" s="120" customFormat="1" x14ac:dyDescent="0.15"/>
    <row r="2282" s="120" customFormat="1" x14ac:dyDescent="0.15"/>
    <row r="2283" s="120" customFormat="1" x14ac:dyDescent="0.15"/>
    <row r="2284" s="120" customFormat="1" x14ac:dyDescent="0.15"/>
    <row r="2285" s="120" customFormat="1" x14ac:dyDescent="0.15"/>
    <row r="2286" s="120" customFormat="1" x14ac:dyDescent="0.15"/>
    <row r="2287" s="120" customFormat="1" x14ac:dyDescent="0.15"/>
    <row r="2288" s="120" customFormat="1" x14ac:dyDescent="0.15"/>
    <row r="2289" s="120" customFormat="1" x14ac:dyDescent="0.15"/>
    <row r="2290" s="120" customFormat="1" x14ac:dyDescent="0.15"/>
    <row r="2291" s="120" customFormat="1" x14ac:dyDescent="0.15"/>
    <row r="2292" s="120" customFormat="1" x14ac:dyDescent="0.15"/>
    <row r="2293" s="120" customFormat="1" x14ac:dyDescent="0.15"/>
    <row r="2294" s="120" customFormat="1" x14ac:dyDescent="0.15"/>
    <row r="2295" s="120" customFormat="1" x14ac:dyDescent="0.15"/>
    <row r="2296" s="120" customFormat="1" x14ac:dyDescent="0.15"/>
    <row r="2297" s="120" customFormat="1" x14ac:dyDescent="0.15"/>
    <row r="2298" s="120" customFormat="1" x14ac:dyDescent="0.15"/>
    <row r="2299" s="120" customFormat="1" x14ac:dyDescent="0.15"/>
    <row r="2300" s="120" customFormat="1" x14ac:dyDescent="0.15"/>
    <row r="2301" s="120" customFormat="1" x14ac:dyDescent="0.15"/>
    <row r="2302" s="120" customFormat="1" x14ac:dyDescent="0.15"/>
    <row r="2303" s="120" customFormat="1" x14ac:dyDescent="0.15"/>
    <row r="2304" s="120" customFormat="1" x14ac:dyDescent="0.15"/>
    <row r="2305" s="120" customFormat="1" x14ac:dyDescent="0.15"/>
    <row r="2306" s="120" customFormat="1" x14ac:dyDescent="0.15"/>
    <row r="2307" s="120" customFormat="1" x14ac:dyDescent="0.15"/>
    <row r="2308" s="120" customFormat="1" x14ac:dyDescent="0.15"/>
    <row r="2309" s="120" customFormat="1" x14ac:dyDescent="0.15"/>
    <row r="2310" s="120" customFormat="1" x14ac:dyDescent="0.15"/>
    <row r="2311" s="120" customFormat="1" x14ac:dyDescent="0.15"/>
    <row r="2312" s="120" customFormat="1" x14ac:dyDescent="0.15"/>
    <row r="2313" s="120" customFormat="1" x14ac:dyDescent="0.15"/>
    <row r="2314" s="120" customFormat="1" x14ac:dyDescent="0.15"/>
    <row r="2315" s="120" customFormat="1" x14ac:dyDescent="0.15"/>
    <row r="2316" s="120" customFormat="1" x14ac:dyDescent="0.15"/>
    <row r="2317" s="120" customFormat="1" x14ac:dyDescent="0.15"/>
    <row r="2318" s="120" customFormat="1" x14ac:dyDescent="0.15"/>
    <row r="2319" s="120" customFormat="1" x14ac:dyDescent="0.15"/>
    <row r="2320" s="120" customFormat="1" x14ac:dyDescent="0.15"/>
    <row r="2321" s="120" customFormat="1" x14ac:dyDescent="0.15"/>
    <row r="2322" s="120" customFormat="1" x14ac:dyDescent="0.15"/>
    <row r="2323" s="120" customFormat="1" x14ac:dyDescent="0.15"/>
    <row r="2324" s="120" customFormat="1" x14ac:dyDescent="0.15"/>
    <row r="2325" s="120" customFormat="1" x14ac:dyDescent="0.15"/>
    <row r="2326" s="120" customFormat="1" x14ac:dyDescent="0.15"/>
    <row r="2327" s="120" customFormat="1" x14ac:dyDescent="0.15"/>
    <row r="2328" s="120" customFormat="1" x14ac:dyDescent="0.15"/>
    <row r="2329" s="120" customFormat="1" x14ac:dyDescent="0.15"/>
    <row r="2330" s="120" customFormat="1" x14ac:dyDescent="0.15"/>
    <row r="2331" s="120" customFormat="1" x14ac:dyDescent="0.15"/>
    <row r="2332" s="120" customFormat="1" x14ac:dyDescent="0.15"/>
    <row r="2333" s="120" customFormat="1" x14ac:dyDescent="0.15"/>
    <row r="2334" s="120" customFormat="1" x14ac:dyDescent="0.15"/>
    <row r="2335" s="120" customFormat="1" x14ac:dyDescent="0.15"/>
    <row r="2336" s="120" customFormat="1" x14ac:dyDescent="0.15"/>
    <row r="2337" s="120" customFormat="1" x14ac:dyDescent="0.15"/>
    <row r="2338" s="120" customFormat="1" x14ac:dyDescent="0.15"/>
    <row r="2339" s="120" customFormat="1" x14ac:dyDescent="0.15"/>
    <row r="2340" s="120" customFormat="1" x14ac:dyDescent="0.15"/>
    <row r="2341" s="120" customFormat="1" x14ac:dyDescent="0.15"/>
    <row r="2342" s="120" customFormat="1" x14ac:dyDescent="0.15"/>
    <row r="2343" s="120" customFormat="1" x14ac:dyDescent="0.15"/>
    <row r="2344" s="120" customFormat="1" x14ac:dyDescent="0.15"/>
    <row r="2345" s="120" customFormat="1" x14ac:dyDescent="0.15"/>
    <row r="2346" s="120" customFormat="1" x14ac:dyDescent="0.15"/>
    <row r="2347" s="120" customFormat="1" x14ac:dyDescent="0.15"/>
    <row r="2348" s="120" customFormat="1" x14ac:dyDescent="0.15"/>
    <row r="2349" s="120" customFormat="1" x14ac:dyDescent="0.15"/>
    <row r="2350" s="120" customFormat="1" x14ac:dyDescent="0.15"/>
    <row r="2351" s="120" customFormat="1" x14ac:dyDescent="0.15"/>
    <row r="2352" s="120" customFormat="1" x14ac:dyDescent="0.15"/>
    <row r="2353" s="120" customFormat="1" x14ac:dyDescent="0.15"/>
    <row r="2354" s="120" customFormat="1" x14ac:dyDescent="0.15"/>
    <row r="2355" s="120" customFormat="1" x14ac:dyDescent="0.15"/>
    <row r="2356" s="120" customFormat="1" x14ac:dyDescent="0.15"/>
    <row r="2357" s="120" customFormat="1" x14ac:dyDescent="0.15"/>
    <row r="2358" s="120" customFormat="1" x14ac:dyDescent="0.15"/>
    <row r="2359" s="120" customFormat="1" x14ac:dyDescent="0.15"/>
    <row r="2360" s="120" customFormat="1" x14ac:dyDescent="0.15"/>
    <row r="2361" s="120" customFormat="1" x14ac:dyDescent="0.15"/>
    <row r="2362" s="120" customFormat="1" x14ac:dyDescent="0.15"/>
    <row r="2363" s="120" customFormat="1" x14ac:dyDescent="0.15"/>
    <row r="2364" s="120" customFormat="1" x14ac:dyDescent="0.15"/>
    <row r="2365" s="120" customFormat="1" x14ac:dyDescent="0.15"/>
    <row r="2366" s="120" customFormat="1" x14ac:dyDescent="0.15"/>
    <row r="2367" s="120" customFormat="1" x14ac:dyDescent="0.15"/>
    <row r="2368" s="120" customFormat="1" x14ac:dyDescent="0.15"/>
    <row r="2369" s="120" customFormat="1" x14ac:dyDescent="0.15"/>
    <row r="2370" s="120" customFormat="1" x14ac:dyDescent="0.15"/>
    <row r="2371" s="120" customFormat="1" x14ac:dyDescent="0.15"/>
    <row r="2372" s="120" customFormat="1" x14ac:dyDescent="0.15"/>
    <row r="2373" s="120" customFormat="1" x14ac:dyDescent="0.15"/>
    <row r="2374" s="120" customFormat="1" x14ac:dyDescent="0.15"/>
    <row r="2375" s="120" customFormat="1" x14ac:dyDescent="0.15"/>
    <row r="2376" s="120" customFormat="1" x14ac:dyDescent="0.15"/>
    <row r="2377" s="120" customFormat="1" x14ac:dyDescent="0.15"/>
    <row r="2378" s="120" customFormat="1" x14ac:dyDescent="0.15"/>
    <row r="2379" s="120" customFormat="1" x14ac:dyDescent="0.15"/>
    <row r="2380" s="120" customFormat="1" x14ac:dyDescent="0.15"/>
    <row r="2381" s="120" customFormat="1" x14ac:dyDescent="0.15"/>
    <row r="2382" s="120" customFormat="1" x14ac:dyDescent="0.15"/>
    <row r="2383" s="120" customFormat="1" x14ac:dyDescent="0.15"/>
    <row r="2384" s="120" customFormat="1" x14ac:dyDescent="0.15"/>
    <row r="2385" s="120" customFormat="1" x14ac:dyDescent="0.15"/>
    <row r="2386" s="120" customFormat="1" x14ac:dyDescent="0.15"/>
    <row r="2387" s="120" customFormat="1" x14ac:dyDescent="0.15"/>
    <row r="2388" s="120" customFormat="1" x14ac:dyDescent="0.15"/>
    <row r="2389" s="120" customFormat="1" x14ac:dyDescent="0.15"/>
    <row r="2390" s="120" customFormat="1" x14ac:dyDescent="0.15"/>
    <row r="2391" s="120" customFormat="1" x14ac:dyDescent="0.15"/>
    <row r="2392" s="120" customFormat="1" x14ac:dyDescent="0.15"/>
    <row r="2393" s="120" customFormat="1" x14ac:dyDescent="0.15"/>
    <row r="2394" s="120" customFormat="1" x14ac:dyDescent="0.15"/>
    <row r="2395" s="120" customFormat="1" x14ac:dyDescent="0.15"/>
    <row r="2396" s="120" customFormat="1" x14ac:dyDescent="0.15"/>
    <row r="2397" s="120" customFormat="1" x14ac:dyDescent="0.15"/>
    <row r="2398" s="120" customFormat="1" x14ac:dyDescent="0.15"/>
    <row r="2399" s="120" customFormat="1" x14ac:dyDescent="0.15"/>
    <row r="2400" s="120" customFormat="1" x14ac:dyDescent="0.15"/>
    <row r="2401" s="120" customFormat="1" x14ac:dyDescent="0.15"/>
    <row r="2402" s="120" customFormat="1" x14ac:dyDescent="0.15"/>
    <row r="2403" s="120" customFormat="1" x14ac:dyDescent="0.15"/>
    <row r="2404" s="120" customFormat="1" x14ac:dyDescent="0.15"/>
    <row r="2405" s="120" customFormat="1" x14ac:dyDescent="0.15"/>
    <row r="2406" s="120" customFormat="1" x14ac:dyDescent="0.15"/>
    <row r="2407" s="120" customFormat="1" x14ac:dyDescent="0.15"/>
    <row r="2408" s="120" customFormat="1" x14ac:dyDescent="0.15"/>
    <row r="2409" s="120" customFormat="1" x14ac:dyDescent="0.15"/>
    <row r="2410" s="120" customFormat="1" x14ac:dyDescent="0.15"/>
    <row r="2411" s="120" customFormat="1" x14ac:dyDescent="0.15"/>
    <row r="2412" s="120" customFormat="1" x14ac:dyDescent="0.15"/>
    <row r="2413" s="120" customFormat="1" x14ac:dyDescent="0.15"/>
    <row r="2414" s="120" customFormat="1" x14ac:dyDescent="0.15"/>
    <row r="2415" s="120" customFormat="1" x14ac:dyDescent="0.15"/>
    <row r="2416" s="120" customFormat="1" x14ac:dyDescent="0.15"/>
    <row r="2417" s="120" customFormat="1" x14ac:dyDescent="0.15"/>
    <row r="2418" s="120" customFormat="1" x14ac:dyDescent="0.15"/>
    <row r="2419" s="120" customFormat="1" x14ac:dyDescent="0.15"/>
    <row r="2420" s="120" customFormat="1" x14ac:dyDescent="0.15"/>
    <row r="2421" s="120" customFormat="1" x14ac:dyDescent="0.15"/>
    <row r="2422" s="120" customFormat="1" x14ac:dyDescent="0.15"/>
    <row r="2423" s="120" customFormat="1" x14ac:dyDescent="0.15"/>
    <row r="2424" s="120" customFormat="1" x14ac:dyDescent="0.15"/>
    <row r="2425" s="120" customFormat="1" x14ac:dyDescent="0.15"/>
    <row r="2426" s="120" customFormat="1" x14ac:dyDescent="0.15"/>
    <row r="2427" s="120" customFormat="1" x14ac:dyDescent="0.15"/>
    <row r="2428" s="120" customFormat="1" x14ac:dyDescent="0.15"/>
    <row r="2429" s="120" customFormat="1" x14ac:dyDescent="0.15"/>
    <row r="2430" s="120" customFormat="1" x14ac:dyDescent="0.15"/>
    <row r="2431" s="120" customFormat="1" x14ac:dyDescent="0.15"/>
    <row r="2432" s="120" customFormat="1" x14ac:dyDescent="0.15"/>
    <row r="2433" s="120" customFormat="1" x14ac:dyDescent="0.15"/>
    <row r="2434" s="120" customFormat="1" x14ac:dyDescent="0.15"/>
    <row r="2435" s="120" customFormat="1" x14ac:dyDescent="0.15"/>
    <row r="2436" s="120" customFormat="1" x14ac:dyDescent="0.15"/>
    <row r="2437" s="120" customFormat="1" x14ac:dyDescent="0.15"/>
    <row r="2438" s="120" customFormat="1" x14ac:dyDescent="0.15"/>
    <row r="2439" s="120" customFormat="1" x14ac:dyDescent="0.15"/>
    <row r="2440" s="120" customFormat="1" x14ac:dyDescent="0.15"/>
    <row r="2441" s="120" customFormat="1" x14ac:dyDescent="0.15"/>
    <row r="2442" s="120" customFormat="1" x14ac:dyDescent="0.15"/>
    <row r="2443" s="120" customFormat="1" x14ac:dyDescent="0.15"/>
    <row r="2444" s="120" customFormat="1" x14ac:dyDescent="0.15"/>
    <row r="2445" s="120" customFormat="1" x14ac:dyDescent="0.15"/>
    <row r="2446" s="120" customFormat="1" x14ac:dyDescent="0.15"/>
    <row r="2447" s="120" customFormat="1" x14ac:dyDescent="0.15"/>
    <row r="2448" s="120" customFormat="1" x14ac:dyDescent="0.15"/>
    <row r="2449" s="120" customFormat="1" x14ac:dyDescent="0.15"/>
    <row r="2450" s="120" customFormat="1" x14ac:dyDescent="0.15"/>
    <row r="2451" s="120" customFormat="1" x14ac:dyDescent="0.15"/>
    <row r="2452" s="120" customFormat="1" x14ac:dyDescent="0.15"/>
    <row r="2453" s="120" customFormat="1" x14ac:dyDescent="0.15"/>
    <row r="2454" s="120" customFormat="1" x14ac:dyDescent="0.15"/>
    <row r="2455" s="120" customFormat="1" x14ac:dyDescent="0.15"/>
    <row r="2456" s="120" customFormat="1" x14ac:dyDescent="0.15"/>
    <row r="2457" s="120" customFormat="1" x14ac:dyDescent="0.15"/>
    <row r="2458" s="120" customFormat="1" x14ac:dyDescent="0.15"/>
    <row r="2459" s="120" customFormat="1" x14ac:dyDescent="0.15"/>
    <row r="2460" s="120" customFormat="1" x14ac:dyDescent="0.15"/>
    <row r="2461" s="120" customFormat="1" x14ac:dyDescent="0.15"/>
    <row r="2462" s="120" customFormat="1" x14ac:dyDescent="0.15"/>
    <row r="2463" s="120" customFormat="1" x14ac:dyDescent="0.15"/>
    <row r="2464" s="120" customFormat="1" x14ac:dyDescent="0.15"/>
    <row r="2465" s="120" customFormat="1" x14ac:dyDescent="0.15"/>
    <row r="2466" s="120" customFormat="1" x14ac:dyDescent="0.15"/>
    <row r="2467" s="120" customFormat="1" x14ac:dyDescent="0.15"/>
    <row r="2468" s="120" customFormat="1" x14ac:dyDescent="0.15"/>
    <row r="2469" s="120" customFormat="1" x14ac:dyDescent="0.15"/>
    <row r="2470" s="120" customFormat="1" x14ac:dyDescent="0.15"/>
    <row r="2471" s="120" customFormat="1" x14ac:dyDescent="0.15"/>
    <row r="2472" s="120" customFormat="1" x14ac:dyDescent="0.15"/>
    <row r="2473" s="120" customFormat="1" x14ac:dyDescent="0.15"/>
    <row r="2474" s="120" customFormat="1" x14ac:dyDescent="0.15"/>
    <row r="2475" s="120" customFormat="1" x14ac:dyDescent="0.15"/>
    <row r="2476" s="120" customFormat="1" x14ac:dyDescent="0.15"/>
    <row r="2477" s="120" customFormat="1" x14ac:dyDescent="0.15"/>
    <row r="2478" s="120" customFormat="1" x14ac:dyDescent="0.15"/>
    <row r="2479" s="120" customFormat="1" x14ac:dyDescent="0.15"/>
    <row r="2480" s="120" customFormat="1" x14ac:dyDescent="0.15"/>
    <row r="2481" s="120" customFormat="1" x14ac:dyDescent="0.15"/>
    <row r="2482" s="120" customFormat="1" x14ac:dyDescent="0.15"/>
    <row r="2483" s="120" customFormat="1" x14ac:dyDescent="0.15"/>
    <row r="2484" s="120" customFormat="1" x14ac:dyDescent="0.15"/>
    <row r="2485" s="120" customFormat="1" x14ac:dyDescent="0.15"/>
    <row r="2486" s="120" customFormat="1" x14ac:dyDescent="0.15"/>
    <row r="2487" s="120" customFormat="1" x14ac:dyDescent="0.15"/>
    <row r="2488" s="120" customFormat="1" x14ac:dyDescent="0.15"/>
    <row r="2489" s="120" customFormat="1" x14ac:dyDescent="0.15"/>
    <row r="2490" s="120" customFormat="1" x14ac:dyDescent="0.15"/>
    <row r="2491" s="120" customFormat="1" x14ac:dyDescent="0.15"/>
    <row r="2492" s="120" customFormat="1" x14ac:dyDescent="0.15"/>
    <row r="2493" s="120" customFormat="1" x14ac:dyDescent="0.15"/>
    <row r="2494" s="120" customFormat="1" x14ac:dyDescent="0.15"/>
    <row r="2495" s="120" customFormat="1" x14ac:dyDescent="0.15"/>
    <row r="2496" s="120" customFormat="1" x14ac:dyDescent="0.15"/>
    <row r="2497" s="120" customFormat="1" x14ac:dyDescent="0.15"/>
    <row r="2498" s="120" customFormat="1" x14ac:dyDescent="0.15"/>
    <row r="2499" s="120" customFormat="1" x14ac:dyDescent="0.15"/>
    <row r="2500" s="120" customFormat="1" x14ac:dyDescent="0.15"/>
    <row r="2501" s="120" customFormat="1" x14ac:dyDescent="0.15"/>
    <row r="2502" s="120" customFormat="1" x14ac:dyDescent="0.15"/>
    <row r="2503" s="120" customFormat="1" x14ac:dyDescent="0.15"/>
    <row r="2504" s="120" customFormat="1" x14ac:dyDescent="0.15"/>
    <row r="2505" s="120" customFormat="1" x14ac:dyDescent="0.15"/>
    <row r="2506" s="120" customFormat="1" x14ac:dyDescent="0.15"/>
    <row r="2507" s="120" customFormat="1" x14ac:dyDescent="0.15"/>
    <row r="2508" s="120" customFormat="1" x14ac:dyDescent="0.15"/>
    <row r="2509" s="120" customFormat="1" x14ac:dyDescent="0.15"/>
    <row r="2510" s="120" customFormat="1" x14ac:dyDescent="0.15"/>
    <row r="2511" s="120" customFormat="1" x14ac:dyDescent="0.15"/>
    <row r="2512" s="120" customFormat="1" x14ac:dyDescent="0.15"/>
    <row r="2513" s="120" customFormat="1" x14ac:dyDescent="0.15"/>
    <row r="2514" s="120" customFormat="1" x14ac:dyDescent="0.15"/>
    <row r="2515" s="120" customFormat="1" x14ac:dyDescent="0.15"/>
    <row r="2516" s="120" customFormat="1" x14ac:dyDescent="0.15"/>
    <row r="2517" s="120" customFormat="1" x14ac:dyDescent="0.15"/>
    <row r="2518" s="120" customFormat="1" x14ac:dyDescent="0.15"/>
    <row r="2519" s="120" customFormat="1" x14ac:dyDescent="0.15"/>
    <row r="2520" s="120" customFormat="1" x14ac:dyDescent="0.15"/>
    <row r="2521" s="120" customFormat="1" x14ac:dyDescent="0.15"/>
    <row r="2522" s="120" customFormat="1" x14ac:dyDescent="0.15"/>
    <row r="2523" s="120" customFormat="1" x14ac:dyDescent="0.15"/>
    <row r="2524" s="120" customFormat="1" x14ac:dyDescent="0.15"/>
    <row r="2525" s="120" customFormat="1" x14ac:dyDescent="0.15"/>
    <row r="2526" s="120" customFormat="1" x14ac:dyDescent="0.15"/>
    <row r="2527" s="120" customFormat="1" x14ac:dyDescent="0.15"/>
    <row r="2528" s="120" customFormat="1" x14ac:dyDescent="0.15"/>
    <row r="2529" s="120" customFormat="1" x14ac:dyDescent="0.15"/>
    <row r="2530" s="120" customFormat="1" x14ac:dyDescent="0.15"/>
    <row r="2531" s="120" customFormat="1" x14ac:dyDescent="0.15"/>
    <row r="2532" s="120" customFormat="1" x14ac:dyDescent="0.15"/>
    <row r="2533" s="120" customFormat="1" x14ac:dyDescent="0.15"/>
    <row r="2534" s="120" customFormat="1" x14ac:dyDescent="0.15"/>
    <row r="2535" s="120" customFormat="1" x14ac:dyDescent="0.15"/>
    <row r="2536" s="120" customFormat="1" x14ac:dyDescent="0.15"/>
    <row r="2537" s="120" customFormat="1" x14ac:dyDescent="0.15"/>
    <row r="2538" s="120" customFormat="1" x14ac:dyDescent="0.15"/>
    <row r="2539" s="120" customFormat="1" x14ac:dyDescent="0.15"/>
    <row r="2540" s="120" customFormat="1" x14ac:dyDescent="0.15"/>
    <row r="2541" s="120" customFormat="1" x14ac:dyDescent="0.15"/>
    <row r="2542" s="120" customFormat="1" x14ac:dyDescent="0.15"/>
    <row r="2543" s="120" customFormat="1" x14ac:dyDescent="0.15"/>
    <row r="2544" s="120" customFormat="1" x14ac:dyDescent="0.15"/>
    <row r="2545" s="120" customFormat="1" x14ac:dyDescent="0.15"/>
    <row r="2546" s="120" customFormat="1" x14ac:dyDescent="0.15"/>
    <row r="2547" s="120" customFormat="1" x14ac:dyDescent="0.15"/>
    <row r="2548" s="120" customFormat="1" x14ac:dyDescent="0.15"/>
    <row r="2549" s="120" customFormat="1" x14ac:dyDescent="0.15"/>
    <row r="2550" s="120" customFormat="1" x14ac:dyDescent="0.15"/>
    <row r="2551" s="120" customFormat="1" x14ac:dyDescent="0.15"/>
    <row r="2552" s="120" customFormat="1" x14ac:dyDescent="0.15"/>
    <row r="2553" s="120" customFormat="1" x14ac:dyDescent="0.15"/>
    <row r="2554" s="120" customFormat="1" x14ac:dyDescent="0.15"/>
    <row r="2555" s="120" customFormat="1" x14ac:dyDescent="0.15"/>
    <row r="2556" s="120" customFormat="1" x14ac:dyDescent="0.15"/>
    <row r="2557" s="120" customFormat="1" x14ac:dyDescent="0.15"/>
    <row r="2558" s="120" customFormat="1" x14ac:dyDescent="0.15"/>
    <row r="2559" s="120" customFormat="1" x14ac:dyDescent="0.15"/>
    <row r="2560" s="120" customFormat="1" x14ac:dyDescent="0.15"/>
    <row r="2561" s="120" customFormat="1" x14ac:dyDescent="0.15"/>
    <row r="2562" s="120" customFormat="1" x14ac:dyDescent="0.15"/>
    <row r="2563" s="120" customFormat="1" x14ac:dyDescent="0.15"/>
    <row r="2564" s="120" customFormat="1" x14ac:dyDescent="0.15"/>
    <row r="2565" s="120" customFormat="1" x14ac:dyDescent="0.15"/>
    <row r="2566" s="120" customFormat="1" x14ac:dyDescent="0.15"/>
    <row r="2567" s="120" customFormat="1" x14ac:dyDescent="0.15"/>
    <row r="2568" s="120" customFormat="1" x14ac:dyDescent="0.15"/>
    <row r="2569" s="120" customFormat="1" x14ac:dyDescent="0.15"/>
    <row r="2570" s="120" customFormat="1" x14ac:dyDescent="0.15"/>
    <row r="2571" s="120" customFormat="1" x14ac:dyDescent="0.15"/>
    <row r="2572" s="120" customFormat="1" x14ac:dyDescent="0.15"/>
    <row r="2573" s="120" customFormat="1" x14ac:dyDescent="0.15"/>
    <row r="2574" s="120" customFormat="1" x14ac:dyDescent="0.15"/>
    <row r="2575" s="120" customFormat="1" x14ac:dyDescent="0.15"/>
    <row r="2576" s="120" customFormat="1" x14ac:dyDescent="0.15"/>
    <row r="2577" s="120" customFormat="1" x14ac:dyDescent="0.15"/>
    <row r="2578" s="120" customFormat="1" x14ac:dyDescent="0.15"/>
    <row r="2579" s="120" customFormat="1" x14ac:dyDescent="0.15"/>
    <row r="2580" s="120" customFormat="1" x14ac:dyDescent="0.15"/>
    <row r="2581" s="120" customFormat="1" x14ac:dyDescent="0.15"/>
    <row r="2582" s="120" customFormat="1" x14ac:dyDescent="0.15"/>
    <row r="2583" s="120" customFormat="1" x14ac:dyDescent="0.15"/>
    <row r="2584" s="120" customFormat="1" x14ac:dyDescent="0.15"/>
    <row r="2585" s="120" customFormat="1" x14ac:dyDescent="0.15"/>
    <row r="2586" s="120" customFormat="1" x14ac:dyDescent="0.15"/>
    <row r="2587" s="120" customFormat="1" x14ac:dyDescent="0.15"/>
    <row r="2588" s="120" customFormat="1" x14ac:dyDescent="0.15"/>
    <row r="2589" s="120" customFormat="1" x14ac:dyDescent="0.15"/>
    <row r="2590" s="120" customFormat="1" x14ac:dyDescent="0.15"/>
    <row r="2591" s="120" customFormat="1" x14ac:dyDescent="0.15"/>
    <row r="2592" s="120" customFormat="1" x14ac:dyDescent="0.15"/>
    <row r="2593" s="120" customFormat="1" x14ac:dyDescent="0.15"/>
    <row r="2594" s="120" customFormat="1" x14ac:dyDescent="0.15"/>
    <row r="2595" s="120" customFormat="1" x14ac:dyDescent="0.15"/>
    <row r="2596" s="120" customFormat="1" x14ac:dyDescent="0.15"/>
    <row r="2597" s="120" customFormat="1" x14ac:dyDescent="0.15"/>
    <row r="2598" s="120" customFormat="1" x14ac:dyDescent="0.15"/>
    <row r="2599" s="120" customFormat="1" x14ac:dyDescent="0.15"/>
    <row r="2600" s="120" customFormat="1" x14ac:dyDescent="0.15"/>
    <row r="2601" s="120" customFormat="1" x14ac:dyDescent="0.15"/>
    <row r="2602" s="120" customFormat="1" x14ac:dyDescent="0.15"/>
    <row r="2603" s="120" customFormat="1" x14ac:dyDescent="0.15"/>
    <row r="2604" s="120" customFormat="1" x14ac:dyDescent="0.15"/>
    <row r="2605" s="120" customFormat="1" x14ac:dyDescent="0.15"/>
    <row r="2606" s="120" customFormat="1" x14ac:dyDescent="0.15"/>
    <row r="2607" s="120" customFormat="1" x14ac:dyDescent="0.15"/>
    <row r="2608" s="120" customFormat="1" x14ac:dyDescent="0.15"/>
    <row r="2609" s="120" customFormat="1" x14ac:dyDescent="0.15"/>
    <row r="2610" s="120" customFormat="1" x14ac:dyDescent="0.15"/>
    <row r="2611" s="120" customFormat="1" x14ac:dyDescent="0.15"/>
    <row r="2612" s="120" customFormat="1" x14ac:dyDescent="0.15"/>
    <row r="2613" s="120" customFormat="1" x14ac:dyDescent="0.15"/>
    <row r="2614" s="120" customFormat="1" x14ac:dyDescent="0.15"/>
    <row r="2615" s="120" customFormat="1" x14ac:dyDescent="0.15"/>
    <row r="2616" s="120" customFormat="1" x14ac:dyDescent="0.15"/>
    <row r="2617" s="120" customFormat="1" x14ac:dyDescent="0.15"/>
    <row r="2618" s="120" customFormat="1" x14ac:dyDescent="0.15"/>
    <row r="2619" s="120" customFormat="1" x14ac:dyDescent="0.15"/>
    <row r="2620" s="120" customFormat="1" x14ac:dyDescent="0.15"/>
    <row r="2621" s="120" customFormat="1" x14ac:dyDescent="0.15"/>
    <row r="2622" s="120" customFormat="1" x14ac:dyDescent="0.15"/>
    <row r="2623" s="120" customFormat="1" x14ac:dyDescent="0.15"/>
    <row r="2624" s="120" customFormat="1" x14ac:dyDescent="0.15"/>
    <row r="2625" s="120" customFormat="1" x14ac:dyDescent="0.15"/>
    <row r="2626" s="120" customFormat="1" x14ac:dyDescent="0.15"/>
    <row r="2627" s="120" customFormat="1" x14ac:dyDescent="0.15"/>
    <row r="2628" s="120" customFormat="1" x14ac:dyDescent="0.15"/>
    <row r="2629" s="120" customFormat="1" x14ac:dyDescent="0.15"/>
    <row r="2630" s="120" customFormat="1" x14ac:dyDescent="0.15"/>
    <row r="2631" s="120" customFormat="1" x14ac:dyDescent="0.15"/>
    <row r="2632" s="120" customFormat="1" x14ac:dyDescent="0.15"/>
    <row r="2633" s="120" customFormat="1" x14ac:dyDescent="0.15"/>
    <row r="2634" s="120" customFormat="1" x14ac:dyDescent="0.15"/>
    <row r="2635" s="120" customFormat="1" x14ac:dyDescent="0.15"/>
    <row r="2636" s="120" customFormat="1" x14ac:dyDescent="0.15"/>
    <row r="2637" s="120" customFormat="1" x14ac:dyDescent="0.15"/>
    <row r="2638" s="120" customFormat="1" x14ac:dyDescent="0.15"/>
    <row r="2639" s="120" customFormat="1" x14ac:dyDescent="0.15"/>
    <row r="2640" s="120" customFormat="1" x14ac:dyDescent="0.15"/>
    <row r="2641" s="120" customFormat="1" x14ac:dyDescent="0.15"/>
    <row r="2642" s="120" customFormat="1" x14ac:dyDescent="0.15"/>
    <row r="2643" s="120" customFormat="1" x14ac:dyDescent="0.15"/>
    <row r="2644" s="120" customFormat="1" x14ac:dyDescent="0.15"/>
    <row r="2645" s="120" customFormat="1" x14ac:dyDescent="0.15"/>
    <row r="2646" s="120" customFormat="1" x14ac:dyDescent="0.15"/>
    <row r="2647" s="120" customFormat="1" x14ac:dyDescent="0.15"/>
    <row r="2648" s="120" customFormat="1" x14ac:dyDescent="0.15"/>
    <row r="2649" s="120" customFormat="1" x14ac:dyDescent="0.15"/>
    <row r="2650" s="120" customFormat="1" x14ac:dyDescent="0.15"/>
    <row r="2651" s="120" customFormat="1" x14ac:dyDescent="0.15"/>
    <row r="2652" s="120" customFormat="1" x14ac:dyDescent="0.15"/>
    <row r="2653" s="120" customFormat="1" x14ac:dyDescent="0.15"/>
    <row r="2654" s="120" customFormat="1" x14ac:dyDescent="0.15"/>
    <row r="2655" s="120" customFormat="1" x14ac:dyDescent="0.15"/>
    <row r="2656" s="120" customFormat="1" x14ac:dyDescent="0.15"/>
    <row r="2657" s="120" customFormat="1" x14ac:dyDescent="0.15"/>
    <row r="2658" s="120" customFormat="1" x14ac:dyDescent="0.15"/>
    <row r="2659" s="120" customFormat="1" x14ac:dyDescent="0.15"/>
    <row r="2660" s="120" customFormat="1" x14ac:dyDescent="0.15"/>
    <row r="2661" s="120" customFormat="1" x14ac:dyDescent="0.15"/>
    <row r="2662" s="120" customFormat="1" x14ac:dyDescent="0.15"/>
    <row r="2663" s="120" customFormat="1" x14ac:dyDescent="0.15"/>
    <row r="2664" s="120" customFormat="1" x14ac:dyDescent="0.15"/>
    <row r="2665" s="120" customFormat="1" x14ac:dyDescent="0.15"/>
    <row r="2666" s="120" customFormat="1" x14ac:dyDescent="0.15"/>
    <row r="2667" s="120" customFormat="1" x14ac:dyDescent="0.15"/>
    <row r="2668" s="120" customFormat="1" x14ac:dyDescent="0.15"/>
    <row r="2669" s="120" customFormat="1" x14ac:dyDescent="0.15"/>
    <row r="2670" s="120" customFormat="1" x14ac:dyDescent="0.15"/>
    <row r="2671" s="120" customFormat="1" x14ac:dyDescent="0.15"/>
    <row r="2672" s="120" customFormat="1" x14ac:dyDescent="0.15"/>
    <row r="2673" s="120" customFormat="1" x14ac:dyDescent="0.15"/>
    <row r="2674" s="120" customFormat="1" x14ac:dyDescent="0.15"/>
    <row r="2675" s="120" customFormat="1" x14ac:dyDescent="0.15"/>
    <row r="2676" s="120" customFormat="1" x14ac:dyDescent="0.15"/>
    <row r="2677" s="120" customFormat="1" x14ac:dyDescent="0.15"/>
    <row r="2678" s="120" customFormat="1" x14ac:dyDescent="0.15"/>
    <row r="2679" s="120" customFormat="1" x14ac:dyDescent="0.15"/>
    <row r="2680" s="120" customFormat="1" x14ac:dyDescent="0.15"/>
    <row r="2681" s="120" customFormat="1" x14ac:dyDescent="0.15"/>
    <row r="2682" s="120" customFormat="1" x14ac:dyDescent="0.15"/>
    <row r="2683" s="120" customFormat="1" x14ac:dyDescent="0.15"/>
    <row r="2684" s="120" customFormat="1" x14ac:dyDescent="0.15"/>
    <row r="2685" s="120" customFormat="1" x14ac:dyDescent="0.15"/>
    <row r="2686" s="120" customFormat="1" x14ac:dyDescent="0.15"/>
    <row r="2687" s="120" customFormat="1" x14ac:dyDescent="0.15"/>
    <row r="2688" s="120" customFormat="1" x14ac:dyDescent="0.15"/>
    <row r="2689" s="120" customFormat="1" x14ac:dyDescent="0.15"/>
    <row r="2690" s="120" customFormat="1" x14ac:dyDescent="0.15"/>
    <row r="2691" s="120" customFormat="1" x14ac:dyDescent="0.15"/>
    <row r="2692" s="120" customFormat="1" x14ac:dyDescent="0.15"/>
    <row r="2693" s="120" customFormat="1" x14ac:dyDescent="0.15"/>
    <row r="2694" s="120" customFormat="1" x14ac:dyDescent="0.15"/>
    <row r="2695" s="120" customFormat="1" x14ac:dyDescent="0.15"/>
    <row r="2696" s="120" customFormat="1" x14ac:dyDescent="0.15"/>
    <row r="2697" s="120" customFormat="1" x14ac:dyDescent="0.15"/>
    <row r="2698" s="120" customFormat="1" x14ac:dyDescent="0.15"/>
    <row r="2699" s="120" customFormat="1" x14ac:dyDescent="0.15"/>
    <row r="2700" s="120" customFormat="1" x14ac:dyDescent="0.15"/>
    <row r="2701" s="120" customFormat="1" x14ac:dyDescent="0.15"/>
    <row r="2702" s="120" customFormat="1" x14ac:dyDescent="0.15"/>
    <row r="2703" s="120" customFormat="1" x14ac:dyDescent="0.15"/>
    <row r="2704" s="120" customFormat="1" x14ac:dyDescent="0.15"/>
    <row r="2705" s="120" customFormat="1" x14ac:dyDescent="0.15"/>
    <row r="2706" s="120" customFormat="1" x14ac:dyDescent="0.15"/>
    <row r="2707" s="120" customFormat="1" x14ac:dyDescent="0.15"/>
    <row r="2708" s="120" customFormat="1" x14ac:dyDescent="0.15"/>
    <row r="2709" s="120" customFormat="1" x14ac:dyDescent="0.15"/>
    <row r="2710" s="120" customFormat="1" x14ac:dyDescent="0.15"/>
    <row r="2711" s="120" customFormat="1" x14ac:dyDescent="0.15"/>
    <row r="2712" s="120" customFormat="1" x14ac:dyDescent="0.15"/>
    <row r="2713" s="120" customFormat="1" x14ac:dyDescent="0.15"/>
    <row r="2714" s="120" customFormat="1" x14ac:dyDescent="0.15"/>
    <row r="2715" s="120" customFormat="1" x14ac:dyDescent="0.15"/>
    <row r="2716" s="120" customFormat="1" x14ac:dyDescent="0.15"/>
    <row r="2717" s="120" customFormat="1" x14ac:dyDescent="0.15"/>
    <row r="2718" s="120" customFormat="1" x14ac:dyDescent="0.15"/>
    <row r="2719" s="120" customFormat="1" x14ac:dyDescent="0.15"/>
    <row r="2720" s="120" customFormat="1" x14ac:dyDescent="0.15"/>
    <row r="2721" s="120" customFormat="1" x14ac:dyDescent="0.15"/>
    <row r="2722" s="120" customFormat="1" x14ac:dyDescent="0.15"/>
    <row r="2723" s="120" customFormat="1" x14ac:dyDescent="0.15"/>
    <row r="2724" s="120" customFormat="1" x14ac:dyDescent="0.15"/>
    <row r="2725" s="120" customFormat="1" x14ac:dyDescent="0.15"/>
    <row r="2726" s="120" customFormat="1" x14ac:dyDescent="0.15"/>
    <row r="2727" s="120" customFormat="1" x14ac:dyDescent="0.15"/>
    <row r="2728" s="120" customFormat="1" x14ac:dyDescent="0.15"/>
    <row r="2729" s="120" customFormat="1" x14ac:dyDescent="0.15"/>
    <row r="2730" s="120" customFormat="1" x14ac:dyDescent="0.15"/>
    <row r="2731" s="120" customFormat="1" x14ac:dyDescent="0.15"/>
    <row r="2732" s="120" customFormat="1" x14ac:dyDescent="0.15"/>
    <row r="2733" s="120" customFormat="1" x14ac:dyDescent="0.15"/>
    <row r="2734" s="120" customFormat="1" x14ac:dyDescent="0.15"/>
    <row r="2735" s="120" customFormat="1" x14ac:dyDescent="0.15"/>
    <row r="2736" s="120" customFormat="1" x14ac:dyDescent="0.15"/>
    <row r="2737" s="120" customFormat="1" x14ac:dyDescent="0.15"/>
    <row r="2738" s="120" customFormat="1" x14ac:dyDescent="0.15"/>
    <row r="2739" s="120" customFormat="1" x14ac:dyDescent="0.15"/>
    <row r="2740" s="120" customFormat="1" x14ac:dyDescent="0.15"/>
    <row r="2741" s="120" customFormat="1" x14ac:dyDescent="0.15"/>
    <row r="2742" s="120" customFormat="1" x14ac:dyDescent="0.15"/>
    <row r="2743" s="120" customFormat="1" x14ac:dyDescent="0.15"/>
    <row r="2744" s="120" customFormat="1" x14ac:dyDescent="0.15"/>
    <row r="2745" s="120" customFormat="1" x14ac:dyDescent="0.15"/>
    <row r="2746" s="120" customFormat="1" x14ac:dyDescent="0.15"/>
    <row r="2747" s="120" customFormat="1" x14ac:dyDescent="0.15"/>
    <row r="2748" s="120" customFormat="1" x14ac:dyDescent="0.15"/>
    <row r="2749" s="120" customFormat="1" x14ac:dyDescent="0.15"/>
    <row r="2750" s="120" customFormat="1" x14ac:dyDescent="0.15"/>
    <row r="2751" s="120" customFormat="1" x14ac:dyDescent="0.15"/>
    <row r="2752" s="120" customFormat="1" x14ac:dyDescent="0.15"/>
    <row r="2753" s="120" customFormat="1" x14ac:dyDescent="0.15"/>
    <row r="2754" s="120" customFormat="1" x14ac:dyDescent="0.15"/>
    <row r="2755" s="120" customFormat="1" x14ac:dyDescent="0.15"/>
    <row r="2756" s="120" customFormat="1" x14ac:dyDescent="0.15"/>
    <row r="2757" s="120" customFormat="1" x14ac:dyDescent="0.15"/>
    <row r="2758" s="120" customFormat="1" x14ac:dyDescent="0.15"/>
    <row r="2759" s="120" customFormat="1" x14ac:dyDescent="0.15"/>
    <row r="2760" s="120" customFormat="1" x14ac:dyDescent="0.15"/>
    <row r="2761" s="120" customFormat="1" x14ac:dyDescent="0.15"/>
    <row r="2762" s="120" customFormat="1" x14ac:dyDescent="0.15"/>
    <row r="2763" s="120" customFormat="1" x14ac:dyDescent="0.15"/>
    <row r="2764" s="120" customFormat="1" x14ac:dyDescent="0.15"/>
    <row r="2765" s="120" customFormat="1" x14ac:dyDescent="0.15"/>
    <row r="2766" s="120" customFormat="1" x14ac:dyDescent="0.15"/>
    <row r="2767" s="120" customFormat="1" x14ac:dyDescent="0.15"/>
    <row r="2768" s="120" customFormat="1" x14ac:dyDescent="0.15"/>
    <row r="2769" s="120" customFormat="1" x14ac:dyDescent="0.15"/>
    <row r="2770" s="120" customFormat="1" x14ac:dyDescent="0.15"/>
    <row r="2771" s="120" customFormat="1" x14ac:dyDescent="0.15"/>
    <row r="2772" s="120" customFormat="1" x14ac:dyDescent="0.15"/>
    <row r="2773" s="120" customFormat="1" x14ac:dyDescent="0.15"/>
    <row r="2774" s="120" customFormat="1" x14ac:dyDescent="0.15"/>
    <row r="2775" s="120" customFormat="1" x14ac:dyDescent="0.15"/>
    <row r="2776" s="120" customFormat="1" x14ac:dyDescent="0.15"/>
    <row r="2777" s="120" customFormat="1" x14ac:dyDescent="0.15"/>
    <row r="2778" s="120" customFormat="1" x14ac:dyDescent="0.15"/>
    <row r="2779" s="120" customFormat="1" x14ac:dyDescent="0.15"/>
    <row r="2780" s="120" customFormat="1" x14ac:dyDescent="0.15"/>
    <row r="2781" s="120" customFormat="1" x14ac:dyDescent="0.15"/>
    <row r="2782" s="120" customFormat="1" x14ac:dyDescent="0.15"/>
    <row r="2783" s="120" customFormat="1" x14ac:dyDescent="0.15"/>
    <row r="2784" s="120" customFormat="1" x14ac:dyDescent="0.15"/>
    <row r="2785" s="120" customFormat="1" x14ac:dyDescent="0.15"/>
    <row r="2786" s="120" customFormat="1" x14ac:dyDescent="0.15"/>
    <row r="2787" s="120" customFormat="1" x14ac:dyDescent="0.15"/>
    <row r="2788" s="120" customFormat="1" x14ac:dyDescent="0.15"/>
    <row r="2789" s="120" customFormat="1" x14ac:dyDescent="0.15"/>
    <row r="2790" s="120" customFormat="1" x14ac:dyDescent="0.15"/>
    <row r="2791" s="120" customFormat="1" x14ac:dyDescent="0.15"/>
    <row r="2792" s="120" customFormat="1" x14ac:dyDescent="0.15"/>
    <row r="2793" s="120" customFormat="1" x14ac:dyDescent="0.15"/>
    <row r="2794" s="120" customFormat="1" x14ac:dyDescent="0.15"/>
    <row r="2795" s="120" customFormat="1" x14ac:dyDescent="0.15"/>
    <row r="2796" s="120" customFormat="1" x14ac:dyDescent="0.15"/>
    <row r="2797" s="120" customFormat="1" x14ac:dyDescent="0.15"/>
    <row r="2798" s="120" customFormat="1" x14ac:dyDescent="0.15"/>
    <row r="2799" s="120" customFormat="1" x14ac:dyDescent="0.15"/>
    <row r="2800" s="120" customFormat="1" x14ac:dyDescent="0.15"/>
    <row r="2801" s="120" customFormat="1" x14ac:dyDescent="0.15"/>
    <row r="2802" s="120" customFormat="1" x14ac:dyDescent="0.15"/>
    <row r="2803" s="120" customFormat="1" x14ac:dyDescent="0.15"/>
    <row r="2804" s="120" customFormat="1" x14ac:dyDescent="0.15"/>
    <row r="2805" s="120" customFormat="1" x14ac:dyDescent="0.15"/>
    <row r="2806" s="120" customFormat="1" x14ac:dyDescent="0.15"/>
    <row r="2807" s="120" customFormat="1" x14ac:dyDescent="0.15"/>
    <row r="2808" s="120" customFormat="1" x14ac:dyDescent="0.15"/>
    <row r="2809" s="120" customFormat="1" x14ac:dyDescent="0.15"/>
    <row r="2810" s="120" customFormat="1" x14ac:dyDescent="0.15"/>
    <row r="2811" s="120" customFormat="1" x14ac:dyDescent="0.15"/>
    <row r="2812" s="120" customFormat="1" x14ac:dyDescent="0.15"/>
    <row r="2813" s="120" customFormat="1" x14ac:dyDescent="0.15"/>
    <row r="2814" s="120" customFormat="1" x14ac:dyDescent="0.15"/>
    <row r="2815" s="120" customFormat="1" x14ac:dyDescent="0.15"/>
    <row r="2816" s="120" customFormat="1" x14ac:dyDescent="0.15"/>
    <row r="2817" s="120" customFormat="1" x14ac:dyDescent="0.15"/>
    <row r="2818" s="120" customFormat="1" x14ac:dyDescent="0.15"/>
    <row r="2819" s="120" customFormat="1" x14ac:dyDescent="0.15"/>
    <row r="2820" s="120" customFormat="1" x14ac:dyDescent="0.15"/>
    <row r="2821" s="120" customFormat="1" x14ac:dyDescent="0.15"/>
    <row r="2822" s="120" customFormat="1" x14ac:dyDescent="0.15"/>
    <row r="2823" s="120" customFormat="1" x14ac:dyDescent="0.15"/>
    <row r="2824" s="120" customFormat="1" x14ac:dyDescent="0.15"/>
    <row r="2825" s="120" customFormat="1" x14ac:dyDescent="0.15"/>
    <row r="2826" s="120" customFormat="1" x14ac:dyDescent="0.15"/>
    <row r="2827" s="120" customFormat="1" x14ac:dyDescent="0.15"/>
    <row r="2828" s="120" customFormat="1" x14ac:dyDescent="0.15"/>
    <row r="2829" s="120" customFormat="1" x14ac:dyDescent="0.15"/>
    <row r="2830" s="120" customFormat="1" x14ac:dyDescent="0.15"/>
    <row r="2831" s="120" customFormat="1" x14ac:dyDescent="0.15"/>
    <row r="2832" s="120" customFormat="1" x14ac:dyDescent="0.15"/>
    <row r="2833" s="120" customFormat="1" x14ac:dyDescent="0.15"/>
    <row r="2834" s="120" customFormat="1" x14ac:dyDescent="0.15"/>
    <row r="2835" s="120" customFormat="1" x14ac:dyDescent="0.15"/>
    <row r="2836" s="120" customFormat="1" x14ac:dyDescent="0.15"/>
    <row r="2837" s="120" customFormat="1" x14ac:dyDescent="0.15"/>
    <row r="2838" s="120" customFormat="1" x14ac:dyDescent="0.15"/>
    <row r="2839" s="120" customFormat="1" x14ac:dyDescent="0.15"/>
    <row r="2840" s="120" customFormat="1" x14ac:dyDescent="0.15"/>
    <row r="2841" s="120" customFormat="1" x14ac:dyDescent="0.15"/>
    <row r="2842" s="120" customFormat="1" x14ac:dyDescent="0.15"/>
    <row r="2843" s="120" customFormat="1" x14ac:dyDescent="0.15"/>
    <row r="2844" s="120" customFormat="1" x14ac:dyDescent="0.15"/>
    <row r="2845" s="120" customFormat="1" x14ac:dyDescent="0.15"/>
    <row r="2846" s="120" customFormat="1" x14ac:dyDescent="0.15"/>
    <row r="2847" s="120" customFormat="1" x14ac:dyDescent="0.15"/>
    <row r="2848" s="120" customFormat="1" x14ac:dyDescent="0.15"/>
    <row r="2849" s="120" customFormat="1" x14ac:dyDescent="0.15"/>
    <row r="2850" s="120" customFormat="1" x14ac:dyDescent="0.15"/>
    <row r="2851" s="120" customFormat="1" x14ac:dyDescent="0.15"/>
    <row r="2852" s="120" customFormat="1" x14ac:dyDescent="0.15"/>
    <row r="2853" s="120" customFormat="1" x14ac:dyDescent="0.15"/>
    <row r="2854" s="120" customFormat="1" x14ac:dyDescent="0.15"/>
    <row r="2855" s="120" customFormat="1" x14ac:dyDescent="0.15"/>
    <row r="2856" s="120" customFormat="1" x14ac:dyDescent="0.15"/>
    <row r="2857" s="120" customFormat="1" x14ac:dyDescent="0.15"/>
    <row r="2858" s="120" customFormat="1" x14ac:dyDescent="0.15"/>
    <row r="2859" s="120" customFormat="1" x14ac:dyDescent="0.15"/>
    <row r="2860" s="120" customFormat="1" x14ac:dyDescent="0.15"/>
    <row r="2861" s="120" customFormat="1" x14ac:dyDescent="0.15"/>
    <row r="2862" s="120" customFormat="1" x14ac:dyDescent="0.15"/>
    <row r="2863" s="120" customFormat="1" x14ac:dyDescent="0.15"/>
    <row r="2864" s="120" customFormat="1" x14ac:dyDescent="0.15"/>
    <row r="2865" s="120" customFormat="1" x14ac:dyDescent="0.15"/>
    <row r="2866" s="120" customFormat="1" x14ac:dyDescent="0.15"/>
    <row r="2867" s="120" customFormat="1" x14ac:dyDescent="0.15"/>
    <row r="2868" s="120" customFormat="1" x14ac:dyDescent="0.15"/>
    <row r="2869" s="120" customFormat="1" x14ac:dyDescent="0.15"/>
    <row r="2870" s="120" customFormat="1" x14ac:dyDescent="0.15"/>
    <row r="2871" s="120" customFormat="1" x14ac:dyDescent="0.15"/>
    <row r="2872" s="120" customFormat="1" x14ac:dyDescent="0.15"/>
    <row r="2873" s="120" customFormat="1" x14ac:dyDescent="0.15"/>
    <row r="2874" s="120" customFormat="1" x14ac:dyDescent="0.15"/>
    <row r="2875" s="120" customFormat="1" x14ac:dyDescent="0.15"/>
    <row r="2876" s="120" customFormat="1" x14ac:dyDescent="0.15"/>
    <row r="2877" s="120" customFormat="1" x14ac:dyDescent="0.15"/>
    <row r="2878" s="120" customFormat="1" x14ac:dyDescent="0.15"/>
    <row r="2879" s="120" customFormat="1" x14ac:dyDescent="0.15"/>
    <row r="2880" s="120" customFormat="1" x14ac:dyDescent="0.15"/>
    <row r="2881" s="120" customFormat="1" x14ac:dyDescent="0.15"/>
    <row r="2882" s="120" customFormat="1" x14ac:dyDescent="0.15"/>
    <row r="2883" s="120" customFormat="1" x14ac:dyDescent="0.15"/>
    <row r="2884" s="120" customFormat="1" x14ac:dyDescent="0.15"/>
    <row r="2885" s="120" customFormat="1" x14ac:dyDescent="0.15"/>
    <row r="2886" s="120" customFormat="1" x14ac:dyDescent="0.15"/>
    <row r="2887" s="120" customFormat="1" x14ac:dyDescent="0.15"/>
    <row r="2888" s="120" customFormat="1" x14ac:dyDescent="0.15"/>
    <row r="2889" s="120" customFormat="1" x14ac:dyDescent="0.15"/>
    <row r="2890" s="120" customFormat="1" x14ac:dyDescent="0.15"/>
    <row r="2891" s="120" customFormat="1" x14ac:dyDescent="0.15"/>
    <row r="2892" s="120" customFormat="1" x14ac:dyDescent="0.15"/>
    <row r="2893" s="120" customFormat="1" x14ac:dyDescent="0.15"/>
    <row r="2894" s="120" customFormat="1" x14ac:dyDescent="0.15"/>
    <row r="2895" s="120" customFormat="1" x14ac:dyDescent="0.15"/>
    <row r="2896" s="120" customFormat="1" x14ac:dyDescent="0.15"/>
    <row r="2897" s="120" customFormat="1" x14ac:dyDescent="0.15"/>
    <row r="2898" s="120" customFormat="1" x14ac:dyDescent="0.15"/>
    <row r="2899" s="120" customFormat="1" x14ac:dyDescent="0.15"/>
    <row r="2900" s="120" customFormat="1" x14ac:dyDescent="0.15"/>
    <row r="2901" s="120" customFormat="1" x14ac:dyDescent="0.15"/>
    <row r="2902" s="120" customFormat="1" x14ac:dyDescent="0.15"/>
    <row r="2903" s="120" customFormat="1" x14ac:dyDescent="0.15"/>
    <row r="2904" s="120" customFormat="1" x14ac:dyDescent="0.15"/>
    <row r="2905" s="120" customFormat="1" x14ac:dyDescent="0.15"/>
    <row r="2906" s="120" customFormat="1" x14ac:dyDescent="0.15"/>
    <row r="2907" s="120" customFormat="1" x14ac:dyDescent="0.15"/>
    <row r="2908" s="120" customFormat="1" x14ac:dyDescent="0.15"/>
    <row r="2909" s="120" customFormat="1" x14ac:dyDescent="0.15"/>
    <row r="2910" s="120" customFormat="1" x14ac:dyDescent="0.15"/>
    <row r="2911" s="120" customFormat="1" x14ac:dyDescent="0.15"/>
    <row r="2912" s="120" customFormat="1" x14ac:dyDescent="0.15"/>
    <row r="2913" s="120" customFormat="1" x14ac:dyDescent="0.15"/>
    <row r="2914" s="120" customFormat="1" x14ac:dyDescent="0.15"/>
    <row r="2915" s="120" customFormat="1" x14ac:dyDescent="0.15"/>
    <row r="2916" s="120" customFormat="1" x14ac:dyDescent="0.15"/>
    <row r="2917" s="120" customFormat="1" x14ac:dyDescent="0.15"/>
    <row r="2918" s="120" customFormat="1" x14ac:dyDescent="0.15"/>
    <row r="2919" s="120" customFormat="1" x14ac:dyDescent="0.15"/>
    <row r="2920" s="120" customFormat="1" x14ac:dyDescent="0.15"/>
    <row r="2921" s="120" customFormat="1" x14ac:dyDescent="0.15"/>
    <row r="2922" s="120" customFormat="1" x14ac:dyDescent="0.15"/>
    <row r="2923" s="120" customFormat="1" x14ac:dyDescent="0.15"/>
    <row r="2924" s="120" customFormat="1" x14ac:dyDescent="0.15"/>
    <row r="2925" s="120" customFormat="1" x14ac:dyDescent="0.15"/>
    <row r="2926" s="120" customFormat="1" x14ac:dyDescent="0.15"/>
    <row r="2927" s="120" customFormat="1" x14ac:dyDescent="0.15"/>
    <row r="2928" s="120" customFormat="1" x14ac:dyDescent="0.15"/>
    <row r="2929" s="120" customFormat="1" x14ac:dyDescent="0.15"/>
    <row r="2930" s="120" customFormat="1" x14ac:dyDescent="0.15"/>
    <row r="2931" s="120" customFormat="1" x14ac:dyDescent="0.15"/>
    <row r="2932" s="120" customFormat="1" x14ac:dyDescent="0.15"/>
    <row r="2933" s="120" customFormat="1" x14ac:dyDescent="0.15"/>
    <row r="2934" s="120" customFormat="1" x14ac:dyDescent="0.15"/>
    <row r="2935" s="120" customFormat="1" x14ac:dyDescent="0.15"/>
    <row r="2936" s="120" customFormat="1" x14ac:dyDescent="0.15"/>
    <row r="2937" s="120" customFormat="1" x14ac:dyDescent="0.15"/>
    <row r="2938" s="120" customFormat="1" x14ac:dyDescent="0.15"/>
    <row r="2939" s="120" customFormat="1" x14ac:dyDescent="0.15"/>
    <row r="2940" s="120" customFormat="1" x14ac:dyDescent="0.15"/>
    <row r="2941" s="120" customFormat="1" x14ac:dyDescent="0.15"/>
    <row r="2942" s="120" customFormat="1" x14ac:dyDescent="0.15"/>
    <row r="2943" s="120" customFormat="1" x14ac:dyDescent="0.15"/>
    <row r="2944" s="120" customFormat="1" x14ac:dyDescent="0.15"/>
    <row r="2945" s="120" customFormat="1" x14ac:dyDescent="0.15"/>
    <row r="2946" s="120" customFormat="1" x14ac:dyDescent="0.15"/>
    <row r="2947" s="120" customFormat="1" x14ac:dyDescent="0.15"/>
    <row r="2948" s="120" customFormat="1" x14ac:dyDescent="0.15"/>
    <row r="2949" s="120" customFormat="1" x14ac:dyDescent="0.15"/>
    <row r="2950" s="120" customFormat="1" x14ac:dyDescent="0.15"/>
    <row r="2951" s="120" customFormat="1" x14ac:dyDescent="0.15"/>
    <row r="2952" s="120" customFormat="1" x14ac:dyDescent="0.15"/>
    <row r="2953" s="120" customFormat="1" x14ac:dyDescent="0.15"/>
  </sheetData>
  <mergeCells count="1104">
    <mergeCell ref="E109:G109"/>
    <mergeCell ref="H109:H110"/>
    <mergeCell ref="I109:I110"/>
    <mergeCell ref="J109:J110"/>
    <mergeCell ref="B111:C111"/>
    <mergeCell ref="B112:C112"/>
    <mergeCell ref="B113:C113"/>
    <mergeCell ref="B114:C114"/>
    <mergeCell ref="A115:J115"/>
    <mergeCell ref="B195:C195"/>
    <mergeCell ref="B178:C178"/>
    <mergeCell ref="B316:C316"/>
    <mergeCell ref="A147:Q147"/>
    <mergeCell ref="B148:N148"/>
    <mergeCell ref="P148:Q148"/>
    <mergeCell ref="A149:Q149"/>
    <mergeCell ref="A150:A151"/>
    <mergeCell ref="B150:C151"/>
    <mergeCell ref="D150:D151"/>
    <mergeCell ref="E150:G150"/>
    <mergeCell ref="H150:H151"/>
    <mergeCell ref="I150:I151"/>
    <mergeCell ref="J150:J151"/>
    <mergeCell ref="B152:C152"/>
    <mergeCell ref="B153:C153"/>
    <mergeCell ref="B154:C154"/>
    <mergeCell ref="A155:J155"/>
    <mergeCell ref="A131:Q131"/>
    <mergeCell ref="B132:N132"/>
    <mergeCell ref="P132:Q132"/>
    <mergeCell ref="A133:Q133"/>
    <mergeCell ref="A134:A135"/>
    <mergeCell ref="B134:C135"/>
    <mergeCell ref="D134:D135"/>
    <mergeCell ref="E134:G134"/>
    <mergeCell ref="H134:H135"/>
    <mergeCell ref="I134:I135"/>
    <mergeCell ref="J134:J135"/>
    <mergeCell ref="B136:C136"/>
    <mergeCell ref="A137:J137"/>
    <mergeCell ref="A620:J620"/>
    <mergeCell ref="B619:C619"/>
    <mergeCell ref="A628:Q628"/>
    <mergeCell ref="B629:N629"/>
    <mergeCell ref="P629:Q629"/>
    <mergeCell ref="I607:I608"/>
    <mergeCell ref="J607:J608"/>
    <mergeCell ref="B609:C609"/>
    <mergeCell ref="B610:C610"/>
    <mergeCell ref="B611:C611"/>
    <mergeCell ref="A612:J612"/>
    <mergeCell ref="A613:Q613"/>
    <mergeCell ref="B614:N614"/>
    <mergeCell ref="P614:Q614"/>
    <mergeCell ref="B565:C565"/>
    <mergeCell ref="A566:J566"/>
    <mergeCell ref="A574:Q574"/>
    <mergeCell ref="B575:N575"/>
    <mergeCell ref="P575:Q575"/>
    <mergeCell ref="A576:P576"/>
    <mergeCell ref="A577:A578"/>
    <mergeCell ref="B577:C578"/>
    <mergeCell ref="D577:D578"/>
    <mergeCell ref="E577:G577"/>
    <mergeCell ref="H631:H632"/>
    <mergeCell ref="I631:I632"/>
    <mergeCell ref="J631:J632"/>
    <mergeCell ref="A615:Q615"/>
    <mergeCell ref="A616:A617"/>
    <mergeCell ref="B616:C617"/>
    <mergeCell ref="D616:D617"/>
    <mergeCell ref="E616:G616"/>
    <mergeCell ref="H616:H617"/>
    <mergeCell ref="I616:I617"/>
    <mergeCell ref="J616:J617"/>
    <mergeCell ref="B618:C618"/>
    <mergeCell ref="A627:J627"/>
    <mergeCell ref="A624:A625"/>
    <mergeCell ref="B624:C625"/>
    <mergeCell ref="D624:D625"/>
    <mergeCell ref="E624:G624"/>
    <mergeCell ref="H624:H625"/>
    <mergeCell ref="I624:I625"/>
    <mergeCell ref="H577:H578"/>
    <mergeCell ref="I577:I578"/>
    <mergeCell ref="J577:J578"/>
    <mergeCell ref="A599:Q599"/>
    <mergeCell ref="A592:Q592"/>
    <mergeCell ref="A593:A594"/>
    <mergeCell ref="B593:C594"/>
    <mergeCell ref="D593:D594"/>
    <mergeCell ref="E593:G593"/>
    <mergeCell ref="H593:H594"/>
    <mergeCell ref="I593:I594"/>
    <mergeCell ref="J593:J594"/>
    <mergeCell ref="B588:C588"/>
    <mergeCell ref="A589:J589"/>
    <mergeCell ref="A586:A587"/>
    <mergeCell ref="B586:C587"/>
    <mergeCell ref="D586:G586"/>
    <mergeCell ref="H586:H587"/>
    <mergeCell ref="I586:I587"/>
    <mergeCell ref="J586:J587"/>
    <mergeCell ref="A583:Q583"/>
    <mergeCell ref="B584:N584"/>
    <mergeCell ref="P584:Q584"/>
    <mergeCell ref="A585:Q585"/>
    <mergeCell ref="B595:C595"/>
    <mergeCell ref="A596:J596"/>
    <mergeCell ref="A597:Q597"/>
    <mergeCell ref="B598:N598"/>
    <mergeCell ref="J570:J571"/>
    <mergeCell ref="B558:C558"/>
    <mergeCell ref="A559:J559"/>
    <mergeCell ref="A560:Q560"/>
    <mergeCell ref="B561:N561"/>
    <mergeCell ref="P561:Q561"/>
    <mergeCell ref="A562:Q562"/>
    <mergeCell ref="A563:A564"/>
    <mergeCell ref="B563:C564"/>
    <mergeCell ref="D563:D564"/>
    <mergeCell ref="E563:G563"/>
    <mergeCell ref="H563:H564"/>
    <mergeCell ref="I563:I564"/>
    <mergeCell ref="J563:J564"/>
    <mergeCell ref="A553:Q553"/>
    <mergeCell ref="B554:N554"/>
    <mergeCell ref="P554:Q554"/>
    <mergeCell ref="A555:Q555"/>
    <mergeCell ref="A556:A557"/>
    <mergeCell ref="B556:C557"/>
    <mergeCell ref="D556:D557"/>
    <mergeCell ref="E556:G556"/>
    <mergeCell ref="H556:H557"/>
    <mergeCell ref="I556:I557"/>
    <mergeCell ref="J556:J557"/>
    <mergeCell ref="A567:Q567"/>
    <mergeCell ref="B568:N568"/>
    <mergeCell ref="P568:Q568"/>
    <mergeCell ref="A569:P569"/>
    <mergeCell ref="A570:A571"/>
    <mergeCell ref="B570:C571"/>
    <mergeCell ref="D570:D571"/>
    <mergeCell ref="B551:C551"/>
    <mergeCell ref="A552:J552"/>
    <mergeCell ref="A546:Q546"/>
    <mergeCell ref="B547:N547"/>
    <mergeCell ref="P547:Q547"/>
    <mergeCell ref="A548:Q548"/>
    <mergeCell ref="A549:A550"/>
    <mergeCell ref="B549:C550"/>
    <mergeCell ref="D549:D550"/>
    <mergeCell ref="E549:G549"/>
    <mergeCell ref="H549:H550"/>
    <mergeCell ref="I549:I550"/>
    <mergeCell ref="J549:J550"/>
    <mergeCell ref="B544:C544"/>
    <mergeCell ref="A545:J545"/>
    <mergeCell ref="B537:C537"/>
    <mergeCell ref="A538:J538"/>
    <mergeCell ref="A539:Q539"/>
    <mergeCell ref="B540:N540"/>
    <mergeCell ref="P540:Q540"/>
    <mergeCell ref="A541:Q541"/>
    <mergeCell ref="A542:A543"/>
    <mergeCell ref="B542:C543"/>
    <mergeCell ref="D542:D543"/>
    <mergeCell ref="E542:G542"/>
    <mergeCell ref="H542:H543"/>
    <mergeCell ref="I542:I543"/>
    <mergeCell ref="J542:J543"/>
    <mergeCell ref="P533:Q533"/>
    <mergeCell ref="A534:Q534"/>
    <mergeCell ref="A535:A536"/>
    <mergeCell ref="B535:C536"/>
    <mergeCell ref="D535:D536"/>
    <mergeCell ref="E535:G535"/>
    <mergeCell ref="H535:H536"/>
    <mergeCell ref="I535:I536"/>
    <mergeCell ref="J535:J536"/>
    <mergeCell ref="B527:C528"/>
    <mergeCell ref="D527:D528"/>
    <mergeCell ref="E527:G527"/>
    <mergeCell ref="H527:H528"/>
    <mergeCell ref="I527:I528"/>
    <mergeCell ref="J527:J528"/>
    <mergeCell ref="B529:C529"/>
    <mergeCell ref="B530:C530"/>
    <mergeCell ref="A531:J531"/>
    <mergeCell ref="H465:H466"/>
    <mergeCell ref="I465:I466"/>
    <mergeCell ref="J465:J466"/>
    <mergeCell ref="B453:C453"/>
    <mergeCell ref="B477:C477"/>
    <mergeCell ref="A478:J478"/>
    <mergeCell ref="A514:Q514"/>
    <mergeCell ref="B515:N515"/>
    <mergeCell ref="P515:Q515"/>
    <mergeCell ref="A516:Q516"/>
    <mergeCell ref="A517:A518"/>
    <mergeCell ref="B517:C518"/>
    <mergeCell ref="D517:D518"/>
    <mergeCell ref="E517:G517"/>
    <mergeCell ref="H517:H518"/>
    <mergeCell ref="I517:I518"/>
    <mergeCell ref="J517:J518"/>
    <mergeCell ref="A472:Q472"/>
    <mergeCell ref="B473:N473"/>
    <mergeCell ref="P473:Q473"/>
    <mergeCell ref="A474:Q474"/>
    <mergeCell ref="A475:A476"/>
    <mergeCell ref="B475:C476"/>
    <mergeCell ref="D475:D476"/>
    <mergeCell ref="E475:G475"/>
    <mergeCell ref="H475:H476"/>
    <mergeCell ref="I475:I476"/>
    <mergeCell ref="J475:J476"/>
    <mergeCell ref="J496:J497"/>
    <mergeCell ref="B498:C498"/>
    <mergeCell ref="A499:J499"/>
    <mergeCell ref="A500:Q500"/>
    <mergeCell ref="E451:G451"/>
    <mergeCell ref="H451:H452"/>
    <mergeCell ref="I451:I452"/>
    <mergeCell ref="J451:J452"/>
    <mergeCell ref="B468:C468"/>
    <mergeCell ref="B469:C469"/>
    <mergeCell ref="A471:J471"/>
    <mergeCell ref="A427:Q427"/>
    <mergeCell ref="B428:N428"/>
    <mergeCell ref="P428:Q428"/>
    <mergeCell ref="A429:Q429"/>
    <mergeCell ref="A430:A431"/>
    <mergeCell ref="B430:C431"/>
    <mergeCell ref="D430:D431"/>
    <mergeCell ref="E430:G430"/>
    <mergeCell ref="H430:H431"/>
    <mergeCell ref="I430:I431"/>
    <mergeCell ref="J430:J431"/>
    <mergeCell ref="B432:C432"/>
    <mergeCell ref="A433:J433"/>
    <mergeCell ref="B467:C467"/>
    <mergeCell ref="B470:C470"/>
    <mergeCell ref="B460:C460"/>
    <mergeCell ref="A461:J461"/>
    <mergeCell ref="A462:Q462"/>
    <mergeCell ref="B463:N463"/>
    <mergeCell ref="P463:Q463"/>
    <mergeCell ref="A464:Q464"/>
    <mergeCell ref="A465:A466"/>
    <mergeCell ref="B465:C466"/>
    <mergeCell ref="D465:D466"/>
    <mergeCell ref="E465:G465"/>
    <mergeCell ref="B437:C438"/>
    <mergeCell ref="D437:D438"/>
    <mergeCell ref="E437:G437"/>
    <mergeCell ref="H437:H438"/>
    <mergeCell ref="I437:I438"/>
    <mergeCell ref="J437:J438"/>
    <mergeCell ref="B423:C424"/>
    <mergeCell ref="D423:D424"/>
    <mergeCell ref="E423:G423"/>
    <mergeCell ref="H423:H424"/>
    <mergeCell ref="I423:I424"/>
    <mergeCell ref="A454:J454"/>
    <mergeCell ref="A455:Q455"/>
    <mergeCell ref="B456:N456"/>
    <mergeCell ref="P456:Q456"/>
    <mergeCell ref="A457:Q457"/>
    <mergeCell ref="A458:A459"/>
    <mergeCell ref="B458:C459"/>
    <mergeCell ref="D458:D459"/>
    <mergeCell ref="E458:G458"/>
    <mergeCell ref="H458:H459"/>
    <mergeCell ref="I458:I459"/>
    <mergeCell ref="J458:J459"/>
    <mergeCell ref="B446:C446"/>
    <mergeCell ref="A447:J447"/>
    <mergeCell ref="A448:Q448"/>
    <mergeCell ref="B449:N449"/>
    <mergeCell ref="P449:Q449"/>
    <mergeCell ref="A450:Q450"/>
    <mergeCell ref="A451:A452"/>
    <mergeCell ref="B451:C452"/>
    <mergeCell ref="D451:D452"/>
    <mergeCell ref="A413:Q413"/>
    <mergeCell ref="B414:N414"/>
    <mergeCell ref="P414:Q414"/>
    <mergeCell ref="A415:Q415"/>
    <mergeCell ref="A416:A417"/>
    <mergeCell ref="B416:C417"/>
    <mergeCell ref="D416:D417"/>
    <mergeCell ref="E416:G416"/>
    <mergeCell ref="H416:H417"/>
    <mergeCell ref="I416:I417"/>
    <mergeCell ref="J416:J417"/>
    <mergeCell ref="B389:C389"/>
    <mergeCell ref="A390:J390"/>
    <mergeCell ref="A391:Q391"/>
    <mergeCell ref="B392:N392"/>
    <mergeCell ref="P392:Q392"/>
    <mergeCell ref="A393:Q393"/>
    <mergeCell ref="A394:A395"/>
    <mergeCell ref="B394:C395"/>
    <mergeCell ref="D394:D395"/>
    <mergeCell ref="E394:G394"/>
    <mergeCell ref="H394:H395"/>
    <mergeCell ref="I394:I395"/>
    <mergeCell ref="J394:J395"/>
    <mergeCell ref="B411:C411"/>
    <mergeCell ref="A412:J412"/>
    <mergeCell ref="A408:Q408"/>
    <mergeCell ref="A409:A410"/>
    <mergeCell ref="B409:C410"/>
    <mergeCell ref="D409:D410"/>
    <mergeCell ref="E409:G409"/>
    <mergeCell ref="H409:H410"/>
    <mergeCell ref="D387:D388"/>
    <mergeCell ref="E387:G387"/>
    <mergeCell ref="H387:H388"/>
    <mergeCell ref="I387:I388"/>
    <mergeCell ref="J387:J388"/>
    <mergeCell ref="A380:A381"/>
    <mergeCell ref="B380:C381"/>
    <mergeCell ref="D380:D381"/>
    <mergeCell ref="E380:G380"/>
    <mergeCell ref="H380:H381"/>
    <mergeCell ref="I380:I381"/>
    <mergeCell ref="J380:J381"/>
    <mergeCell ref="B382:C382"/>
    <mergeCell ref="A383:J383"/>
    <mergeCell ref="B396:C396"/>
    <mergeCell ref="B397:C397"/>
    <mergeCell ref="A398:J398"/>
    <mergeCell ref="A384:Q384"/>
    <mergeCell ref="B385:N385"/>
    <mergeCell ref="P385:Q385"/>
    <mergeCell ref="A386:Q386"/>
    <mergeCell ref="A387:A388"/>
    <mergeCell ref="B387:C388"/>
    <mergeCell ref="A377:Q377"/>
    <mergeCell ref="B378:N378"/>
    <mergeCell ref="P378:Q378"/>
    <mergeCell ref="A379:Q379"/>
    <mergeCell ref="B361:N361"/>
    <mergeCell ref="P361:Q361"/>
    <mergeCell ref="A362:Q362"/>
    <mergeCell ref="A363:A364"/>
    <mergeCell ref="B363:C364"/>
    <mergeCell ref="D363:D364"/>
    <mergeCell ref="E363:G363"/>
    <mergeCell ref="H363:H364"/>
    <mergeCell ref="I363:I364"/>
    <mergeCell ref="J363:J364"/>
    <mergeCell ref="J373:J374"/>
    <mergeCell ref="B375:C375"/>
    <mergeCell ref="A376:J376"/>
    <mergeCell ref="A373:A374"/>
    <mergeCell ref="B373:C374"/>
    <mergeCell ref="D373:D374"/>
    <mergeCell ref="E373:G373"/>
    <mergeCell ref="H373:H374"/>
    <mergeCell ref="I373:I374"/>
    <mergeCell ref="A370:Q370"/>
    <mergeCell ref="B371:N371"/>
    <mergeCell ref="P371:Q371"/>
    <mergeCell ref="A372:Q372"/>
    <mergeCell ref="A369:J369"/>
    <mergeCell ref="B365:C365"/>
    <mergeCell ref="B366:C366"/>
    <mergeCell ref="B367:C367"/>
    <mergeCell ref="B368:C368"/>
    <mergeCell ref="A335:A336"/>
    <mergeCell ref="B335:C336"/>
    <mergeCell ref="A360:Q360"/>
    <mergeCell ref="D335:D336"/>
    <mergeCell ref="E335:G335"/>
    <mergeCell ref="H335:H336"/>
    <mergeCell ref="I335:I336"/>
    <mergeCell ref="J335:J336"/>
    <mergeCell ref="B338:C338"/>
    <mergeCell ref="B339:C339"/>
    <mergeCell ref="A350:Q350"/>
    <mergeCell ref="B351:N351"/>
    <mergeCell ref="P351:Q351"/>
    <mergeCell ref="A352:Q352"/>
    <mergeCell ref="A353:A354"/>
    <mergeCell ref="B353:C354"/>
    <mergeCell ref="D353:D354"/>
    <mergeCell ref="E353:G353"/>
    <mergeCell ref="P342:Q342"/>
    <mergeCell ref="A343:Q343"/>
    <mergeCell ref="A344:A345"/>
    <mergeCell ref="B344:C345"/>
    <mergeCell ref="D344:D345"/>
    <mergeCell ref="E344:G344"/>
    <mergeCell ref="B229:C229"/>
    <mergeCell ref="B202:C202"/>
    <mergeCell ref="A203:J203"/>
    <mergeCell ref="A214:Q214"/>
    <mergeCell ref="B215:N215"/>
    <mergeCell ref="P215:Q215"/>
    <mergeCell ref="A216:Q216"/>
    <mergeCell ref="A217:A218"/>
    <mergeCell ref="I259:I260"/>
    <mergeCell ref="J259:J260"/>
    <mergeCell ref="H353:H354"/>
    <mergeCell ref="I353:I354"/>
    <mergeCell ref="J353:J354"/>
    <mergeCell ref="B355:C355"/>
    <mergeCell ref="B259:C260"/>
    <mergeCell ref="D259:D260"/>
    <mergeCell ref="E259:G259"/>
    <mergeCell ref="H259:H260"/>
    <mergeCell ref="A325:Q325"/>
    <mergeCell ref="B326:N326"/>
    <mergeCell ref="P326:Q326"/>
    <mergeCell ref="A327:Q327"/>
    <mergeCell ref="A320:Q320"/>
    <mergeCell ref="A321:A322"/>
    <mergeCell ref="B321:C322"/>
    <mergeCell ref="D321:D322"/>
    <mergeCell ref="E321:G321"/>
    <mergeCell ref="H321:H322"/>
    <mergeCell ref="I321:I322"/>
    <mergeCell ref="B337:C337"/>
    <mergeCell ref="A340:J340"/>
    <mergeCell ref="A341:Q341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42:N342"/>
    <mergeCell ref="B346:C346"/>
    <mergeCell ref="B347:C347"/>
    <mergeCell ref="B348:C348"/>
    <mergeCell ref="A349:J349"/>
    <mergeCell ref="J328:J329"/>
    <mergeCell ref="B330:C330"/>
    <mergeCell ref="A331:J331"/>
    <mergeCell ref="A332:Q332"/>
    <mergeCell ref="B333:N333"/>
    <mergeCell ref="P333:Q333"/>
    <mergeCell ref="A328:A329"/>
    <mergeCell ref="B328:C329"/>
    <mergeCell ref="D328:D329"/>
    <mergeCell ref="E328:G328"/>
    <mergeCell ref="H328:H329"/>
    <mergeCell ref="I328:I329"/>
    <mergeCell ref="B323:C323"/>
    <mergeCell ref="A324:J324"/>
    <mergeCell ref="H344:H345"/>
    <mergeCell ref="I344:I345"/>
    <mergeCell ref="J344:J345"/>
    <mergeCell ref="A334:Q334"/>
    <mergeCell ref="J639:J640"/>
    <mergeCell ref="B641:C641"/>
    <mergeCell ref="A642:J642"/>
    <mergeCell ref="A643:Q643"/>
    <mergeCell ref="B8:Q8"/>
    <mergeCell ref="B53:C53"/>
    <mergeCell ref="B54:C54"/>
    <mergeCell ref="B56:C56"/>
    <mergeCell ref="A639:A640"/>
    <mergeCell ref="B639:C640"/>
    <mergeCell ref="D639:D640"/>
    <mergeCell ref="E639:G639"/>
    <mergeCell ref="H639:H640"/>
    <mergeCell ref="I639:I640"/>
    <mergeCell ref="B634:C634"/>
    <mergeCell ref="A636:Q636"/>
    <mergeCell ref="B637:N637"/>
    <mergeCell ref="P637:Q637"/>
    <mergeCell ref="A638:Q638"/>
    <mergeCell ref="J624:J625"/>
    <mergeCell ref="B626:C626"/>
    <mergeCell ref="B219:C219"/>
    <mergeCell ref="A222:J222"/>
    <mergeCell ref="B220:C220"/>
    <mergeCell ref="P198:Q198"/>
    <mergeCell ref="A199:Q199"/>
    <mergeCell ref="A200:A201"/>
    <mergeCell ref="B200:C201"/>
    <mergeCell ref="B357:C357"/>
    <mergeCell ref="B358:C358"/>
    <mergeCell ref="A359:J359"/>
    <mergeCell ref="B356:C356"/>
    <mergeCell ref="D200:D201"/>
    <mergeCell ref="E200:G200"/>
    <mergeCell ref="H200:H201"/>
    <mergeCell ref="I200:I201"/>
    <mergeCell ref="J200:J201"/>
    <mergeCell ref="B217:C218"/>
    <mergeCell ref="D217:D218"/>
    <mergeCell ref="E217:G217"/>
    <mergeCell ref="H217:H218"/>
    <mergeCell ref="I217:I218"/>
    <mergeCell ref="J217:J218"/>
    <mergeCell ref="B228:C228"/>
    <mergeCell ref="B210:C210"/>
    <mergeCell ref="B211:C211"/>
    <mergeCell ref="B212:C212"/>
    <mergeCell ref="B221:C221"/>
    <mergeCell ref="B633:C633"/>
    <mergeCell ref="E570:G570"/>
    <mergeCell ref="H570:H571"/>
    <mergeCell ref="I570:I571"/>
    <mergeCell ref="A582:J582"/>
    <mergeCell ref="B579:C579"/>
    <mergeCell ref="B580:C580"/>
    <mergeCell ref="B581:C581"/>
    <mergeCell ref="B572:C572"/>
    <mergeCell ref="A573:J573"/>
    <mergeCell ref="A532:Q532"/>
    <mergeCell ref="B533:N533"/>
    <mergeCell ref="A502:Q502"/>
    <mergeCell ref="A503:A504"/>
    <mergeCell ref="B503:C504"/>
    <mergeCell ref="D503:D504"/>
    <mergeCell ref="A635:J635"/>
    <mergeCell ref="A621:Q621"/>
    <mergeCell ref="B622:N622"/>
    <mergeCell ref="P622:Q622"/>
    <mergeCell ref="A623:Q623"/>
    <mergeCell ref="J600:J601"/>
    <mergeCell ref="B602:C602"/>
    <mergeCell ref="A603:J603"/>
    <mergeCell ref="A600:A601"/>
    <mergeCell ref="B600:C601"/>
    <mergeCell ref="D600:D601"/>
    <mergeCell ref="E600:G600"/>
    <mergeCell ref="H600:H601"/>
    <mergeCell ref="I600:I601"/>
    <mergeCell ref="A590:Q590"/>
    <mergeCell ref="B591:N591"/>
    <mergeCell ref="P591:Q591"/>
    <mergeCell ref="A604:Q604"/>
    <mergeCell ref="B605:N605"/>
    <mergeCell ref="P605:Q605"/>
    <mergeCell ref="A606:Q606"/>
    <mergeCell ref="A607:A608"/>
    <mergeCell ref="B607:C608"/>
    <mergeCell ref="D607:D608"/>
    <mergeCell ref="E607:G607"/>
    <mergeCell ref="H607:H608"/>
    <mergeCell ref="P598:Q598"/>
    <mergeCell ref="A630:Q630"/>
    <mergeCell ref="A631:A632"/>
    <mergeCell ref="B631:C632"/>
    <mergeCell ref="D631:D632"/>
    <mergeCell ref="E631:G631"/>
    <mergeCell ref="P525:Q525"/>
    <mergeCell ref="A526:Q526"/>
    <mergeCell ref="A527:A528"/>
    <mergeCell ref="B505:C505"/>
    <mergeCell ref="A506:J506"/>
    <mergeCell ref="A507:Q507"/>
    <mergeCell ref="B508:N508"/>
    <mergeCell ref="P508:Q508"/>
    <mergeCell ref="A509:Q509"/>
    <mergeCell ref="J510:J511"/>
    <mergeCell ref="B512:C512"/>
    <mergeCell ref="A513:J513"/>
    <mergeCell ref="A510:A511"/>
    <mergeCell ref="B510:C511"/>
    <mergeCell ref="D510:D511"/>
    <mergeCell ref="E510:G510"/>
    <mergeCell ref="H510:H511"/>
    <mergeCell ref="I510:I511"/>
    <mergeCell ref="B519:C519"/>
    <mergeCell ref="B520:C520"/>
    <mergeCell ref="B521:C521"/>
    <mergeCell ref="B522:C522"/>
    <mergeCell ref="A523:J523"/>
    <mergeCell ref="A524:Q524"/>
    <mergeCell ref="B525:N525"/>
    <mergeCell ref="E503:G503"/>
    <mergeCell ref="H503:H504"/>
    <mergeCell ref="I503:I504"/>
    <mergeCell ref="J503:J504"/>
    <mergeCell ref="D496:D497"/>
    <mergeCell ref="E496:G496"/>
    <mergeCell ref="H496:H497"/>
    <mergeCell ref="I496:I497"/>
    <mergeCell ref="B491:C491"/>
    <mergeCell ref="A492:J492"/>
    <mergeCell ref="A493:Q493"/>
    <mergeCell ref="B494:N494"/>
    <mergeCell ref="P494:Q494"/>
    <mergeCell ref="A495:Q495"/>
    <mergeCell ref="B501:N501"/>
    <mergeCell ref="P501:Q501"/>
    <mergeCell ref="A496:A497"/>
    <mergeCell ref="B496:C497"/>
    <mergeCell ref="A488:Q488"/>
    <mergeCell ref="A489:A490"/>
    <mergeCell ref="B489:C490"/>
    <mergeCell ref="D489:D490"/>
    <mergeCell ref="E489:G489"/>
    <mergeCell ref="H489:H490"/>
    <mergeCell ref="I489:I490"/>
    <mergeCell ref="J489:J490"/>
    <mergeCell ref="A486:Q486"/>
    <mergeCell ref="B487:N487"/>
    <mergeCell ref="P487:Q487"/>
    <mergeCell ref="J482:J483"/>
    <mergeCell ref="B484:C484"/>
    <mergeCell ref="A485:J485"/>
    <mergeCell ref="A482:A483"/>
    <mergeCell ref="B482:C483"/>
    <mergeCell ref="D482:D483"/>
    <mergeCell ref="E482:G482"/>
    <mergeCell ref="H482:H483"/>
    <mergeCell ref="I482:I483"/>
    <mergeCell ref="A479:Q479"/>
    <mergeCell ref="B480:N480"/>
    <mergeCell ref="P480:Q480"/>
    <mergeCell ref="A481:Q481"/>
    <mergeCell ref="B418:C418"/>
    <mergeCell ref="A419:J419"/>
    <mergeCell ref="A420:Q420"/>
    <mergeCell ref="B421:N421"/>
    <mergeCell ref="P421:Q421"/>
    <mergeCell ref="A422:Q422"/>
    <mergeCell ref="A423:A424"/>
    <mergeCell ref="B439:C439"/>
    <mergeCell ref="A440:J440"/>
    <mergeCell ref="A441:Q441"/>
    <mergeCell ref="B442:N442"/>
    <mergeCell ref="P442:Q442"/>
    <mergeCell ref="A443:Q443"/>
    <mergeCell ref="A444:A445"/>
    <mergeCell ref="B444:C445"/>
    <mergeCell ref="D444:D445"/>
    <mergeCell ref="E444:G444"/>
    <mergeCell ref="H444:H445"/>
    <mergeCell ref="I444:I445"/>
    <mergeCell ref="J444:J445"/>
    <mergeCell ref="J423:J424"/>
    <mergeCell ref="B425:C425"/>
    <mergeCell ref="A426:J426"/>
    <mergeCell ref="A434:Q434"/>
    <mergeCell ref="B435:N435"/>
    <mergeCell ref="P435:Q435"/>
    <mergeCell ref="A436:Q436"/>
    <mergeCell ref="A437:A438"/>
    <mergeCell ref="I409:I410"/>
    <mergeCell ref="J409:J410"/>
    <mergeCell ref="A406:Q406"/>
    <mergeCell ref="B407:N407"/>
    <mergeCell ref="P407:Q407"/>
    <mergeCell ref="B404:C404"/>
    <mergeCell ref="A405:J405"/>
    <mergeCell ref="A401:Q401"/>
    <mergeCell ref="A402:A403"/>
    <mergeCell ref="B402:C403"/>
    <mergeCell ref="D402:D403"/>
    <mergeCell ref="E402:G402"/>
    <mergeCell ref="H402:H403"/>
    <mergeCell ref="I402:I403"/>
    <mergeCell ref="J402:J403"/>
    <mergeCell ref="A399:Q399"/>
    <mergeCell ref="B400:N400"/>
    <mergeCell ref="P400:Q400"/>
    <mergeCell ref="J321:J322"/>
    <mergeCell ref="A317:J317"/>
    <mergeCell ref="A318:Q318"/>
    <mergeCell ref="B319:N319"/>
    <mergeCell ref="P319:Q319"/>
    <mergeCell ref="A311:Q311"/>
    <mergeCell ref="A312:A313"/>
    <mergeCell ref="B312:C313"/>
    <mergeCell ref="D312:D313"/>
    <mergeCell ref="E312:G312"/>
    <mergeCell ref="H312:H313"/>
    <mergeCell ref="I312:I313"/>
    <mergeCell ref="J312:J313"/>
    <mergeCell ref="B314:C314"/>
    <mergeCell ref="B315:C315"/>
    <mergeCell ref="A308:J308"/>
    <mergeCell ref="A309:Q309"/>
    <mergeCell ref="B310:N310"/>
    <mergeCell ref="P310:Q310"/>
    <mergeCell ref="B287:N287"/>
    <mergeCell ref="P287:Q287"/>
    <mergeCell ref="A288:Q288"/>
    <mergeCell ref="A289:A290"/>
    <mergeCell ref="B289:C290"/>
    <mergeCell ref="D289:D290"/>
    <mergeCell ref="E289:G289"/>
    <mergeCell ref="H289:H290"/>
    <mergeCell ref="I289:I290"/>
    <mergeCell ref="J289:J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A262:J262"/>
    <mergeCell ref="B257:N257"/>
    <mergeCell ref="B284:C284"/>
    <mergeCell ref="A285:J285"/>
    <mergeCell ref="A286:Q286"/>
    <mergeCell ref="A265:Q265"/>
    <mergeCell ref="A266:A267"/>
    <mergeCell ref="B266:C267"/>
    <mergeCell ref="D266:D267"/>
    <mergeCell ref="E266:G266"/>
    <mergeCell ref="H266:H267"/>
    <mergeCell ref="I266:I267"/>
    <mergeCell ref="J266:J267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68:C268"/>
    <mergeCell ref="B269:C269"/>
    <mergeCell ref="B270:C270"/>
    <mergeCell ref="B271:C271"/>
    <mergeCell ref="B272:C272"/>
    <mergeCell ref="B273:C273"/>
    <mergeCell ref="B274:C274"/>
    <mergeCell ref="P257:Q257"/>
    <mergeCell ref="A258:Q258"/>
    <mergeCell ref="A259:A260"/>
    <mergeCell ref="J207:J208"/>
    <mergeCell ref="A197:Q197"/>
    <mergeCell ref="B198:N198"/>
    <mergeCell ref="A255:J255"/>
    <mergeCell ref="A263:Q263"/>
    <mergeCell ref="B264:N264"/>
    <mergeCell ref="P264:Q264"/>
    <mergeCell ref="A237:Q237"/>
    <mergeCell ref="A238:A239"/>
    <mergeCell ref="B238:C239"/>
    <mergeCell ref="D238:D239"/>
    <mergeCell ref="E238:G238"/>
    <mergeCell ref="H238:H239"/>
    <mergeCell ref="I238:I239"/>
    <mergeCell ref="J238:J239"/>
    <mergeCell ref="B240:C240"/>
    <mergeCell ref="B244:C244"/>
    <mergeCell ref="B245:C245"/>
    <mergeCell ref="B249:C249"/>
    <mergeCell ref="B242:C242"/>
    <mergeCell ref="B243:C243"/>
    <mergeCell ref="B241:C241"/>
    <mergeCell ref="B250:C250"/>
    <mergeCell ref="B247:C247"/>
    <mergeCell ref="B248:C248"/>
    <mergeCell ref="A256:Q256"/>
    <mergeCell ref="B253:C253"/>
    <mergeCell ref="B252:C252"/>
    <mergeCell ref="B254:C254"/>
    <mergeCell ref="B251:C251"/>
    <mergeCell ref="B246:C246"/>
    <mergeCell ref="B261:C261"/>
    <mergeCell ref="B177:C177"/>
    <mergeCell ref="A180:Q180"/>
    <mergeCell ref="B181:N181"/>
    <mergeCell ref="P181:Q181"/>
    <mergeCell ref="J192:J193"/>
    <mergeCell ref="B230:C230"/>
    <mergeCell ref="B231:C231"/>
    <mergeCell ref="A234:J234"/>
    <mergeCell ref="A235:Q235"/>
    <mergeCell ref="B236:N236"/>
    <mergeCell ref="P236:Q236"/>
    <mergeCell ref="A225:Q225"/>
    <mergeCell ref="A226:A227"/>
    <mergeCell ref="B226:C227"/>
    <mergeCell ref="D226:D227"/>
    <mergeCell ref="E226:G226"/>
    <mergeCell ref="H226:H227"/>
    <mergeCell ref="I226:I227"/>
    <mergeCell ref="J226:J227"/>
    <mergeCell ref="B232:C232"/>
    <mergeCell ref="A223:Q223"/>
    <mergeCell ref="B224:N224"/>
    <mergeCell ref="P224:Q224"/>
    <mergeCell ref="A213:J213"/>
    <mergeCell ref="B209:C209"/>
    <mergeCell ref="A206:Q206"/>
    <mergeCell ref="A207:A208"/>
    <mergeCell ref="B207:C208"/>
    <mergeCell ref="D207:D208"/>
    <mergeCell ref="E207:G207"/>
    <mergeCell ref="H207:H208"/>
    <mergeCell ref="I207:I208"/>
    <mergeCell ref="I166:I167"/>
    <mergeCell ref="J166:J167"/>
    <mergeCell ref="J173:J174"/>
    <mergeCell ref="B175:C175"/>
    <mergeCell ref="A179:J179"/>
    <mergeCell ref="A173:A174"/>
    <mergeCell ref="B173:C174"/>
    <mergeCell ref="D173:D174"/>
    <mergeCell ref="E173:G173"/>
    <mergeCell ref="H173:H174"/>
    <mergeCell ref="I173:I174"/>
    <mergeCell ref="B164:N164"/>
    <mergeCell ref="P164:Q164"/>
    <mergeCell ref="B205:N205"/>
    <mergeCell ref="P205:Q205"/>
    <mergeCell ref="A182:Q182"/>
    <mergeCell ref="A183:A184"/>
    <mergeCell ref="B183:C184"/>
    <mergeCell ref="B168:C168"/>
    <mergeCell ref="A169:J169"/>
    <mergeCell ref="A170:Q170"/>
    <mergeCell ref="B171:N171"/>
    <mergeCell ref="P171:Q171"/>
    <mergeCell ref="A172:Q172"/>
    <mergeCell ref="A165:Q165"/>
    <mergeCell ref="A166:A167"/>
    <mergeCell ref="B166:C167"/>
    <mergeCell ref="H192:H193"/>
    <mergeCell ref="I192:I193"/>
    <mergeCell ref="B194:C194"/>
    <mergeCell ref="A196:J196"/>
    <mergeCell ref="B176:C176"/>
    <mergeCell ref="B161:C161"/>
    <mergeCell ref="A162:J162"/>
    <mergeCell ref="A204:Q204"/>
    <mergeCell ref="A158:Q158"/>
    <mergeCell ref="A159:A160"/>
    <mergeCell ref="B159:C160"/>
    <mergeCell ref="D159:D160"/>
    <mergeCell ref="E159:G159"/>
    <mergeCell ref="H159:H160"/>
    <mergeCell ref="I159:I160"/>
    <mergeCell ref="J159:J160"/>
    <mergeCell ref="D183:D184"/>
    <mergeCell ref="E183:G183"/>
    <mergeCell ref="H183:H184"/>
    <mergeCell ref="I183:I184"/>
    <mergeCell ref="J183:J184"/>
    <mergeCell ref="B185:C185"/>
    <mergeCell ref="A188:J188"/>
    <mergeCell ref="B186:C186"/>
    <mergeCell ref="B187:C187"/>
    <mergeCell ref="A163:Q163"/>
    <mergeCell ref="A189:Q189"/>
    <mergeCell ref="B190:N190"/>
    <mergeCell ref="P190:Q190"/>
    <mergeCell ref="A191:Q191"/>
    <mergeCell ref="A192:A193"/>
    <mergeCell ref="B192:C193"/>
    <mergeCell ref="D192:D193"/>
    <mergeCell ref="E192:G192"/>
    <mergeCell ref="D166:D167"/>
    <mergeCell ref="E166:G166"/>
    <mergeCell ref="H166:H167"/>
    <mergeCell ref="A156:Q156"/>
    <mergeCell ref="B157:N157"/>
    <mergeCell ref="P157:Q157"/>
    <mergeCell ref="A138:Q138"/>
    <mergeCell ref="B139:N139"/>
    <mergeCell ref="P139:Q139"/>
    <mergeCell ref="B143:C143"/>
    <mergeCell ref="B145:C145"/>
    <mergeCell ref="A146:J146"/>
    <mergeCell ref="A140:Q140"/>
    <mergeCell ref="A141:A142"/>
    <mergeCell ref="B141:C142"/>
    <mergeCell ref="D141:D142"/>
    <mergeCell ref="E141:G141"/>
    <mergeCell ref="H141:H142"/>
    <mergeCell ref="I141:I142"/>
    <mergeCell ref="J141:J142"/>
    <mergeCell ref="B144:C144"/>
    <mergeCell ref="B104:C104"/>
    <mergeCell ref="B129:C129"/>
    <mergeCell ref="A130:J130"/>
    <mergeCell ref="A126:Q126"/>
    <mergeCell ref="A127:A128"/>
    <mergeCell ref="B127:C128"/>
    <mergeCell ref="D127:D128"/>
    <mergeCell ref="E127:G127"/>
    <mergeCell ref="H127:H128"/>
    <mergeCell ref="I127:I128"/>
    <mergeCell ref="J127:J128"/>
    <mergeCell ref="B121:C121"/>
    <mergeCell ref="A123:J123"/>
    <mergeCell ref="A124:Q124"/>
    <mergeCell ref="B125:N125"/>
    <mergeCell ref="P125:Q125"/>
    <mergeCell ref="A118:Q118"/>
    <mergeCell ref="A119:A120"/>
    <mergeCell ref="B119:C120"/>
    <mergeCell ref="D119:D120"/>
    <mergeCell ref="E119:G119"/>
    <mergeCell ref="H119:H120"/>
    <mergeCell ref="I119:I120"/>
    <mergeCell ref="J119:J120"/>
    <mergeCell ref="B122:C122"/>
    <mergeCell ref="A106:Q106"/>
    <mergeCell ref="B107:N107"/>
    <mergeCell ref="P107:Q107"/>
    <mergeCell ref="A108:Q108"/>
    <mergeCell ref="A109:A110"/>
    <mergeCell ref="B109:C110"/>
    <mergeCell ref="D109:D110"/>
    <mergeCell ref="B97:C97"/>
    <mergeCell ref="A98:J98"/>
    <mergeCell ref="B93:N93"/>
    <mergeCell ref="P93:Q93"/>
    <mergeCell ref="A94:Q94"/>
    <mergeCell ref="A95:A96"/>
    <mergeCell ref="B95:C96"/>
    <mergeCell ref="D95:D96"/>
    <mergeCell ref="E95:G95"/>
    <mergeCell ref="H95:H96"/>
    <mergeCell ref="I95:I96"/>
    <mergeCell ref="J95:J96"/>
    <mergeCell ref="A101:Q101"/>
    <mergeCell ref="A102:A103"/>
    <mergeCell ref="B102:C103"/>
    <mergeCell ref="D102:D103"/>
    <mergeCell ref="E102:G102"/>
    <mergeCell ref="H102:H103"/>
    <mergeCell ref="I102:I103"/>
    <mergeCell ref="J102:J103"/>
    <mergeCell ref="B89:C89"/>
    <mergeCell ref="B90:C90"/>
    <mergeCell ref="A91:J91"/>
    <mergeCell ref="A92:Q92"/>
    <mergeCell ref="A86:Q86"/>
    <mergeCell ref="A87:A88"/>
    <mergeCell ref="B87:C88"/>
    <mergeCell ref="D87:D88"/>
    <mergeCell ref="E87:G87"/>
    <mergeCell ref="H87:H88"/>
    <mergeCell ref="I87:I88"/>
    <mergeCell ref="J87:J88"/>
    <mergeCell ref="J80:J81"/>
    <mergeCell ref="L80:Q83"/>
    <mergeCell ref="B82:C82"/>
    <mergeCell ref="A83:J83"/>
    <mergeCell ref="A84:Q84"/>
    <mergeCell ref="B85:N85"/>
    <mergeCell ref="P85:Q85"/>
    <mergeCell ref="A80:A81"/>
    <mergeCell ref="B80:C81"/>
    <mergeCell ref="D80:D81"/>
    <mergeCell ref="E80:G80"/>
    <mergeCell ref="H80:H81"/>
    <mergeCell ref="I80:I81"/>
    <mergeCell ref="B78:N78"/>
    <mergeCell ref="P78:Q78"/>
    <mergeCell ref="A79:Q79"/>
    <mergeCell ref="M71:Q76"/>
    <mergeCell ref="B73:C73"/>
    <mergeCell ref="B74:C74"/>
    <mergeCell ref="B75:C75"/>
    <mergeCell ref="A76:K76"/>
    <mergeCell ref="B69:N69"/>
    <mergeCell ref="P69:Q69"/>
    <mergeCell ref="A70:Q70"/>
    <mergeCell ref="A71:A72"/>
    <mergeCell ref="B71:C72"/>
    <mergeCell ref="D71:G71"/>
    <mergeCell ref="H71:H72"/>
    <mergeCell ref="I71:I72"/>
    <mergeCell ref="J71:J72"/>
    <mergeCell ref="K71:K72"/>
    <mergeCell ref="J63:J64"/>
    <mergeCell ref="B65:C65"/>
    <mergeCell ref="B66:C66"/>
    <mergeCell ref="A67:J67"/>
    <mergeCell ref="A68:Q68"/>
    <mergeCell ref="A63:A64"/>
    <mergeCell ref="B63:C64"/>
    <mergeCell ref="D63:D64"/>
    <mergeCell ref="E63:G63"/>
    <mergeCell ref="H63:H64"/>
    <mergeCell ref="I63:I64"/>
    <mergeCell ref="A59:J59"/>
    <mergeCell ref="A60:Q60"/>
    <mergeCell ref="B61:N61"/>
    <mergeCell ref="P61:Q61"/>
    <mergeCell ref="A62:Q62"/>
    <mergeCell ref="A77:Q77"/>
    <mergeCell ref="B50:C50"/>
    <mergeCell ref="B51:C51"/>
    <mergeCell ref="B52:C52"/>
    <mergeCell ref="B58:C58"/>
    <mergeCell ref="B55:C55"/>
    <mergeCell ref="B57:C57"/>
    <mergeCell ref="B46:N46"/>
    <mergeCell ref="P46:Q46"/>
    <mergeCell ref="A47:Q47"/>
    <mergeCell ref="A48:A49"/>
    <mergeCell ref="B48:C49"/>
    <mergeCell ref="D48:D49"/>
    <mergeCell ref="E48:G48"/>
    <mergeCell ref="H48:H49"/>
    <mergeCell ref="I48:I49"/>
    <mergeCell ref="J48:J49"/>
    <mergeCell ref="A44:J44"/>
    <mergeCell ref="A45:Q45"/>
    <mergeCell ref="B41:C41"/>
    <mergeCell ref="E41:F41"/>
    <mergeCell ref="B42:C42"/>
    <mergeCell ref="E42:F42"/>
    <mergeCell ref="B43:C43"/>
    <mergeCell ref="E43:F43"/>
    <mergeCell ref="A38:Q38"/>
    <mergeCell ref="A39:A40"/>
    <mergeCell ref="B39:C40"/>
    <mergeCell ref="D39:D40"/>
    <mergeCell ref="E39:G39"/>
    <mergeCell ref="H39:H40"/>
    <mergeCell ref="I39:I40"/>
    <mergeCell ref="J39:J40"/>
    <mergeCell ref="L39:Q44"/>
    <mergeCell ref="E40:F40"/>
    <mergeCell ref="H18:H19"/>
    <mergeCell ref="I18:I19"/>
    <mergeCell ref="J18:J19"/>
    <mergeCell ref="L18:Q21"/>
    <mergeCell ref="B20:C20"/>
    <mergeCell ref="A36:Q36"/>
    <mergeCell ref="B37:N37"/>
    <mergeCell ref="P37:Q37"/>
    <mergeCell ref="I25:I26"/>
    <mergeCell ref="J25:J26"/>
    <mergeCell ref="L25:Q28"/>
    <mergeCell ref="B27:C27"/>
    <mergeCell ref="A28:J28"/>
    <mergeCell ref="A21:J21"/>
    <mergeCell ref="A22:Q22"/>
    <mergeCell ref="B23:N23"/>
    <mergeCell ref="H25:H26"/>
    <mergeCell ref="A35:J35"/>
    <mergeCell ref="D11:D12"/>
    <mergeCell ref="E11:G11"/>
    <mergeCell ref="H11:H12"/>
    <mergeCell ref="A15:Q15"/>
    <mergeCell ref="B16:N16"/>
    <mergeCell ref="P16:Q16"/>
    <mergeCell ref="A31:Q31"/>
    <mergeCell ref="A32:A33"/>
    <mergeCell ref="B32:C33"/>
    <mergeCell ref="D32:D33"/>
    <mergeCell ref="E32:G32"/>
    <mergeCell ref="H32:H33"/>
    <mergeCell ref="I32:I33"/>
    <mergeCell ref="J32:J33"/>
    <mergeCell ref="L32:Q35"/>
    <mergeCell ref="B34:C34"/>
    <mergeCell ref="A29:Q29"/>
    <mergeCell ref="B30:N30"/>
    <mergeCell ref="P30:Q30"/>
    <mergeCell ref="A17:Q17"/>
    <mergeCell ref="A18:A19"/>
    <mergeCell ref="B18:C19"/>
    <mergeCell ref="D18:D19"/>
    <mergeCell ref="E18:G18"/>
    <mergeCell ref="B233:C233"/>
    <mergeCell ref="A116:Q116"/>
    <mergeCell ref="B117:N117"/>
    <mergeCell ref="P117:Q117"/>
    <mergeCell ref="A1:N1"/>
    <mergeCell ref="O1:Q4"/>
    <mergeCell ref="A2:N2"/>
    <mergeCell ref="A3:N3"/>
    <mergeCell ref="A4:N4"/>
    <mergeCell ref="A5:Q5"/>
    <mergeCell ref="A99:Q99"/>
    <mergeCell ref="B100:N100"/>
    <mergeCell ref="P100:Q100"/>
    <mergeCell ref="I11:I12"/>
    <mergeCell ref="J11:J12"/>
    <mergeCell ref="L11:Q14"/>
    <mergeCell ref="B13:C13"/>
    <mergeCell ref="A14:J14"/>
    <mergeCell ref="A6:Q6"/>
    <mergeCell ref="B7:Q7"/>
    <mergeCell ref="B9:N9"/>
    <mergeCell ref="P9:Q9"/>
    <mergeCell ref="A10:Q10"/>
    <mergeCell ref="A11:A12"/>
    <mergeCell ref="B11:C12"/>
    <mergeCell ref="A105:J105"/>
    <mergeCell ref="P23:Q23"/>
    <mergeCell ref="A24:Q24"/>
    <mergeCell ref="A25:A26"/>
    <mergeCell ref="B25:C26"/>
    <mergeCell ref="D25:D26"/>
    <mergeCell ref="E25:G25"/>
  </mergeCells>
  <pageMargins left="0.39370078740157483" right="0.27559055118110237" top="0.6692913385826772" bottom="0.55118110236220474" header="0.31496062992125984" footer="0.31496062992125984"/>
  <pageSetup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T2694"/>
  <sheetViews>
    <sheetView topLeftCell="A58" zoomScaleNormal="100" zoomScaleSheetLayoutView="100" workbookViewId="0">
      <selection activeCell="A81" sqref="A81:J81"/>
    </sheetView>
  </sheetViews>
  <sheetFormatPr baseColWidth="10" defaultColWidth="15.83203125" defaultRowHeight="13" x14ac:dyDescent="0.15"/>
  <cols>
    <col min="1" max="1" width="6.83203125" style="120" customWidth="1"/>
    <col min="2" max="3" width="12.1640625" style="120" customWidth="1"/>
    <col min="4" max="6" width="10.6640625" style="120" customWidth="1"/>
    <col min="7" max="7" width="9.33203125" style="120" customWidth="1"/>
    <col min="8" max="8" width="10.6640625" style="120" customWidth="1"/>
    <col min="9" max="10" width="10.6640625" style="145" customWidth="1"/>
    <col min="11" max="11" width="12.5" style="120" customWidth="1"/>
    <col min="12" max="12" width="13.33203125" style="120" customWidth="1"/>
    <col min="13" max="17" width="10.6640625" style="120" customWidth="1"/>
    <col min="18" max="19" width="10.83203125" style="120" customWidth="1"/>
    <col min="20" max="20" width="22.5" style="120" customWidth="1"/>
    <col min="21" max="256" width="10.83203125" style="120" customWidth="1"/>
    <col min="257" max="16384" width="15.83203125" style="120"/>
  </cols>
  <sheetData>
    <row r="1" spans="1:17" customFormat="1" ht="41.25" customHeight="1" x14ac:dyDescent="0.15">
      <c r="A1" s="765" t="s">
        <v>874</v>
      </c>
      <c r="B1" s="765"/>
      <c r="C1" s="765"/>
      <c r="D1" s="765"/>
      <c r="E1" s="765"/>
      <c r="F1" s="765"/>
      <c r="G1" s="765"/>
      <c r="H1" s="765"/>
      <c r="I1" s="765"/>
      <c r="J1" s="765"/>
      <c r="K1" s="765"/>
      <c r="L1" s="765"/>
      <c r="M1" s="765"/>
      <c r="N1" s="765"/>
      <c r="O1" s="797"/>
      <c r="P1" s="797"/>
      <c r="Q1" s="797"/>
    </row>
    <row r="2" spans="1:17" customFormat="1" ht="14.25" customHeight="1" x14ac:dyDescent="0.15">
      <c r="A2" s="798" t="s">
        <v>875</v>
      </c>
      <c r="B2" s="798"/>
      <c r="C2" s="798"/>
      <c r="D2" s="798"/>
      <c r="E2" s="798"/>
      <c r="F2" s="798"/>
      <c r="G2" s="798"/>
      <c r="H2" s="798"/>
      <c r="I2" s="798"/>
      <c r="J2" s="798"/>
      <c r="K2" s="798"/>
      <c r="L2" s="798"/>
      <c r="M2" s="798"/>
      <c r="N2" s="798"/>
      <c r="O2" s="797"/>
      <c r="P2" s="797"/>
      <c r="Q2" s="797"/>
    </row>
    <row r="3" spans="1:17" customFormat="1" ht="14.25" customHeight="1" x14ac:dyDescent="0.15">
      <c r="A3" s="798" t="s">
        <v>876</v>
      </c>
      <c r="B3" s="798"/>
      <c r="C3" s="798"/>
      <c r="D3" s="798"/>
      <c r="E3" s="798"/>
      <c r="F3" s="798"/>
      <c r="G3" s="798"/>
      <c r="H3" s="798"/>
      <c r="I3" s="798"/>
      <c r="J3" s="798"/>
      <c r="K3" s="798"/>
      <c r="L3" s="798"/>
      <c r="M3" s="798"/>
      <c r="N3" s="798"/>
      <c r="O3" s="797"/>
      <c r="P3" s="797"/>
      <c r="Q3" s="797"/>
    </row>
    <row r="4" spans="1:17" customFormat="1" ht="30.75" customHeight="1" x14ac:dyDescent="0.15">
      <c r="A4" s="768" t="s">
        <v>836</v>
      </c>
      <c r="B4" s="768"/>
      <c r="C4" s="768"/>
      <c r="D4" s="768"/>
      <c r="E4" s="768"/>
      <c r="F4" s="768"/>
      <c r="G4" s="768"/>
      <c r="H4" s="768"/>
      <c r="I4" s="768"/>
      <c r="J4" s="768"/>
      <c r="K4" s="768"/>
      <c r="L4" s="768"/>
      <c r="M4" s="768"/>
      <c r="N4" s="768"/>
      <c r="O4" s="797"/>
      <c r="P4" s="797"/>
      <c r="Q4" s="797"/>
    </row>
    <row r="5" spans="1:17" customFormat="1" ht="19.5" customHeight="1" x14ac:dyDescent="0.15">
      <c r="A5" s="799" t="s">
        <v>966</v>
      </c>
      <c r="B5" s="800"/>
      <c r="C5" s="800"/>
      <c r="D5" s="800"/>
      <c r="E5" s="800"/>
      <c r="F5" s="800"/>
      <c r="G5" s="800"/>
      <c r="H5" s="800"/>
      <c r="I5" s="800"/>
      <c r="J5" s="800"/>
      <c r="K5" s="800"/>
      <c r="L5" s="800"/>
      <c r="M5" s="800"/>
      <c r="N5" s="800"/>
      <c r="O5" s="800"/>
      <c r="P5" s="800"/>
      <c r="Q5" s="801"/>
    </row>
    <row r="6" spans="1:17" x14ac:dyDescent="0.15">
      <c r="A6" s="790"/>
      <c r="B6" s="791"/>
      <c r="C6" s="791"/>
      <c r="D6" s="791"/>
      <c r="E6" s="791"/>
      <c r="F6" s="791"/>
      <c r="G6" s="791"/>
      <c r="H6" s="791"/>
      <c r="I6" s="791"/>
      <c r="J6" s="791"/>
      <c r="K6" s="791"/>
      <c r="L6" s="791"/>
      <c r="M6" s="791"/>
      <c r="N6" s="791"/>
      <c r="O6" s="791"/>
      <c r="P6" s="791"/>
      <c r="Q6" s="792"/>
    </row>
    <row r="7" spans="1:17" customFormat="1" ht="19.5" customHeight="1" x14ac:dyDescent="0.15">
      <c r="A7" s="132" t="s">
        <v>185</v>
      </c>
      <c r="B7" s="818" t="s">
        <v>875</v>
      </c>
      <c r="C7" s="819"/>
      <c r="D7" s="819"/>
      <c r="E7" s="819"/>
      <c r="F7" s="819"/>
      <c r="G7" s="819"/>
      <c r="H7" s="819"/>
      <c r="I7" s="819"/>
      <c r="J7" s="819"/>
      <c r="K7" s="819"/>
      <c r="L7" s="819"/>
      <c r="M7" s="819"/>
      <c r="N7" s="819"/>
      <c r="O7" s="819"/>
      <c r="P7" s="819"/>
      <c r="Q7" s="820"/>
    </row>
    <row r="8" spans="1:17" customFormat="1" ht="19.5" customHeight="1" x14ac:dyDescent="0.15">
      <c r="A8" s="132"/>
      <c r="B8" s="818" t="s">
        <v>1392</v>
      </c>
      <c r="C8" s="819"/>
      <c r="D8" s="819"/>
      <c r="E8" s="819"/>
      <c r="F8" s="819"/>
      <c r="G8" s="819"/>
      <c r="H8" s="819"/>
      <c r="I8" s="819"/>
      <c r="J8" s="819"/>
      <c r="K8" s="819"/>
      <c r="L8" s="819"/>
      <c r="M8" s="819"/>
      <c r="N8" s="819"/>
      <c r="O8" s="819"/>
      <c r="P8" s="819"/>
      <c r="Q8" s="820"/>
    </row>
    <row r="9" spans="1:17" s="121" customFormat="1" ht="18" customHeight="1" x14ac:dyDescent="0.15">
      <c r="A9" s="218" t="s">
        <v>0</v>
      </c>
      <c r="B9" s="793" t="s">
        <v>166</v>
      </c>
      <c r="C9" s="794"/>
      <c r="D9" s="794"/>
      <c r="E9" s="794"/>
      <c r="F9" s="794"/>
      <c r="G9" s="794"/>
      <c r="H9" s="794"/>
      <c r="I9" s="794"/>
      <c r="J9" s="794"/>
      <c r="K9" s="794"/>
      <c r="L9" s="794"/>
      <c r="M9" s="794"/>
      <c r="N9" s="821"/>
      <c r="O9" s="216" t="s">
        <v>73</v>
      </c>
      <c r="P9" s="795" t="s">
        <v>5</v>
      </c>
      <c r="Q9" s="796"/>
    </row>
    <row r="10" spans="1:17" x14ac:dyDescent="0.15">
      <c r="A10" s="790"/>
      <c r="B10" s="791"/>
      <c r="C10" s="791"/>
      <c r="D10" s="791"/>
      <c r="E10" s="791"/>
      <c r="F10" s="791"/>
      <c r="G10" s="791"/>
      <c r="H10" s="791"/>
      <c r="I10" s="791"/>
      <c r="J10" s="791"/>
      <c r="K10" s="791"/>
      <c r="L10" s="791"/>
      <c r="M10" s="791"/>
      <c r="N10" s="791"/>
      <c r="O10" s="791"/>
      <c r="P10" s="791"/>
      <c r="Q10" s="792"/>
    </row>
    <row r="11" spans="1:17" s="126" customFormat="1" x14ac:dyDescent="0.15">
      <c r="A11" s="822" t="s">
        <v>150</v>
      </c>
      <c r="B11" s="823" t="s">
        <v>151</v>
      </c>
      <c r="C11" s="823"/>
      <c r="D11" s="802" t="s">
        <v>658</v>
      </c>
      <c r="E11" s="823" t="s">
        <v>152</v>
      </c>
      <c r="F11" s="823"/>
      <c r="G11" s="823"/>
      <c r="H11" s="804" t="s">
        <v>153</v>
      </c>
      <c r="I11" s="802" t="s">
        <v>159</v>
      </c>
      <c r="J11" s="804" t="s">
        <v>73</v>
      </c>
      <c r="K11" s="216" t="s">
        <v>154</v>
      </c>
      <c r="L11" s="806"/>
      <c r="M11" s="807"/>
      <c r="N11" s="807"/>
      <c r="O11" s="807"/>
      <c r="P11" s="807"/>
      <c r="Q11" s="808"/>
    </row>
    <row r="12" spans="1:17" s="130" customFormat="1" x14ac:dyDescent="0.15">
      <c r="A12" s="822"/>
      <c r="B12" s="823"/>
      <c r="C12" s="823"/>
      <c r="D12" s="803"/>
      <c r="E12" s="217" t="s">
        <v>155</v>
      </c>
      <c r="F12" s="217" t="s">
        <v>156</v>
      </c>
      <c r="G12" s="217" t="s">
        <v>157</v>
      </c>
      <c r="H12" s="805"/>
      <c r="I12" s="803"/>
      <c r="J12" s="805"/>
      <c r="K12" s="216" t="s">
        <v>158</v>
      </c>
      <c r="L12" s="809"/>
      <c r="M12" s="810"/>
      <c r="N12" s="810"/>
      <c r="O12" s="810"/>
      <c r="P12" s="810"/>
      <c r="Q12" s="811"/>
    </row>
    <row r="13" spans="1:17" ht="27.75" customHeight="1" x14ac:dyDescent="0.15">
      <c r="A13" s="131"/>
      <c r="B13" s="815" t="s">
        <v>1503</v>
      </c>
      <c r="C13" s="816"/>
      <c r="D13" s="219">
        <v>0</v>
      </c>
      <c r="E13" s="132">
        <v>11.14</v>
      </c>
      <c r="F13" s="144">
        <v>7.04</v>
      </c>
      <c r="G13" s="144">
        <v>0</v>
      </c>
      <c r="H13" s="132">
        <v>1</v>
      </c>
      <c r="I13" s="132">
        <f>E13*F13</f>
        <v>78.425600000000003</v>
      </c>
      <c r="J13" s="144" t="s">
        <v>5</v>
      </c>
      <c r="K13" s="219">
        <f>I13*H13</f>
        <v>78.425600000000003</v>
      </c>
      <c r="L13" s="809"/>
      <c r="M13" s="810"/>
      <c r="N13" s="810"/>
      <c r="O13" s="810"/>
      <c r="P13" s="810"/>
      <c r="Q13" s="811"/>
    </row>
    <row r="14" spans="1:17" ht="22.5" customHeight="1" x14ac:dyDescent="0.15">
      <c r="A14" s="795" t="s">
        <v>149</v>
      </c>
      <c r="B14" s="817"/>
      <c r="C14" s="817"/>
      <c r="D14" s="817"/>
      <c r="E14" s="817"/>
      <c r="F14" s="817"/>
      <c r="G14" s="817"/>
      <c r="H14" s="817"/>
      <c r="I14" s="817"/>
      <c r="J14" s="796"/>
      <c r="K14" s="416">
        <f>SUM(K13:K13)</f>
        <v>78.425600000000003</v>
      </c>
      <c r="L14" s="812"/>
      <c r="M14" s="813"/>
      <c r="N14" s="813"/>
      <c r="O14" s="813"/>
      <c r="P14" s="813"/>
      <c r="Q14" s="814"/>
    </row>
    <row r="15" spans="1:17" x14ac:dyDescent="0.15">
      <c r="A15" s="790"/>
      <c r="B15" s="791"/>
      <c r="C15" s="791"/>
      <c r="D15" s="791"/>
      <c r="E15" s="791"/>
      <c r="F15" s="791"/>
      <c r="G15" s="791"/>
      <c r="H15" s="791"/>
      <c r="I15" s="791"/>
      <c r="J15" s="791"/>
      <c r="K15" s="791"/>
      <c r="L15" s="791"/>
      <c r="M15" s="791"/>
      <c r="N15" s="791"/>
      <c r="O15" s="791"/>
      <c r="P15" s="791"/>
      <c r="Q15" s="792"/>
    </row>
    <row r="16" spans="1:17" s="121" customFormat="1" ht="18" customHeight="1" x14ac:dyDescent="0.15">
      <c r="A16" s="218" t="s">
        <v>0</v>
      </c>
      <c r="B16" s="793" t="s">
        <v>982</v>
      </c>
      <c r="C16" s="794"/>
      <c r="D16" s="794"/>
      <c r="E16" s="794"/>
      <c r="F16" s="794"/>
      <c r="G16" s="794"/>
      <c r="H16" s="794"/>
      <c r="I16" s="794"/>
      <c r="J16" s="794"/>
      <c r="K16" s="794"/>
      <c r="L16" s="794"/>
      <c r="M16" s="794"/>
      <c r="N16" s="821"/>
      <c r="O16" s="216" t="s">
        <v>73</v>
      </c>
      <c r="P16" s="795" t="s">
        <v>5</v>
      </c>
      <c r="Q16" s="796"/>
    </row>
    <row r="17" spans="1:17" x14ac:dyDescent="0.15">
      <c r="A17" s="790"/>
      <c r="B17" s="791"/>
      <c r="C17" s="791"/>
      <c r="D17" s="791"/>
      <c r="E17" s="791"/>
      <c r="F17" s="791"/>
      <c r="G17" s="791"/>
      <c r="H17" s="791"/>
      <c r="I17" s="791"/>
      <c r="J17" s="791"/>
      <c r="K17" s="791"/>
      <c r="L17" s="791"/>
      <c r="M17" s="791"/>
      <c r="N17" s="791"/>
      <c r="O17" s="791"/>
      <c r="P17" s="791"/>
      <c r="Q17" s="792"/>
    </row>
    <row r="18" spans="1:17" s="126" customFormat="1" x14ac:dyDescent="0.15">
      <c r="A18" s="822" t="s">
        <v>150</v>
      </c>
      <c r="B18" s="823" t="s">
        <v>151</v>
      </c>
      <c r="C18" s="823"/>
      <c r="D18" s="802" t="s">
        <v>658</v>
      </c>
      <c r="E18" s="823" t="s">
        <v>152</v>
      </c>
      <c r="F18" s="823"/>
      <c r="G18" s="823"/>
      <c r="H18" s="804" t="s">
        <v>153</v>
      </c>
      <c r="I18" s="802" t="s">
        <v>159</v>
      </c>
      <c r="J18" s="804" t="s">
        <v>73</v>
      </c>
      <c r="K18" s="216" t="s">
        <v>154</v>
      </c>
      <c r="L18" s="806"/>
      <c r="M18" s="807"/>
      <c r="N18" s="807"/>
      <c r="O18" s="807"/>
      <c r="P18" s="807"/>
      <c r="Q18" s="808"/>
    </row>
    <row r="19" spans="1:17" s="130" customFormat="1" x14ac:dyDescent="0.15">
      <c r="A19" s="822"/>
      <c r="B19" s="823"/>
      <c r="C19" s="823"/>
      <c r="D19" s="803"/>
      <c r="E19" s="217" t="s">
        <v>155</v>
      </c>
      <c r="F19" s="217" t="s">
        <v>156</v>
      </c>
      <c r="G19" s="217" t="s">
        <v>157</v>
      </c>
      <c r="H19" s="805"/>
      <c r="I19" s="803"/>
      <c r="J19" s="805"/>
      <c r="K19" s="216" t="s">
        <v>158</v>
      </c>
      <c r="L19" s="809"/>
      <c r="M19" s="810"/>
      <c r="N19" s="810"/>
      <c r="O19" s="810"/>
      <c r="P19" s="810"/>
      <c r="Q19" s="811"/>
    </row>
    <row r="20" spans="1:17" ht="27.75" customHeight="1" x14ac:dyDescent="0.15">
      <c r="A20" s="131"/>
      <c r="B20" s="815" t="s">
        <v>1503</v>
      </c>
      <c r="C20" s="816"/>
      <c r="D20" s="219">
        <v>0</v>
      </c>
      <c r="E20" s="132">
        <v>11.14</v>
      </c>
      <c r="F20" s="144">
        <v>7.04</v>
      </c>
      <c r="G20" s="144">
        <v>0</v>
      </c>
      <c r="H20" s="132">
        <v>1</v>
      </c>
      <c r="I20" s="132">
        <f>E20*F20</f>
        <v>78.425600000000003</v>
      </c>
      <c r="J20" s="144" t="s">
        <v>5</v>
      </c>
      <c r="K20" s="219">
        <f>I20*H20</f>
        <v>78.425600000000003</v>
      </c>
      <c r="L20" s="809"/>
      <c r="M20" s="810"/>
      <c r="N20" s="810"/>
      <c r="O20" s="810"/>
      <c r="P20" s="810"/>
      <c r="Q20" s="811"/>
    </row>
    <row r="21" spans="1:17" ht="22.5" customHeight="1" x14ac:dyDescent="0.15">
      <c r="A21" s="795" t="s">
        <v>149</v>
      </c>
      <c r="B21" s="817"/>
      <c r="C21" s="817"/>
      <c r="D21" s="817"/>
      <c r="E21" s="817"/>
      <c r="F21" s="817"/>
      <c r="G21" s="817"/>
      <c r="H21" s="817"/>
      <c r="I21" s="817"/>
      <c r="J21" s="796"/>
      <c r="K21" s="416">
        <f>SUM(K20:K20)</f>
        <v>78.425600000000003</v>
      </c>
      <c r="L21" s="812"/>
      <c r="M21" s="813"/>
      <c r="N21" s="813"/>
      <c r="O21" s="813"/>
      <c r="P21" s="813"/>
      <c r="Q21" s="814"/>
    </row>
    <row r="22" spans="1:17" x14ac:dyDescent="0.15">
      <c r="A22" s="790"/>
      <c r="B22" s="791"/>
      <c r="C22" s="791"/>
      <c r="D22" s="791"/>
      <c r="E22" s="791"/>
      <c r="F22" s="791"/>
      <c r="G22" s="791"/>
      <c r="H22" s="791"/>
      <c r="I22" s="791"/>
      <c r="J22" s="791"/>
      <c r="K22" s="791"/>
      <c r="L22" s="791"/>
      <c r="M22" s="791"/>
      <c r="N22" s="791"/>
      <c r="O22" s="791"/>
      <c r="P22" s="791"/>
      <c r="Q22" s="792"/>
    </row>
    <row r="23" spans="1:17" s="121" customFormat="1" ht="18" customHeight="1" x14ac:dyDescent="0.15">
      <c r="A23" s="218" t="s">
        <v>0</v>
      </c>
      <c r="B23" s="793" t="s">
        <v>989</v>
      </c>
      <c r="C23" s="794"/>
      <c r="D23" s="794"/>
      <c r="E23" s="794"/>
      <c r="F23" s="794"/>
      <c r="G23" s="794"/>
      <c r="H23" s="794"/>
      <c r="I23" s="794"/>
      <c r="J23" s="794"/>
      <c r="K23" s="794"/>
      <c r="L23" s="794"/>
      <c r="M23" s="794"/>
      <c r="N23" s="821"/>
      <c r="O23" s="216" t="s">
        <v>73</v>
      </c>
      <c r="P23" s="795" t="s">
        <v>5</v>
      </c>
      <c r="Q23" s="796"/>
    </row>
    <row r="24" spans="1:17" x14ac:dyDescent="0.15">
      <c r="A24" s="790"/>
      <c r="B24" s="791"/>
      <c r="C24" s="791"/>
      <c r="D24" s="791"/>
      <c r="E24" s="791"/>
      <c r="F24" s="791"/>
      <c r="G24" s="791"/>
      <c r="H24" s="791"/>
      <c r="I24" s="791"/>
      <c r="J24" s="791"/>
      <c r="K24" s="791"/>
      <c r="L24" s="791"/>
      <c r="M24" s="791"/>
      <c r="N24" s="791"/>
      <c r="O24" s="791"/>
      <c r="P24" s="791"/>
      <c r="Q24" s="792"/>
    </row>
    <row r="25" spans="1:17" s="126" customFormat="1" x14ac:dyDescent="0.15">
      <c r="A25" s="822" t="s">
        <v>150</v>
      </c>
      <c r="B25" s="823" t="s">
        <v>151</v>
      </c>
      <c r="C25" s="823"/>
      <c r="D25" s="802" t="s">
        <v>658</v>
      </c>
      <c r="E25" s="823" t="s">
        <v>152</v>
      </c>
      <c r="F25" s="823"/>
      <c r="G25" s="823"/>
      <c r="H25" s="804" t="s">
        <v>153</v>
      </c>
      <c r="I25" s="802" t="s">
        <v>159</v>
      </c>
      <c r="J25" s="804" t="s">
        <v>73</v>
      </c>
      <c r="K25" s="216" t="s">
        <v>154</v>
      </c>
      <c r="L25" s="806"/>
      <c r="M25" s="807"/>
      <c r="N25" s="807"/>
      <c r="O25" s="807"/>
      <c r="P25" s="807"/>
      <c r="Q25" s="808"/>
    </row>
    <row r="26" spans="1:17" s="130" customFormat="1" x14ac:dyDescent="0.15">
      <c r="A26" s="822"/>
      <c r="B26" s="823"/>
      <c r="C26" s="823"/>
      <c r="D26" s="803"/>
      <c r="E26" s="217" t="s">
        <v>155</v>
      </c>
      <c r="F26" s="217" t="s">
        <v>156</v>
      </c>
      <c r="G26" s="217" t="s">
        <v>157</v>
      </c>
      <c r="H26" s="805"/>
      <c r="I26" s="803"/>
      <c r="J26" s="805"/>
      <c r="K26" s="216" t="s">
        <v>158</v>
      </c>
      <c r="L26" s="809"/>
      <c r="M26" s="810"/>
      <c r="N26" s="810"/>
      <c r="O26" s="810"/>
      <c r="P26" s="810"/>
      <c r="Q26" s="811"/>
    </row>
    <row r="27" spans="1:17" ht="27.75" customHeight="1" x14ac:dyDescent="0.15">
      <c r="A27" s="131"/>
      <c r="B27" s="815" t="s">
        <v>1503</v>
      </c>
      <c r="C27" s="816"/>
      <c r="D27" s="219">
        <v>0</v>
      </c>
      <c r="E27" s="132">
        <v>11.14</v>
      </c>
      <c r="F27" s="144">
        <v>7.04</v>
      </c>
      <c r="G27" s="144">
        <v>0</v>
      </c>
      <c r="H27" s="132">
        <v>1</v>
      </c>
      <c r="I27" s="132">
        <f>E27*F27</f>
        <v>78.425600000000003</v>
      </c>
      <c r="J27" s="144" t="s">
        <v>5</v>
      </c>
      <c r="K27" s="219">
        <f>I27*H27</f>
        <v>78.425600000000003</v>
      </c>
      <c r="L27" s="809"/>
      <c r="M27" s="810"/>
      <c r="N27" s="810"/>
      <c r="O27" s="810"/>
      <c r="P27" s="810"/>
      <c r="Q27" s="811"/>
    </row>
    <row r="28" spans="1:17" ht="22.5" customHeight="1" x14ac:dyDescent="0.15">
      <c r="A28" s="795" t="s">
        <v>149</v>
      </c>
      <c r="B28" s="817"/>
      <c r="C28" s="817"/>
      <c r="D28" s="817"/>
      <c r="E28" s="817"/>
      <c r="F28" s="817"/>
      <c r="G28" s="817"/>
      <c r="H28" s="817"/>
      <c r="I28" s="817"/>
      <c r="J28" s="796"/>
      <c r="K28" s="416">
        <f>SUM(K27:K27)</f>
        <v>78.425600000000003</v>
      </c>
      <c r="L28" s="812"/>
      <c r="M28" s="813"/>
      <c r="N28" s="813"/>
      <c r="O28" s="813"/>
      <c r="P28" s="813"/>
      <c r="Q28" s="814"/>
    </row>
    <row r="29" spans="1:17" x14ac:dyDescent="0.15">
      <c r="A29" s="790"/>
      <c r="B29" s="791"/>
      <c r="C29" s="791"/>
      <c r="D29" s="791"/>
      <c r="E29" s="791"/>
      <c r="F29" s="791"/>
      <c r="G29" s="791"/>
      <c r="H29" s="791"/>
      <c r="I29" s="791"/>
      <c r="J29" s="791"/>
      <c r="K29" s="791"/>
      <c r="L29" s="791"/>
      <c r="M29" s="791"/>
      <c r="N29" s="791"/>
      <c r="O29" s="791"/>
      <c r="P29" s="791"/>
      <c r="Q29" s="792"/>
    </row>
    <row r="30" spans="1:17" s="121" customFormat="1" ht="18" customHeight="1" x14ac:dyDescent="0.15">
      <c r="A30" s="218" t="s">
        <v>0</v>
      </c>
      <c r="B30" s="793" t="s">
        <v>1145</v>
      </c>
      <c r="C30" s="794"/>
      <c r="D30" s="794"/>
      <c r="E30" s="794"/>
      <c r="F30" s="794"/>
      <c r="G30" s="794"/>
      <c r="H30" s="794"/>
      <c r="I30" s="794"/>
      <c r="J30" s="794"/>
      <c r="K30" s="794"/>
      <c r="L30" s="794"/>
      <c r="M30" s="794"/>
      <c r="N30" s="821"/>
      <c r="O30" s="216" t="s">
        <v>73</v>
      </c>
      <c r="P30" s="795" t="s">
        <v>5</v>
      </c>
      <c r="Q30" s="796"/>
    </row>
    <row r="31" spans="1:17" x14ac:dyDescent="0.15">
      <c r="A31" s="790"/>
      <c r="B31" s="791"/>
      <c r="C31" s="791"/>
      <c r="D31" s="791"/>
      <c r="E31" s="791"/>
      <c r="F31" s="791"/>
      <c r="G31" s="791"/>
      <c r="H31" s="791"/>
      <c r="I31" s="791"/>
      <c r="J31" s="791"/>
      <c r="K31" s="791"/>
      <c r="L31" s="791"/>
      <c r="M31" s="791"/>
      <c r="N31" s="791"/>
      <c r="O31" s="791"/>
      <c r="P31" s="791"/>
      <c r="Q31" s="792"/>
    </row>
    <row r="32" spans="1:17" s="126" customFormat="1" x14ac:dyDescent="0.15">
      <c r="A32" s="822" t="s">
        <v>150</v>
      </c>
      <c r="B32" s="823" t="s">
        <v>151</v>
      </c>
      <c r="C32" s="823"/>
      <c r="D32" s="802" t="s">
        <v>658</v>
      </c>
      <c r="E32" s="823" t="s">
        <v>152</v>
      </c>
      <c r="F32" s="823"/>
      <c r="G32" s="823"/>
      <c r="H32" s="804" t="s">
        <v>153</v>
      </c>
      <c r="I32" s="802" t="s">
        <v>159</v>
      </c>
      <c r="J32" s="804" t="s">
        <v>73</v>
      </c>
      <c r="K32" s="216" t="s">
        <v>154</v>
      </c>
      <c r="L32" s="806"/>
      <c r="M32" s="807"/>
      <c r="N32" s="807"/>
      <c r="O32" s="807"/>
      <c r="P32" s="807"/>
      <c r="Q32" s="808"/>
    </row>
    <row r="33" spans="1:18" s="130" customFormat="1" x14ac:dyDescent="0.15">
      <c r="A33" s="822"/>
      <c r="B33" s="823"/>
      <c r="C33" s="823"/>
      <c r="D33" s="803"/>
      <c r="E33" s="217" t="s">
        <v>155</v>
      </c>
      <c r="F33" s="217" t="s">
        <v>156</v>
      </c>
      <c r="G33" s="217" t="s">
        <v>157</v>
      </c>
      <c r="H33" s="805"/>
      <c r="I33" s="803"/>
      <c r="J33" s="805"/>
      <c r="K33" s="216" t="s">
        <v>158</v>
      </c>
      <c r="L33" s="809"/>
      <c r="M33" s="810"/>
      <c r="N33" s="810"/>
      <c r="O33" s="810"/>
      <c r="P33" s="810"/>
      <c r="Q33" s="811"/>
    </row>
    <row r="34" spans="1:18" ht="27.75" customHeight="1" x14ac:dyDescent="0.15">
      <c r="A34" s="131"/>
      <c r="B34" s="815" t="s">
        <v>1503</v>
      </c>
      <c r="C34" s="816"/>
      <c r="D34" s="219">
        <v>0</v>
      </c>
      <c r="E34" s="132">
        <v>33.119999999999997</v>
      </c>
      <c r="F34" s="144">
        <v>0.5</v>
      </c>
      <c r="G34" s="144">
        <v>0</v>
      </c>
      <c r="H34" s="132">
        <v>2</v>
      </c>
      <c r="I34" s="132">
        <f>E34*F34</f>
        <v>16.559999999999999</v>
      </c>
      <c r="J34" s="144" t="s">
        <v>5</v>
      </c>
      <c r="K34" s="219">
        <f>I34*H34</f>
        <v>33.119999999999997</v>
      </c>
      <c r="L34" s="809"/>
      <c r="M34" s="810"/>
      <c r="N34" s="810"/>
      <c r="O34" s="810"/>
      <c r="P34" s="810"/>
      <c r="Q34" s="811"/>
    </row>
    <row r="35" spans="1:18" ht="22.5" customHeight="1" x14ac:dyDescent="0.15">
      <c r="A35" s="795" t="s">
        <v>149</v>
      </c>
      <c r="B35" s="817"/>
      <c r="C35" s="817"/>
      <c r="D35" s="817"/>
      <c r="E35" s="817"/>
      <c r="F35" s="817"/>
      <c r="G35" s="817"/>
      <c r="H35" s="817"/>
      <c r="I35" s="817"/>
      <c r="J35" s="796"/>
      <c r="K35" s="416">
        <f>SUM(K34:K34)</f>
        <v>33.119999999999997</v>
      </c>
      <c r="L35" s="812"/>
      <c r="M35" s="813"/>
      <c r="N35" s="813"/>
      <c r="O35" s="813"/>
      <c r="P35" s="813"/>
      <c r="Q35" s="814"/>
    </row>
    <row r="36" spans="1:18" x14ac:dyDescent="0.15">
      <c r="A36" s="790"/>
      <c r="B36" s="791"/>
      <c r="C36" s="791"/>
      <c r="D36" s="791"/>
      <c r="E36" s="791"/>
      <c r="F36" s="791"/>
      <c r="G36" s="791"/>
      <c r="H36" s="791"/>
      <c r="I36" s="791"/>
      <c r="J36" s="791"/>
      <c r="K36" s="791"/>
      <c r="L36" s="791"/>
      <c r="M36" s="791"/>
      <c r="N36" s="791"/>
      <c r="O36" s="791"/>
      <c r="P36" s="791"/>
      <c r="Q36" s="792"/>
    </row>
    <row r="37" spans="1:18" s="121" customFormat="1" ht="18" customHeight="1" x14ac:dyDescent="0.15">
      <c r="A37" s="218" t="s">
        <v>0</v>
      </c>
      <c r="B37" s="793" t="s">
        <v>1167</v>
      </c>
      <c r="C37" s="794"/>
      <c r="D37" s="794"/>
      <c r="E37" s="794"/>
      <c r="F37" s="794"/>
      <c r="G37" s="794"/>
      <c r="H37" s="794"/>
      <c r="I37" s="794"/>
      <c r="J37" s="794"/>
      <c r="K37" s="794"/>
      <c r="L37" s="794"/>
      <c r="M37" s="794"/>
      <c r="N37" s="821"/>
      <c r="O37" s="216" t="s">
        <v>73</v>
      </c>
      <c r="P37" s="795" t="s">
        <v>5</v>
      </c>
      <c r="Q37" s="796"/>
    </row>
    <row r="38" spans="1:18" x14ac:dyDescent="0.15">
      <c r="A38" s="790"/>
      <c r="B38" s="791"/>
      <c r="C38" s="791"/>
      <c r="D38" s="791"/>
      <c r="E38" s="791"/>
      <c r="F38" s="791"/>
      <c r="G38" s="791"/>
      <c r="H38" s="791"/>
      <c r="I38" s="791"/>
      <c r="J38" s="791"/>
      <c r="K38" s="791"/>
      <c r="L38" s="791"/>
      <c r="M38" s="791"/>
      <c r="N38" s="791"/>
      <c r="O38" s="791"/>
      <c r="P38" s="791"/>
      <c r="Q38" s="792"/>
    </row>
    <row r="39" spans="1:18" s="126" customFormat="1" x14ac:dyDescent="0.15">
      <c r="A39" s="822" t="s">
        <v>150</v>
      </c>
      <c r="B39" s="823" t="s">
        <v>151</v>
      </c>
      <c r="C39" s="823"/>
      <c r="D39" s="802" t="s">
        <v>658</v>
      </c>
      <c r="E39" s="823" t="s">
        <v>152</v>
      </c>
      <c r="F39" s="823"/>
      <c r="G39" s="823"/>
      <c r="H39" s="804" t="s">
        <v>153</v>
      </c>
      <c r="I39" s="802" t="s">
        <v>159</v>
      </c>
      <c r="J39" s="804" t="s">
        <v>73</v>
      </c>
      <c r="K39" s="216" t="s">
        <v>154</v>
      </c>
      <c r="L39" s="806"/>
      <c r="M39" s="807"/>
      <c r="N39" s="807"/>
      <c r="O39" s="807"/>
      <c r="P39" s="807"/>
      <c r="Q39" s="808"/>
    </row>
    <row r="40" spans="1:18" s="130" customFormat="1" x14ac:dyDescent="0.15">
      <c r="A40" s="822"/>
      <c r="B40" s="823"/>
      <c r="C40" s="823"/>
      <c r="D40" s="803"/>
      <c r="E40" s="217" t="s">
        <v>155</v>
      </c>
      <c r="F40" s="217" t="s">
        <v>156</v>
      </c>
      <c r="G40" s="217" t="s">
        <v>157</v>
      </c>
      <c r="H40" s="805"/>
      <c r="I40" s="803"/>
      <c r="J40" s="805"/>
      <c r="K40" s="216" t="s">
        <v>158</v>
      </c>
      <c r="L40" s="809"/>
      <c r="M40" s="810"/>
      <c r="N40" s="810"/>
      <c r="O40" s="810"/>
      <c r="P40" s="810"/>
      <c r="Q40" s="811"/>
    </row>
    <row r="41" spans="1:18" ht="27.75" customHeight="1" x14ac:dyDescent="0.15">
      <c r="A41" s="131"/>
      <c r="B41" s="815" t="s">
        <v>1503</v>
      </c>
      <c r="C41" s="816"/>
      <c r="D41" s="219">
        <v>0</v>
      </c>
      <c r="E41" s="132">
        <v>11.14</v>
      </c>
      <c r="F41" s="144">
        <v>7.04</v>
      </c>
      <c r="G41" s="144">
        <v>0</v>
      </c>
      <c r="H41" s="132">
        <v>1</v>
      </c>
      <c r="I41" s="132">
        <f>E41*F41</f>
        <v>78.425600000000003</v>
      </c>
      <c r="J41" s="144" t="s">
        <v>5</v>
      </c>
      <c r="K41" s="219">
        <f>I41*H41</f>
        <v>78.425600000000003</v>
      </c>
      <c r="L41" s="809"/>
      <c r="M41" s="810"/>
      <c r="N41" s="810"/>
      <c r="O41" s="810"/>
      <c r="P41" s="810"/>
      <c r="Q41" s="811"/>
    </row>
    <row r="42" spans="1:18" ht="22.5" customHeight="1" x14ac:dyDescent="0.15">
      <c r="A42" s="795" t="s">
        <v>149</v>
      </c>
      <c r="B42" s="817"/>
      <c r="C42" s="817"/>
      <c r="D42" s="817"/>
      <c r="E42" s="817"/>
      <c r="F42" s="817"/>
      <c r="G42" s="817"/>
      <c r="H42" s="817"/>
      <c r="I42" s="817"/>
      <c r="J42" s="796"/>
      <c r="K42" s="416">
        <f>SUM(K41:K41)</f>
        <v>78.425600000000003</v>
      </c>
      <c r="L42" s="812"/>
      <c r="M42" s="813"/>
      <c r="N42" s="813"/>
      <c r="O42" s="813"/>
      <c r="P42" s="813"/>
      <c r="Q42" s="814"/>
    </row>
    <row r="43" spans="1:18" x14ac:dyDescent="0.15">
      <c r="A43" s="790"/>
      <c r="B43" s="791"/>
      <c r="C43" s="791"/>
      <c r="D43" s="791"/>
      <c r="E43" s="791"/>
      <c r="F43" s="791"/>
      <c r="G43" s="791"/>
      <c r="H43" s="791"/>
      <c r="I43" s="791"/>
      <c r="J43" s="791"/>
      <c r="K43" s="791"/>
      <c r="L43" s="791"/>
      <c r="M43" s="791"/>
      <c r="N43" s="791"/>
      <c r="O43" s="791"/>
      <c r="P43" s="791"/>
      <c r="Q43" s="792"/>
    </row>
    <row r="44" spans="1:18" s="121" customFormat="1" ht="18" customHeight="1" x14ac:dyDescent="0.15">
      <c r="A44" s="218" t="s">
        <v>0</v>
      </c>
      <c r="B44" s="827" t="s">
        <v>1532</v>
      </c>
      <c r="C44" s="828"/>
      <c r="D44" s="828"/>
      <c r="E44" s="828"/>
      <c r="F44" s="828"/>
      <c r="G44" s="828"/>
      <c r="H44" s="828"/>
      <c r="I44" s="828"/>
      <c r="J44" s="828"/>
      <c r="K44" s="828"/>
      <c r="L44" s="828"/>
      <c r="M44" s="828"/>
      <c r="N44" s="829"/>
      <c r="O44" s="216" t="s">
        <v>73</v>
      </c>
      <c r="P44" s="795" t="s">
        <v>6</v>
      </c>
      <c r="Q44" s="796"/>
    </row>
    <row r="45" spans="1:18" x14ac:dyDescent="0.15">
      <c r="A45" s="790"/>
      <c r="B45" s="791"/>
      <c r="C45" s="791"/>
      <c r="D45" s="791"/>
      <c r="E45" s="791"/>
      <c r="F45" s="791"/>
      <c r="G45" s="791"/>
      <c r="H45" s="791"/>
      <c r="I45" s="791"/>
      <c r="J45" s="791"/>
      <c r="K45" s="791"/>
      <c r="L45" s="791"/>
      <c r="M45" s="791"/>
      <c r="N45" s="791"/>
      <c r="O45" s="791"/>
      <c r="P45" s="791"/>
      <c r="Q45" s="792"/>
    </row>
    <row r="46" spans="1:18" s="126" customFormat="1" x14ac:dyDescent="0.15">
      <c r="A46" s="822" t="s">
        <v>150</v>
      </c>
      <c r="B46" s="823" t="s">
        <v>151</v>
      </c>
      <c r="C46" s="823"/>
      <c r="D46" s="802" t="s">
        <v>493</v>
      </c>
      <c r="E46" s="823" t="s">
        <v>152</v>
      </c>
      <c r="F46" s="823"/>
      <c r="G46" s="823"/>
      <c r="H46" s="804" t="s">
        <v>153</v>
      </c>
      <c r="I46" s="802" t="s">
        <v>160</v>
      </c>
      <c r="J46" s="804" t="s">
        <v>73</v>
      </c>
      <c r="K46" s="216" t="s">
        <v>154</v>
      </c>
      <c r="L46" s="806"/>
      <c r="M46" s="807"/>
      <c r="N46" s="807"/>
      <c r="O46" s="807"/>
      <c r="P46" s="807"/>
      <c r="Q46" s="808"/>
    </row>
    <row r="47" spans="1:18" s="130" customFormat="1" x14ac:dyDescent="0.15">
      <c r="A47" s="822"/>
      <c r="B47" s="823"/>
      <c r="C47" s="823"/>
      <c r="D47" s="803"/>
      <c r="E47" s="825" t="s">
        <v>657</v>
      </c>
      <c r="F47" s="826"/>
      <c r="G47" s="217" t="s">
        <v>659</v>
      </c>
      <c r="H47" s="805"/>
      <c r="I47" s="803"/>
      <c r="J47" s="805"/>
      <c r="K47" s="216" t="s">
        <v>158</v>
      </c>
      <c r="L47" s="809"/>
      <c r="M47" s="810"/>
      <c r="N47" s="810"/>
      <c r="O47" s="810"/>
      <c r="P47" s="810"/>
      <c r="Q47" s="811"/>
    </row>
    <row r="48" spans="1:18" ht="19.5" customHeight="1" x14ac:dyDescent="0.15">
      <c r="A48" s="131"/>
      <c r="B48" s="815" t="s">
        <v>559</v>
      </c>
      <c r="C48" s="816"/>
      <c r="D48" s="219">
        <v>1.3</v>
      </c>
      <c r="E48" s="824">
        <f>K28</f>
        <v>78.425600000000003</v>
      </c>
      <c r="F48" s="824"/>
      <c r="G48" s="219">
        <v>0.1</v>
      </c>
      <c r="H48" s="132">
        <v>1</v>
      </c>
      <c r="I48" s="132">
        <f>E48*G48</f>
        <v>7.8425600000000006</v>
      </c>
      <c r="J48" s="144" t="s">
        <v>6</v>
      </c>
      <c r="K48" s="219">
        <f>I48*D48</f>
        <v>10.195328000000002</v>
      </c>
      <c r="L48" s="809"/>
      <c r="M48" s="810"/>
      <c r="N48" s="810"/>
      <c r="O48" s="810"/>
      <c r="P48" s="810"/>
      <c r="Q48" s="811"/>
      <c r="R48" s="221"/>
    </row>
    <row r="49" spans="1:19" ht="19.5" customHeight="1" x14ac:dyDescent="0.15">
      <c r="A49" s="131"/>
      <c r="B49" s="815" t="s">
        <v>1229</v>
      </c>
      <c r="C49" s="816"/>
      <c r="D49" s="219">
        <v>1.3</v>
      </c>
      <c r="E49" s="824">
        <f>K35</f>
        <v>33.119999999999997</v>
      </c>
      <c r="F49" s="824"/>
      <c r="G49" s="219">
        <v>0.13</v>
      </c>
      <c r="H49" s="132">
        <v>1</v>
      </c>
      <c r="I49" s="132">
        <f>E49*G49</f>
        <v>4.3056000000000001</v>
      </c>
      <c r="J49" s="144" t="s">
        <v>6</v>
      </c>
      <c r="K49" s="219">
        <f>I49*D49</f>
        <v>5.5972800000000005</v>
      </c>
      <c r="L49" s="809"/>
      <c r="M49" s="810"/>
      <c r="N49" s="810"/>
      <c r="O49" s="810"/>
      <c r="P49" s="810"/>
      <c r="Q49" s="811"/>
    </row>
    <row r="50" spans="1:19" ht="19.5" customHeight="1" x14ac:dyDescent="0.15">
      <c r="A50" s="131"/>
      <c r="B50" s="815" t="s">
        <v>1393</v>
      </c>
      <c r="C50" s="816"/>
      <c r="D50" s="219">
        <v>1.3</v>
      </c>
      <c r="E50" s="824">
        <f>K35</f>
        <v>33.119999999999997</v>
      </c>
      <c r="F50" s="824"/>
      <c r="G50" s="219">
        <v>0.05</v>
      </c>
      <c r="H50" s="132">
        <v>1</v>
      </c>
      <c r="I50" s="132">
        <f>E50*G50</f>
        <v>1.6559999999999999</v>
      </c>
      <c r="J50" s="144" t="s">
        <v>6</v>
      </c>
      <c r="K50" s="219">
        <f>I50*D50</f>
        <v>2.1528</v>
      </c>
      <c r="L50" s="809"/>
      <c r="M50" s="810"/>
      <c r="N50" s="810"/>
      <c r="O50" s="810"/>
      <c r="P50" s="810"/>
      <c r="Q50" s="811"/>
    </row>
    <row r="51" spans="1:19" ht="22.5" customHeight="1" x14ac:dyDescent="0.15">
      <c r="A51" s="795" t="s">
        <v>149</v>
      </c>
      <c r="B51" s="817"/>
      <c r="C51" s="817"/>
      <c r="D51" s="817"/>
      <c r="E51" s="817"/>
      <c r="F51" s="817"/>
      <c r="G51" s="817"/>
      <c r="H51" s="817"/>
      <c r="I51" s="817"/>
      <c r="J51" s="796"/>
      <c r="K51" s="416">
        <f>SUM(K48:K50)</f>
        <v>17.945408</v>
      </c>
      <c r="L51" s="812"/>
      <c r="M51" s="813"/>
      <c r="N51" s="813"/>
      <c r="O51" s="813"/>
      <c r="P51" s="813"/>
      <c r="Q51" s="814"/>
    </row>
    <row r="52" spans="1:19" x14ac:dyDescent="0.15">
      <c r="A52" s="790"/>
      <c r="B52" s="791"/>
      <c r="C52" s="791"/>
      <c r="D52" s="791"/>
      <c r="E52" s="791"/>
      <c r="F52" s="791"/>
      <c r="G52" s="791"/>
      <c r="H52" s="791"/>
      <c r="I52" s="791"/>
      <c r="J52" s="791"/>
      <c r="K52" s="791"/>
      <c r="L52" s="791"/>
      <c r="M52" s="791"/>
      <c r="N52" s="791"/>
      <c r="O52" s="791"/>
      <c r="P52" s="791"/>
      <c r="Q52" s="792"/>
    </row>
    <row r="53" spans="1:19" s="121" customFormat="1" ht="18" customHeight="1" x14ac:dyDescent="0.15">
      <c r="A53" s="218" t="s">
        <v>0</v>
      </c>
      <c r="B53" s="830" t="s">
        <v>561</v>
      </c>
      <c r="C53" s="831"/>
      <c r="D53" s="831"/>
      <c r="E53" s="831"/>
      <c r="F53" s="831"/>
      <c r="G53" s="831"/>
      <c r="H53" s="831"/>
      <c r="I53" s="831"/>
      <c r="J53" s="831"/>
      <c r="K53" s="831"/>
      <c r="L53" s="831"/>
      <c r="M53" s="831"/>
      <c r="N53" s="831"/>
      <c r="O53" s="216" t="s">
        <v>73</v>
      </c>
      <c r="P53" s="795" t="s">
        <v>6</v>
      </c>
      <c r="Q53" s="796"/>
    </row>
    <row r="54" spans="1:19" x14ac:dyDescent="0.15">
      <c r="A54" s="790"/>
      <c r="B54" s="791"/>
      <c r="C54" s="791"/>
      <c r="D54" s="791"/>
      <c r="E54" s="791"/>
      <c r="F54" s="791"/>
      <c r="G54" s="791"/>
      <c r="H54" s="791"/>
      <c r="I54" s="791"/>
      <c r="J54" s="791"/>
      <c r="K54" s="791"/>
      <c r="L54" s="791"/>
      <c r="M54" s="791"/>
      <c r="N54" s="791"/>
      <c r="O54" s="791"/>
      <c r="P54" s="791"/>
      <c r="Q54" s="792"/>
    </row>
    <row r="55" spans="1:19" s="126" customFormat="1" x14ac:dyDescent="0.15">
      <c r="A55" s="822" t="s">
        <v>150</v>
      </c>
      <c r="B55" s="823" t="s">
        <v>151</v>
      </c>
      <c r="C55" s="823"/>
      <c r="D55" s="802"/>
      <c r="E55" s="823" t="s">
        <v>152</v>
      </c>
      <c r="F55" s="823"/>
      <c r="G55" s="823"/>
      <c r="H55" s="802" t="s">
        <v>153</v>
      </c>
      <c r="I55" s="802" t="s">
        <v>160</v>
      </c>
      <c r="J55" s="804" t="s">
        <v>73</v>
      </c>
      <c r="K55" s="216" t="s">
        <v>154</v>
      </c>
      <c r="L55" s="123"/>
      <c r="M55" s="124"/>
      <c r="N55" s="124"/>
      <c r="O55" s="124"/>
      <c r="P55" s="124"/>
      <c r="Q55" s="125"/>
    </row>
    <row r="56" spans="1:19" s="130" customFormat="1" x14ac:dyDescent="0.15">
      <c r="A56" s="822"/>
      <c r="B56" s="823"/>
      <c r="C56" s="823"/>
      <c r="D56" s="803"/>
      <c r="E56" s="217" t="s">
        <v>155</v>
      </c>
      <c r="F56" s="217" t="s">
        <v>156</v>
      </c>
      <c r="G56" s="217" t="s">
        <v>157</v>
      </c>
      <c r="H56" s="803"/>
      <c r="I56" s="803"/>
      <c r="J56" s="805"/>
      <c r="K56" s="216" t="s">
        <v>158</v>
      </c>
      <c r="L56" s="127"/>
      <c r="M56" s="128"/>
      <c r="N56" s="128"/>
      <c r="O56" s="128"/>
      <c r="P56" s="128"/>
      <c r="Q56" s="129"/>
    </row>
    <row r="57" spans="1:19" ht="31.5" customHeight="1" x14ac:dyDescent="0.15">
      <c r="A57" s="148"/>
      <c r="B57" s="788" t="s">
        <v>1529</v>
      </c>
      <c r="C57" s="789"/>
      <c r="D57" s="149"/>
      <c r="E57" s="143">
        <v>0.4</v>
      </c>
      <c r="F57" s="143">
        <v>0.4</v>
      </c>
      <c r="G57" s="143">
        <v>0.9</v>
      </c>
      <c r="H57" s="143">
        <v>4</v>
      </c>
      <c r="I57" s="143">
        <f t="shared" ref="I57:I58" si="0">(E57*F57*G57)</f>
        <v>0.14400000000000004</v>
      </c>
      <c r="J57" s="133" t="s">
        <v>6</v>
      </c>
      <c r="K57" s="143">
        <f t="shared" ref="K57:K58" si="1">I57*H57</f>
        <v>0.57600000000000018</v>
      </c>
      <c r="L57" s="127"/>
      <c r="M57" s="128"/>
      <c r="N57" s="128"/>
      <c r="O57" s="128"/>
      <c r="P57" s="128"/>
      <c r="Q57" s="129"/>
      <c r="S57" s="369"/>
    </row>
    <row r="58" spans="1:19" ht="31.5" customHeight="1" x14ac:dyDescent="0.15">
      <c r="A58" s="148"/>
      <c r="B58" s="788" t="s">
        <v>1527</v>
      </c>
      <c r="C58" s="789"/>
      <c r="D58" s="149"/>
      <c r="E58" s="143">
        <v>3</v>
      </c>
      <c r="F58" s="143">
        <v>0.25</v>
      </c>
      <c r="G58" s="143">
        <v>0.25</v>
      </c>
      <c r="H58" s="143">
        <v>4</v>
      </c>
      <c r="I58" s="143">
        <f t="shared" si="0"/>
        <v>0.1875</v>
      </c>
      <c r="J58" s="133" t="s">
        <v>6</v>
      </c>
      <c r="K58" s="143">
        <f t="shared" si="1"/>
        <v>0.75</v>
      </c>
      <c r="L58" s="127"/>
      <c r="M58" s="128"/>
      <c r="N58" s="128"/>
      <c r="O58" s="128"/>
      <c r="P58" s="128"/>
      <c r="Q58" s="129"/>
    </row>
    <row r="59" spans="1:19" ht="14" x14ac:dyDescent="0.15">
      <c r="A59" s="795" t="s">
        <v>149</v>
      </c>
      <c r="B59" s="817"/>
      <c r="C59" s="817"/>
      <c r="D59" s="817"/>
      <c r="E59" s="817"/>
      <c r="F59" s="817"/>
      <c r="G59" s="817"/>
      <c r="H59" s="817"/>
      <c r="I59" s="817"/>
      <c r="J59" s="796"/>
      <c r="K59" s="416">
        <f>SUM(K57:K58)</f>
        <v>1.3260000000000001</v>
      </c>
      <c r="L59" s="134"/>
      <c r="M59" s="135"/>
      <c r="N59" s="135"/>
      <c r="O59" s="135"/>
      <c r="P59" s="135"/>
      <c r="Q59" s="136"/>
    </row>
    <row r="60" spans="1:19" x14ac:dyDescent="0.15">
      <c r="A60" s="790"/>
      <c r="B60" s="791"/>
      <c r="C60" s="791"/>
      <c r="D60" s="791"/>
      <c r="E60" s="791"/>
      <c r="F60" s="791"/>
      <c r="G60" s="791"/>
      <c r="H60" s="791"/>
      <c r="I60" s="791"/>
      <c r="J60" s="791"/>
      <c r="K60" s="791"/>
      <c r="L60" s="791"/>
      <c r="M60" s="791"/>
      <c r="N60" s="791"/>
      <c r="O60" s="791"/>
      <c r="P60" s="791"/>
      <c r="Q60" s="792"/>
    </row>
    <row r="61" spans="1:19" s="121" customFormat="1" ht="18" customHeight="1" x14ac:dyDescent="0.15">
      <c r="A61" s="218" t="s">
        <v>0</v>
      </c>
      <c r="B61" s="830" t="s">
        <v>523</v>
      </c>
      <c r="C61" s="831"/>
      <c r="D61" s="831"/>
      <c r="E61" s="831"/>
      <c r="F61" s="831"/>
      <c r="G61" s="831"/>
      <c r="H61" s="831"/>
      <c r="I61" s="831"/>
      <c r="J61" s="831"/>
      <c r="K61" s="831"/>
      <c r="L61" s="831"/>
      <c r="M61" s="831"/>
      <c r="N61" s="831"/>
      <c r="O61" s="216" t="s">
        <v>73</v>
      </c>
      <c r="P61" s="795" t="s">
        <v>6</v>
      </c>
      <c r="Q61" s="796"/>
    </row>
    <row r="62" spans="1:19" x14ac:dyDescent="0.15">
      <c r="A62" s="790"/>
      <c r="B62" s="791"/>
      <c r="C62" s="791"/>
      <c r="D62" s="791"/>
      <c r="E62" s="791"/>
      <c r="F62" s="791"/>
      <c r="G62" s="791"/>
      <c r="H62" s="791"/>
      <c r="I62" s="791"/>
      <c r="J62" s="791"/>
      <c r="K62" s="791"/>
      <c r="L62" s="791"/>
      <c r="M62" s="791"/>
      <c r="N62" s="791"/>
      <c r="O62" s="791"/>
      <c r="P62" s="791"/>
      <c r="Q62" s="792"/>
    </row>
    <row r="63" spans="1:19" s="126" customFormat="1" x14ac:dyDescent="0.15">
      <c r="A63" s="822" t="s">
        <v>150</v>
      </c>
      <c r="B63" s="823" t="s">
        <v>151</v>
      </c>
      <c r="C63" s="823"/>
      <c r="D63" s="832" t="s">
        <v>490</v>
      </c>
      <c r="E63" s="823" t="s">
        <v>152</v>
      </c>
      <c r="F63" s="823"/>
      <c r="G63" s="823"/>
      <c r="H63" s="802" t="s">
        <v>153</v>
      </c>
      <c r="I63" s="802" t="s">
        <v>160</v>
      </c>
      <c r="J63" s="804" t="s">
        <v>73</v>
      </c>
      <c r="K63" s="216" t="s">
        <v>154</v>
      </c>
      <c r="L63" s="123"/>
      <c r="M63" s="124"/>
      <c r="N63" s="124"/>
      <c r="O63" s="124"/>
      <c r="P63" s="124"/>
      <c r="Q63" s="125"/>
    </row>
    <row r="64" spans="1:19" s="130" customFormat="1" x14ac:dyDescent="0.15">
      <c r="A64" s="822"/>
      <c r="B64" s="823"/>
      <c r="C64" s="823"/>
      <c r="D64" s="833"/>
      <c r="E64" s="217" t="s">
        <v>155</v>
      </c>
      <c r="F64" s="217" t="s">
        <v>156</v>
      </c>
      <c r="G64" s="217" t="s">
        <v>157</v>
      </c>
      <c r="H64" s="803"/>
      <c r="I64" s="803"/>
      <c r="J64" s="805"/>
      <c r="K64" s="216" t="s">
        <v>158</v>
      </c>
      <c r="L64" s="127"/>
      <c r="M64" s="128"/>
      <c r="N64" s="128"/>
      <c r="O64" s="128"/>
      <c r="P64" s="128"/>
      <c r="Q64" s="129"/>
    </row>
    <row r="65" spans="1:17" ht="33" customHeight="1" x14ac:dyDescent="0.15">
      <c r="A65" s="148"/>
      <c r="B65" s="788" t="s">
        <v>1529</v>
      </c>
      <c r="C65" s="789"/>
      <c r="D65" s="143">
        <f>(0.25*0.25*0.4*H65)</f>
        <v>0.1</v>
      </c>
      <c r="E65" s="143">
        <v>0.4</v>
      </c>
      <c r="F65" s="143">
        <v>0.4</v>
      </c>
      <c r="G65" s="143">
        <v>0.4</v>
      </c>
      <c r="H65" s="143">
        <v>4</v>
      </c>
      <c r="I65" s="143">
        <f t="shared" ref="I65" si="2">(E65*F65*G65)</f>
        <v>6.4000000000000015E-2</v>
      </c>
      <c r="J65" s="133" t="s">
        <v>6</v>
      </c>
      <c r="K65" s="143">
        <f t="shared" ref="K65" si="3">(I65*H65)-D65</f>
        <v>0.15600000000000006</v>
      </c>
      <c r="L65" s="127"/>
      <c r="M65" s="128"/>
      <c r="N65" s="128"/>
      <c r="O65" s="128"/>
      <c r="P65" s="128"/>
      <c r="Q65" s="129"/>
    </row>
    <row r="66" spans="1:17" ht="14" x14ac:dyDescent="0.15">
      <c r="A66" s="795" t="s">
        <v>149</v>
      </c>
      <c r="B66" s="817"/>
      <c r="C66" s="817"/>
      <c r="D66" s="817"/>
      <c r="E66" s="817"/>
      <c r="F66" s="817"/>
      <c r="G66" s="817"/>
      <c r="H66" s="817"/>
      <c r="I66" s="817"/>
      <c r="J66" s="796"/>
      <c r="K66" s="416">
        <f>SUM(K65:K65)</f>
        <v>0.15600000000000006</v>
      </c>
      <c r="L66" s="134"/>
      <c r="M66" s="135"/>
      <c r="N66" s="135"/>
      <c r="O66" s="135"/>
      <c r="P66" s="135"/>
      <c r="Q66" s="136"/>
    </row>
    <row r="67" spans="1:17" x14ac:dyDescent="0.15">
      <c r="A67" s="790"/>
      <c r="B67" s="791"/>
      <c r="C67" s="791"/>
      <c r="D67" s="791"/>
      <c r="E67" s="791"/>
      <c r="F67" s="791"/>
      <c r="G67" s="791"/>
      <c r="H67" s="791"/>
      <c r="I67" s="791"/>
      <c r="J67" s="791"/>
      <c r="K67" s="791"/>
      <c r="L67" s="791"/>
      <c r="M67" s="791"/>
      <c r="N67" s="791"/>
      <c r="O67" s="791"/>
      <c r="P67" s="791"/>
      <c r="Q67" s="792"/>
    </row>
    <row r="68" spans="1:17" s="121" customFormat="1" ht="18" customHeight="1" x14ac:dyDescent="0.15">
      <c r="A68" s="218" t="s">
        <v>0</v>
      </c>
      <c r="B68" s="830" t="s">
        <v>1003</v>
      </c>
      <c r="C68" s="831"/>
      <c r="D68" s="831"/>
      <c r="E68" s="831"/>
      <c r="F68" s="831"/>
      <c r="G68" s="831"/>
      <c r="H68" s="831"/>
      <c r="I68" s="831"/>
      <c r="J68" s="831"/>
      <c r="K68" s="831"/>
      <c r="L68" s="831"/>
      <c r="M68" s="831"/>
      <c r="N68" s="831"/>
      <c r="O68" s="216" t="s">
        <v>73</v>
      </c>
      <c r="P68" s="795" t="s">
        <v>6</v>
      </c>
      <c r="Q68" s="796"/>
    </row>
    <row r="69" spans="1:17" x14ac:dyDescent="0.15">
      <c r="A69" s="790"/>
      <c r="B69" s="791"/>
      <c r="C69" s="791"/>
      <c r="D69" s="791"/>
      <c r="E69" s="791"/>
      <c r="F69" s="791"/>
      <c r="G69" s="791"/>
      <c r="H69" s="791"/>
      <c r="I69" s="791"/>
      <c r="J69" s="791"/>
      <c r="K69" s="791"/>
      <c r="L69" s="791"/>
      <c r="M69" s="791"/>
      <c r="N69" s="791"/>
      <c r="O69" s="791"/>
      <c r="P69" s="791"/>
      <c r="Q69" s="792"/>
    </row>
    <row r="70" spans="1:17" s="126" customFormat="1" x14ac:dyDescent="0.15">
      <c r="A70" s="822" t="s">
        <v>150</v>
      </c>
      <c r="B70" s="823" t="s">
        <v>151</v>
      </c>
      <c r="C70" s="823"/>
      <c r="D70" s="825" t="s">
        <v>152</v>
      </c>
      <c r="E70" s="826"/>
      <c r="F70" s="826"/>
      <c r="G70" s="834"/>
      <c r="H70" s="802" t="s">
        <v>153</v>
      </c>
      <c r="I70" s="802" t="s">
        <v>160</v>
      </c>
      <c r="J70" s="832" t="s">
        <v>495</v>
      </c>
      <c r="K70" s="804" t="s">
        <v>73</v>
      </c>
      <c r="L70" s="216" t="s">
        <v>154</v>
      </c>
      <c r="M70" s="806"/>
      <c r="N70" s="807"/>
      <c r="O70" s="807"/>
      <c r="P70" s="807"/>
      <c r="Q70" s="808"/>
    </row>
    <row r="71" spans="1:17" s="130" customFormat="1" x14ac:dyDescent="0.15">
      <c r="A71" s="822"/>
      <c r="B71" s="823"/>
      <c r="C71" s="823"/>
      <c r="D71" s="217" t="s">
        <v>624</v>
      </c>
      <c r="E71" s="217" t="s">
        <v>155</v>
      </c>
      <c r="F71" s="217" t="s">
        <v>156</v>
      </c>
      <c r="G71" s="217" t="s">
        <v>157</v>
      </c>
      <c r="H71" s="803"/>
      <c r="I71" s="803"/>
      <c r="J71" s="833"/>
      <c r="K71" s="805"/>
      <c r="L71" s="216" t="s">
        <v>158</v>
      </c>
      <c r="M71" s="809"/>
      <c r="N71" s="810"/>
      <c r="O71" s="810"/>
      <c r="P71" s="810"/>
      <c r="Q71" s="811"/>
    </row>
    <row r="72" spans="1:17" ht="27" customHeight="1" x14ac:dyDescent="0.15">
      <c r="A72" s="148"/>
      <c r="B72" s="815" t="s">
        <v>1503</v>
      </c>
      <c r="C72" s="816"/>
      <c r="D72" s="219">
        <v>0</v>
      </c>
      <c r="E72" s="132">
        <v>11.14</v>
      </c>
      <c r="F72" s="144">
        <v>7.04</v>
      </c>
      <c r="G72" s="143">
        <v>0.15</v>
      </c>
      <c r="H72" s="143">
        <v>1</v>
      </c>
      <c r="I72" s="143">
        <f t="shared" ref="I72:I73" si="4">E72*F72*G72</f>
        <v>11.76384</v>
      </c>
      <c r="J72" s="143">
        <v>0</v>
      </c>
      <c r="K72" s="133" t="s">
        <v>6</v>
      </c>
      <c r="L72" s="143">
        <f>I72*H72</f>
        <v>11.76384</v>
      </c>
      <c r="M72" s="809"/>
      <c r="N72" s="810"/>
      <c r="O72" s="810"/>
      <c r="P72" s="810"/>
      <c r="Q72" s="811"/>
    </row>
    <row r="73" spans="1:17" ht="33" customHeight="1" x14ac:dyDescent="0.15">
      <c r="A73" s="148"/>
      <c r="B73" s="788" t="s">
        <v>1529</v>
      </c>
      <c r="C73" s="789"/>
      <c r="D73" s="143">
        <v>0</v>
      </c>
      <c r="E73" s="143">
        <v>0.4</v>
      </c>
      <c r="F73" s="143">
        <v>0.4</v>
      </c>
      <c r="G73" s="143">
        <v>0.1</v>
      </c>
      <c r="H73" s="143">
        <v>4</v>
      </c>
      <c r="I73" s="143">
        <f t="shared" si="4"/>
        <v>1.6000000000000004E-2</v>
      </c>
      <c r="J73" s="143">
        <v>0</v>
      </c>
      <c r="K73" s="133" t="s">
        <v>6</v>
      </c>
      <c r="L73" s="143">
        <f t="shared" ref="L73" si="5">H73*I73</f>
        <v>6.4000000000000015E-2</v>
      </c>
      <c r="M73" s="809"/>
      <c r="N73" s="810"/>
      <c r="O73" s="810"/>
      <c r="P73" s="810"/>
      <c r="Q73" s="811"/>
    </row>
    <row r="74" spans="1:17" ht="14" x14ac:dyDescent="0.15">
      <c r="A74" s="795" t="s">
        <v>149</v>
      </c>
      <c r="B74" s="817"/>
      <c r="C74" s="817"/>
      <c r="D74" s="817"/>
      <c r="E74" s="817"/>
      <c r="F74" s="817"/>
      <c r="G74" s="817"/>
      <c r="H74" s="817"/>
      <c r="I74" s="817"/>
      <c r="J74" s="817"/>
      <c r="K74" s="796"/>
      <c r="L74" s="416">
        <f>SUM(L72:L73)</f>
        <v>11.82784</v>
      </c>
      <c r="M74" s="812"/>
      <c r="N74" s="813"/>
      <c r="O74" s="813"/>
      <c r="P74" s="813"/>
      <c r="Q74" s="814"/>
    </row>
    <row r="75" spans="1:17" x14ac:dyDescent="0.15">
      <c r="A75" s="790"/>
      <c r="B75" s="791"/>
      <c r="C75" s="791"/>
      <c r="D75" s="791"/>
      <c r="E75" s="791"/>
      <c r="F75" s="791"/>
      <c r="G75" s="791"/>
      <c r="H75" s="791"/>
      <c r="I75" s="791"/>
      <c r="J75" s="791"/>
      <c r="K75" s="791"/>
      <c r="L75" s="791"/>
      <c r="M75" s="791"/>
      <c r="N75" s="791"/>
      <c r="O75" s="791"/>
      <c r="P75" s="791"/>
      <c r="Q75" s="792"/>
    </row>
    <row r="76" spans="1:17" s="121" customFormat="1" ht="18" customHeight="1" x14ac:dyDescent="0.15">
      <c r="A76" s="218" t="s">
        <v>0</v>
      </c>
      <c r="B76" s="830" t="s">
        <v>562</v>
      </c>
      <c r="C76" s="831"/>
      <c r="D76" s="831"/>
      <c r="E76" s="831"/>
      <c r="F76" s="831"/>
      <c r="G76" s="831"/>
      <c r="H76" s="831"/>
      <c r="I76" s="831"/>
      <c r="J76" s="831"/>
      <c r="K76" s="831"/>
      <c r="L76" s="831"/>
      <c r="M76" s="831"/>
      <c r="N76" s="831"/>
      <c r="O76" s="216" t="s">
        <v>73</v>
      </c>
      <c r="P76" s="795" t="s">
        <v>6</v>
      </c>
      <c r="Q76" s="796"/>
    </row>
    <row r="77" spans="1:17" x14ac:dyDescent="0.15">
      <c r="A77" s="790"/>
      <c r="B77" s="791"/>
      <c r="C77" s="791"/>
      <c r="D77" s="791"/>
      <c r="E77" s="791"/>
      <c r="F77" s="791"/>
      <c r="G77" s="791"/>
      <c r="H77" s="791"/>
      <c r="I77" s="791"/>
      <c r="J77" s="791"/>
      <c r="K77" s="791"/>
      <c r="L77" s="791"/>
      <c r="M77" s="791"/>
      <c r="N77" s="791"/>
      <c r="O77" s="791"/>
      <c r="P77" s="791"/>
      <c r="Q77" s="792"/>
    </row>
    <row r="78" spans="1:17" s="126" customFormat="1" x14ac:dyDescent="0.15">
      <c r="A78" s="822" t="s">
        <v>150</v>
      </c>
      <c r="B78" s="823" t="s">
        <v>151</v>
      </c>
      <c r="C78" s="823"/>
      <c r="D78" s="802" t="s">
        <v>493</v>
      </c>
      <c r="E78" s="823" t="s">
        <v>152</v>
      </c>
      <c r="F78" s="823"/>
      <c r="G78" s="823"/>
      <c r="H78" s="804" t="s">
        <v>153</v>
      </c>
      <c r="I78" s="802" t="s">
        <v>160</v>
      </c>
      <c r="J78" s="804" t="s">
        <v>73</v>
      </c>
      <c r="K78" s="216" t="s">
        <v>154</v>
      </c>
      <c r="L78" s="806"/>
      <c r="M78" s="807"/>
      <c r="N78" s="807"/>
      <c r="O78" s="807"/>
      <c r="P78" s="807"/>
      <c r="Q78" s="808"/>
    </row>
    <row r="79" spans="1:17" s="130" customFormat="1" x14ac:dyDescent="0.15">
      <c r="A79" s="822"/>
      <c r="B79" s="823"/>
      <c r="C79" s="823"/>
      <c r="D79" s="803"/>
      <c r="E79" s="217" t="s">
        <v>155</v>
      </c>
      <c r="F79" s="217" t="s">
        <v>156</v>
      </c>
      <c r="G79" s="217" t="s">
        <v>157</v>
      </c>
      <c r="H79" s="805"/>
      <c r="I79" s="803"/>
      <c r="J79" s="805"/>
      <c r="K79" s="216" t="s">
        <v>158</v>
      </c>
      <c r="L79" s="809"/>
      <c r="M79" s="810"/>
      <c r="N79" s="810"/>
      <c r="O79" s="810"/>
      <c r="P79" s="810"/>
      <c r="Q79" s="811"/>
    </row>
    <row r="80" spans="1:17" ht="28.5" customHeight="1" x14ac:dyDescent="0.15">
      <c r="A80" s="131"/>
      <c r="B80" s="788" t="s">
        <v>496</v>
      </c>
      <c r="C80" s="789"/>
      <c r="D80" s="671">
        <v>1.3</v>
      </c>
      <c r="E80" s="143">
        <v>0</v>
      </c>
      <c r="F80" s="672">
        <v>0</v>
      </c>
      <c r="G80" s="672">
        <v>0</v>
      </c>
      <c r="H80" s="143">
        <v>1</v>
      </c>
      <c r="I80" s="143">
        <f>K59-K66</f>
        <v>1.17</v>
      </c>
      <c r="J80" s="672" t="s">
        <v>5</v>
      </c>
      <c r="K80" s="671">
        <f>I80*D80</f>
        <v>1.5209999999999999</v>
      </c>
      <c r="L80" s="809"/>
      <c r="M80" s="810"/>
      <c r="N80" s="810"/>
      <c r="O80" s="810"/>
      <c r="P80" s="810"/>
      <c r="Q80" s="811"/>
    </row>
    <row r="81" spans="1:19" ht="22.5" customHeight="1" x14ac:dyDescent="0.15">
      <c r="A81" s="795" t="s">
        <v>149</v>
      </c>
      <c r="B81" s="817"/>
      <c r="C81" s="817"/>
      <c r="D81" s="817"/>
      <c r="E81" s="817"/>
      <c r="F81" s="817"/>
      <c r="G81" s="817"/>
      <c r="H81" s="817"/>
      <c r="I81" s="817"/>
      <c r="J81" s="796"/>
      <c r="K81" s="416">
        <f>SUM(K80:K80)</f>
        <v>1.5209999999999999</v>
      </c>
      <c r="L81" s="812"/>
      <c r="M81" s="813"/>
      <c r="N81" s="813"/>
      <c r="O81" s="813"/>
      <c r="P81" s="813"/>
      <c r="Q81" s="814"/>
    </row>
    <row r="82" spans="1:19" x14ac:dyDescent="0.15">
      <c r="A82" s="790"/>
      <c r="B82" s="791"/>
      <c r="C82" s="791"/>
      <c r="D82" s="791"/>
      <c r="E82" s="791"/>
      <c r="F82" s="791"/>
      <c r="G82" s="791"/>
      <c r="H82" s="791"/>
      <c r="I82" s="791"/>
      <c r="J82" s="791"/>
      <c r="K82" s="791"/>
      <c r="L82" s="791"/>
      <c r="M82" s="791"/>
      <c r="N82" s="791"/>
      <c r="O82" s="791"/>
      <c r="P82" s="791"/>
      <c r="Q82" s="792"/>
    </row>
    <row r="83" spans="1:19" s="121" customFormat="1" ht="18" customHeight="1" x14ac:dyDescent="0.15">
      <c r="A83" s="218" t="s">
        <v>0</v>
      </c>
      <c r="B83" s="793" t="s">
        <v>566</v>
      </c>
      <c r="C83" s="794"/>
      <c r="D83" s="794"/>
      <c r="E83" s="794"/>
      <c r="F83" s="794"/>
      <c r="G83" s="794"/>
      <c r="H83" s="794"/>
      <c r="I83" s="794"/>
      <c r="J83" s="794"/>
      <c r="K83" s="794"/>
      <c r="L83" s="794"/>
      <c r="M83" s="794"/>
      <c r="N83" s="794"/>
      <c r="O83" s="216" t="s">
        <v>73</v>
      </c>
      <c r="P83" s="795" t="s">
        <v>6</v>
      </c>
      <c r="Q83" s="796"/>
    </row>
    <row r="84" spans="1:19" x14ac:dyDescent="0.15">
      <c r="A84" s="790"/>
      <c r="B84" s="791"/>
      <c r="C84" s="791"/>
      <c r="D84" s="791"/>
      <c r="E84" s="791"/>
      <c r="F84" s="791"/>
      <c r="G84" s="791"/>
      <c r="H84" s="791"/>
      <c r="I84" s="791"/>
      <c r="J84" s="791"/>
      <c r="K84" s="791"/>
      <c r="L84" s="791"/>
      <c r="M84" s="791"/>
      <c r="N84" s="791"/>
      <c r="O84" s="791"/>
      <c r="P84" s="791"/>
      <c r="Q84" s="792"/>
    </row>
    <row r="85" spans="1:19" s="126" customFormat="1" x14ac:dyDescent="0.15">
      <c r="A85" s="822" t="s">
        <v>150</v>
      </c>
      <c r="B85" s="823" t="s">
        <v>151</v>
      </c>
      <c r="C85" s="823"/>
      <c r="D85" s="802"/>
      <c r="E85" s="823" t="s">
        <v>152</v>
      </c>
      <c r="F85" s="823"/>
      <c r="G85" s="823"/>
      <c r="H85" s="802" t="s">
        <v>153</v>
      </c>
      <c r="I85" s="802" t="s">
        <v>160</v>
      </c>
      <c r="J85" s="804" t="s">
        <v>73</v>
      </c>
      <c r="K85" s="216" t="s">
        <v>154</v>
      </c>
      <c r="L85" s="123"/>
      <c r="M85" s="124"/>
      <c r="N85" s="124"/>
      <c r="O85" s="124"/>
      <c r="P85" s="124"/>
      <c r="Q85" s="125"/>
    </row>
    <row r="86" spans="1:19" s="130" customFormat="1" x14ac:dyDescent="0.15">
      <c r="A86" s="822"/>
      <c r="B86" s="823"/>
      <c r="C86" s="823"/>
      <c r="D86" s="803"/>
      <c r="E86" s="217" t="s">
        <v>155</v>
      </c>
      <c r="F86" s="217" t="s">
        <v>156</v>
      </c>
      <c r="G86" s="217" t="s">
        <v>157</v>
      </c>
      <c r="H86" s="803"/>
      <c r="I86" s="803"/>
      <c r="J86" s="805"/>
      <c r="K86" s="216" t="s">
        <v>158</v>
      </c>
      <c r="L86" s="127"/>
      <c r="M86" s="128"/>
      <c r="N86" s="128"/>
      <c r="O86" s="128"/>
      <c r="P86" s="128"/>
      <c r="Q86" s="129"/>
    </row>
    <row r="87" spans="1:19" ht="31.5" customHeight="1" x14ac:dyDescent="0.15">
      <c r="A87" s="148"/>
      <c r="B87" s="788" t="s">
        <v>1529</v>
      </c>
      <c r="C87" s="789"/>
      <c r="D87" s="149"/>
      <c r="E87" s="143">
        <v>0.4</v>
      </c>
      <c r="F87" s="143">
        <v>0.4</v>
      </c>
      <c r="G87" s="143">
        <v>0.05</v>
      </c>
      <c r="H87" s="143">
        <v>4</v>
      </c>
      <c r="I87" s="143">
        <f t="shared" ref="I87" si="6">(E87*F87*G87)</f>
        <v>8.0000000000000019E-3</v>
      </c>
      <c r="J87" s="133" t="s">
        <v>6</v>
      </c>
      <c r="K87" s="143">
        <f t="shared" ref="K87" si="7">I87*H87</f>
        <v>3.2000000000000008E-2</v>
      </c>
      <c r="L87" s="127"/>
      <c r="M87" s="128"/>
      <c r="N87" s="128"/>
      <c r="O87" s="128"/>
      <c r="P87" s="128"/>
      <c r="Q87" s="129"/>
      <c r="S87" s="369"/>
    </row>
    <row r="88" spans="1:19" ht="14" x14ac:dyDescent="0.15">
      <c r="A88" s="795" t="s">
        <v>149</v>
      </c>
      <c r="B88" s="817"/>
      <c r="C88" s="817"/>
      <c r="D88" s="817"/>
      <c r="E88" s="817"/>
      <c r="F88" s="817"/>
      <c r="G88" s="817"/>
      <c r="H88" s="817"/>
      <c r="I88" s="817"/>
      <c r="J88" s="796"/>
      <c r="K88" s="416">
        <f>SUM(K87)</f>
        <v>3.2000000000000008E-2</v>
      </c>
      <c r="L88" s="134"/>
      <c r="M88" s="135"/>
      <c r="N88" s="135"/>
      <c r="O88" s="135"/>
      <c r="P88" s="135"/>
      <c r="Q88" s="136"/>
      <c r="R88" s="221"/>
    </row>
    <row r="89" spans="1:19" x14ac:dyDescent="0.15">
      <c r="A89" s="790"/>
      <c r="B89" s="791"/>
      <c r="C89" s="791"/>
      <c r="D89" s="791"/>
      <c r="E89" s="791"/>
      <c r="F89" s="791"/>
      <c r="G89" s="791"/>
      <c r="H89" s="791"/>
      <c r="I89" s="791"/>
      <c r="J89" s="791"/>
      <c r="K89" s="791"/>
      <c r="L89" s="791"/>
      <c r="M89" s="791"/>
      <c r="N89" s="791"/>
      <c r="O89" s="791"/>
      <c r="P89" s="791"/>
      <c r="Q89" s="792"/>
    </row>
    <row r="90" spans="1:19" s="121" customFormat="1" ht="18" customHeight="1" x14ac:dyDescent="0.15">
      <c r="A90" s="218" t="s">
        <v>0</v>
      </c>
      <c r="B90" s="793" t="s">
        <v>1528</v>
      </c>
      <c r="C90" s="794"/>
      <c r="D90" s="794"/>
      <c r="E90" s="794"/>
      <c r="F90" s="794"/>
      <c r="G90" s="794"/>
      <c r="H90" s="794"/>
      <c r="I90" s="794"/>
      <c r="J90" s="794"/>
      <c r="K90" s="794"/>
      <c r="L90" s="794"/>
      <c r="M90" s="794"/>
      <c r="N90" s="794"/>
      <c r="O90" s="216" t="s">
        <v>73</v>
      </c>
      <c r="P90" s="795" t="s">
        <v>319</v>
      </c>
      <c r="Q90" s="796"/>
    </row>
    <row r="91" spans="1:19" x14ac:dyDescent="0.15">
      <c r="A91" s="790"/>
      <c r="B91" s="791"/>
      <c r="C91" s="791"/>
      <c r="D91" s="791"/>
      <c r="E91" s="791"/>
      <c r="F91" s="791"/>
      <c r="G91" s="791"/>
      <c r="H91" s="791"/>
      <c r="I91" s="791"/>
      <c r="J91" s="791"/>
      <c r="K91" s="791"/>
      <c r="L91" s="791"/>
      <c r="M91" s="791"/>
      <c r="N91" s="791"/>
      <c r="O91" s="791"/>
      <c r="P91" s="791"/>
      <c r="Q91" s="792"/>
    </row>
    <row r="92" spans="1:19" s="126" customFormat="1" x14ac:dyDescent="0.15">
      <c r="A92" s="822" t="s">
        <v>150</v>
      </c>
      <c r="B92" s="823" t="s">
        <v>151</v>
      </c>
      <c r="C92" s="823"/>
      <c r="D92" s="802"/>
      <c r="E92" s="823" t="s">
        <v>152</v>
      </c>
      <c r="F92" s="823"/>
      <c r="G92" s="823"/>
      <c r="H92" s="802" t="s">
        <v>153</v>
      </c>
      <c r="I92" s="802" t="s">
        <v>479</v>
      </c>
      <c r="J92" s="804" t="s">
        <v>73</v>
      </c>
      <c r="K92" s="216" t="s">
        <v>154</v>
      </c>
      <c r="L92" s="123"/>
      <c r="M92" s="124"/>
      <c r="N92" s="124"/>
      <c r="O92" s="124"/>
      <c r="P92" s="124"/>
      <c r="Q92" s="125"/>
    </row>
    <row r="93" spans="1:19" s="130" customFormat="1" x14ac:dyDescent="0.15">
      <c r="A93" s="822"/>
      <c r="B93" s="823"/>
      <c r="C93" s="823"/>
      <c r="D93" s="803"/>
      <c r="E93" s="217" t="s">
        <v>155</v>
      </c>
      <c r="F93" s="217" t="s">
        <v>156</v>
      </c>
      <c r="G93" s="217" t="s">
        <v>157</v>
      </c>
      <c r="H93" s="803"/>
      <c r="I93" s="803"/>
      <c r="J93" s="805"/>
      <c r="K93" s="216" t="s">
        <v>158</v>
      </c>
      <c r="L93" s="127"/>
      <c r="M93" s="128"/>
      <c r="N93" s="128"/>
      <c r="O93" s="128"/>
      <c r="P93" s="128"/>
      <c r="Q93" s="129"/>
    </row>
    <row r="94" spans="1:19" ht="27.75" customHeight="1" x14ac:dyDescent="0.15">
      <c r="A94" s="148"/>
      <c r="B94" s="788" t="s">
        <v>1529</v>
      </c>
      <c r="C94" s="789"/>
      <c r="D94" s="149"/>
      <c r="E94" s="143">
        <v>0.4</v>
      </c>
      <c r="F94" s="143">
        <v>0.4</v>
      </c>
      <c r="G94" s="143">
        <v>0.25</v>
      </c>
      <c r="H94" s="143">
        <v>4</v>
      </c>
      <c r="I94" s="143">
        <v>1</v>
      </c>
      <c r="J94" s="133" t="s">
        <v>319</v>
      </c>
      <c r="K94" s="143">
        <f>I94*H94</f>
        <v>4</v>
      </c>
      <c r="L94" s="127"/>
      <c r="M94" s="128"/>
      <c r="N94" s="128"/>
      <c r="O94" s="128"/>
      <c r="P94" s="128"/>
      <c r="Q94" s="129"/>
    </row>
    <row r="95" spans="1:19" ht="14" x14ac:dyDescent="0.15">
      <c r="A95" s="795" t="s">
        <v>149</v>
      </c>
      <c r="B95" s="817"/>
      <c r="C95" s="817"/>
      <c r="D95" s="817"/>
      <c r="E95" s="817"/>
      <c r="F95" s="817"/>
      <c r="G95" s="817"/>
      <c r="H95" s="817"/>
      <c r="I95" s="817"/>
      <c r="J95" s="796"/>
      <c r="K95" s="416">
        <f>SUM(K94:K94)</f>
        <v>4</v>
      </c>
      <c r="L95" s="134"/>
      <c r="M95" s="135"/>
      <c r="N95" s="135"/>
      <c r="O95" s="135"/>
      <c r="P95" s="135"/>
      <c r="Q95" s="136"/>
    </row>
    <row r="96" spans="1:19" x14ac:dyDescent="0.15">
      <c r="A96" s="790"/>
      <c r="B96" s="791"/>
      <c r="C96" s="791"/>
      <c r="D96" s="791"/>
      <c r="E96" s="791"/>
      <c r="F96" s="791"/>
      <c r="G96" s="791"/>
      <c r="H96" s="791"/>
      <c r="I96" s="791"/>
      <c r="J96" s="791"/>
      <c r="K96" s="791"/>
      <c r="L96" s="791"/>
      <c r="M96" s="791"/>
      <c r="N96" s="791"/>
      <c r="O96" s="791"/>
      <c r="P96" s="791"/>
      <c r="Q96" s="792"/>
    </row>
    <row r="97" spans="1:17" s="121" customFormat="1" ht="18" customHeight="1" x14ac:dyDescent="0.15">
      <c r="A97" s="218" t="s">
        <v>0</v>
      </c>
      <c r="B97" s="793" t="s">
        <v>1518</v>
      </c>
      <c r="C97" s="794"/>
      <c r="D97" s="794"/>
      <c r="E97" s="794"/>
      <c r="F97" s="794"/>
      <c r="G97" s="794"/>
      <c r="H97" s="794"/>
      <c r="I97" s="794"/>
      <c r="J97" s="794"/>
      <c r="K97" s="794"/>
      <c r="L97" s="794"/>
      <c r="M97" s="794"/>
      <c r="N97" s="794"/>
      <c r="O97" s="216" t="s">
        <v>73</v>
      </c>
      <c r="P97" s="795" t="s">
        <v>193</v>
      </c>
      <c r="Q97" s="796"/>
    </row>
    <row r="98" spans="1:17" x14ac:dyDescent="0.15">
      <c r="A98" s="790"/>
      <c r="B98" s="791"/>
      <c r="C98" s="791"/>
      <c r="D98" s="791"/>
      <c r="E98" s="791"/>
      <c r="F98" s="791"/>
      <c r="G98" s="791"/>
      <c r="H98" s="791"/>
      <c r="I98" s="791"/>
      <c r="J98" s="791"/>
      <c r="K98" s="791"/>
      <c r="L98" s="791"/>
      <c r="M98" s="791"/>
      <c r="N98" s="791"/>
      <c r="O98" s="791"/>
      <c r="P98" s="791"/>
      <c r="Q98" s="792"/>
    </row>
    <row r="99" spans="1:17" s="126" customFormat="1" x14ac:dyDescent="0.15">
      <c r="A99" s="822" t="s">
        <v>150</v>
      </c>
      <c r="B99" s="823" t="s">
        <v>151</v>
      </c>
      <c r="C99" s="823"/>
      <c r="D99" s="802"/>
      <c r="E99" s="823" t="s">
        <v>152</v>
      </c>
      <c r="F99" s="823"/>
      <c r="G99" s="823"/>
      <c r="H99" s="802" t="s">
        <v>153</v>
      </c>
      <c r="I99" s="802" t="s">
        <v>242</v>
      </c>
      <c r="J99" s="804" t="s">
        <v>73</v>
      </c>
      <c r="K99" s="216" t="s">
        <v>154</v>
      </c>
      <c r="L99" s="123"/>
      <c r="M99" s="124"/>
      <c r="N99" s="124"/>
      <c r="O99" s="124"/>
      <c r="P99" s="124"/>
      <c r="Q99" s="125"/>
    </row>
    <row r="100" spans="1:17" s="130" customFormat="1" x14ac:dyDescent="0.15">
      <c r="A100" s="822"/>
      <c r="B100" s="823"/>
      <c r="C100" s="823"/>
      <c r="D100" s="803"/>
      <c r="E100" s="217" t="s">
        <v>155</v>
      </c>
      <c r="F100" s="217" t="s">
        <v>156</v>
      </c>
      <c r="G100" s="217" t="s">
        <v>157</v>
      </c>
      <c r="H100" s="803"/>
      <c r="I100" s="803"/>
      <c r="J100" s="805"/>
      <c r="K100" s="216" t="s">
        <v>158</v>
      </c>
      <c r="L100" s="127"/>
      <c r="M100" s="128"/>
      <c r="N100" s="128"/>
      <c r="O100" s="128"/>
      <c r="P100" s="128"/>
      <c r="Q100" s="129"/>
    </row>
    <row r="101" spans="1:17" ht="33" customHeight="1" x14ac:dyDescent="0.15">
      <c r="A101" s="148"/>
      <c r="B101" s="788" t="s">
        <v>1530</v>
      </c>
      <c r="C101" s="789"/>
      <c r="D101" s="149"/>
      <c r="E101" s="143">
        <v>3</v>
      </c>
      <c r="F101" s="143">
        <v>0.25</v>
      </c>
      <c r="G101" s="143">
        <v>0.25</v>
      </c>
      <c r="H101" s="143">
        <v>4</v>
      </c>
      <c r="I101" s="143">
        <f t="shared" ref="I101" si="8">E101</f>
        <v>3</v>
      </c>
      <c r="J101" s="133" t="s">
        <v>193</v>
      </c>
      <c r="K101" s="143">
        <f t="shared" ref="K101" si="9">I101*H101</f>
        <v>12</v>
      </c>
      <c r="L101" s="127"/>
      <c r="M101" s="128"/>
      <c r="N101" s="128"/>
      <c r="O101" s="128"/>
      <c r="P101" s="128"/>
      <c r="Q101" s="129"/>
    </row>
    <row r="102" spans="1:17" ht="14" x14ac:dyDescent="0.15">
      <c r="A102" s="795" t="s">
        <v>149</v>
      </c>
      <c r="B102" s="817"/>
      <c r="C102" s="817"/>
      <c r="D102" s="817"/>
      <c r="E102" s="817"/>
      <c r="F102" s="817"/>
      <c r="G102" s="817"/>
      <c r="H102" s="817"/>
      <c r="I102" s="817"/>
      <c r="J102" s="796"/>
      <c r="K102" s="416">
        <f>SUM(K101:K101)</f>
        <v>12</v>
      </c>
      <c r="L102" s="134"/>
      <c r="M102" s="135"/>
      <c r="N102" s="135"/>
      <c r="O102" s="135"/>
      <c r="P102" s="135"/>
      <c r="Q102" s="136"/>
    </row>
    <row r="103" spans="1:17" x14ac:dyDescent="0.15">
      <c r="A103" s="790"/>
      <c r="B103" s="791"/>
      <c r="C103" s="791"/>
      <c r="D103" s="791"/>
      <c r="E103" s="791"/>
      <c r="F103" s="791"/>
      <c r="G103" s="791"/>
      <c r="H103" s="791"/>
      <c r="I103" s="791"/>
      <c r="J103" s="791"/>
      <c r="K103" s="791"/>
      <c r="L103" s="791"/>
      <c r="M103" s="791"/>
      <c r="N103" s="791"/>
      <c r="O103" s="791"/>
      <c r="P103" s="791"/>
      <c r="Q103" s="792"/>
    </row>
    <row r="104" spans="1:17" s="121" customFormat="1" ht="18" customHeight="1" x14ac:dyDescent="0.15">
      <c r="A104" s="218" t="s">
        <v>0</v>
      </c>
      <c r="B104" s="793" t="s">
        <v>1514</v>
      </c>
      <c r="C104" s="794"/>
      <c r="D104" s="794"/>
      <c r="E104" s="794"/>
      <c r="F104" s="794"/>
      <c r="G104" s="794"/>
      <c r="H104" s="794"/>
      <c r="I104" s="794"/>
      <c r="J104" s="794"/>
      <c r="K104" s="794"/>
      <c r="L104" s="794"/>
      <c r="M104" s="794"/>
      <c r="N104" s="794"/>
      <c r="O104" s="216" t="s">
        <v>73</v>
      </c>
      <c r="P104" s="795" t="s">
        <v>193</v>
      </c>
      <c r="Q104" s="796"/>
    </row>
    <row r="105" spans="1:17" x14ac:dyDescent="0.15">
      <c r="A105" s="790"/>
      <c r="B105" s="791"/>
      <c r="C105" s="791"/>
      <c r="D105" s="791"/>
      <c r="E105" s="791"/>
      <c r="F105" s="791"/>
      <c r="G105" s="791"/>
      <c r="H105" s="791"/>
      <c r="I105" s="791"/>
      <c r="J105" s="791"/>
      <c r="K105" s="791"/>
      <c r="L105" s="791"/>
      <c r="M105" s="791"/>
      <c r="N105" s="791"/>
      <c r="O105" s="791"/>
      <c r="P105" s="791"/>
      <c r="Q105" s="792"/>
    </row>
    <row r="106" spans="1:17" s="126" customFormat="1" x14ac:dyDescent="0.15">
      <c r="A106" s="822" t="s">
        <v>150</v>
      </c>
      <c r="B106" s="823" t="s">
        <v>151</v>
      </c>
      <c r="C106" s="823"/>
      <c r="D106" s="802"/>
      <c r="E106" s="823" t="s">
        <v>152</v>
      </c>
      <c r="F106" s="823"/>
      <c r="G106" s="823"/>
      <c r="H106" s="802" t="s">
        <v>153</v>
      </c>
      <c r="I106" s="802" t="s">
        <v>242</v>
      </c>
      <c r="J106" s="804" t="s">
        <v>73</v>
      </c>
      <c r="K106" s="216" t="s">
        <v>154</v>
      </c>
      <c r="L106" s="123"/>
      <c r="M106" s="124"/>
      <c r="N106" s="124"/>
      <c r="O106" s="124"/>
      <c r="P106" s="124"/>
      <c r="Q106" s="125"/>
    </row>
    <row r="107" spans="1:17" s="130" customFormat="1" x14ac:dyDescent="0.15">
      <c r="A107" s="822"/>
      <c r="B107" s="823"/>
      <c r="C107" s="823"/>
      <c r="D107" s="803"/>
      <c r="E107" s="217" t="s">
        <v>155</v>
      </c>
      <c r="F107" s="217" t="s">
        <v>156</v>
      </c>
      <c r="G107" s="217" t="s">
        <v>157</v>
      </c>
      <c r="H107" s="803"/>
      <c r="I107" s="803"/>
      <c r="J107" s="805"/>
      <c r="K107" s="216" t="s">
        <v>158</v>
      </c>
      <c r="L107" s="127"/>
      <c r="M107" s="128"/>
      <c r="N107" s="128"/>
      <c r="O107" s="128"/>
      <c r="P107" s="128"/>
      <c r="Q107" s="129"/>
    </row>
    <row r="108" spans="1:17" ht="39.75" customHeight="1" x14ac:dyDescent="0.15">
      <c r="A108" s="148"/>
      <c r="B108" s="788" t="s">
        <v>1504</v>
      </c>
      <c r="C108" s="789"/>
      <c r="D108" s="149"/>
      <c r="E108" s="143">
        <v>3</v>
      </c>
      <c r="F108" s="143">
        <v>0.2</v>
      </c>
      <c r="G108" s="143">
        <v>0.25</v>
      </c>
      <c r="H108" s="143">
        <v>4</v>
      </c>
      <c r="I108" s="143">
        <f t="shared" ref="I108" si="10">E108</f>
        <v>3</v>
      </c>
      <c r="J108" s="133" t="s">
        <v>193</v>
      </c>
      <c r="K108" s="143">
        <f t="shared" ref="K108" si="11">I108*H108</f>
        <v>12</v>
      </c>
      <c r="L108" s="127"/>
      <c r="M108" s="128"/>
      <c r="N108" s="128"/>
      <c r="O108" s="128"/>
      <c r="P108" s="128"/>
      <c r="Q108" s="129"/>
    </row>
    <row r="109" spans="1:17" ht="14" x14ac:dyDescent="0.15">
      <c r="A109" s="795" t="s">
        <v>149</v>
      </c>
      <c r="B109" s="817"/>
      <c r="C109" s="817"/>
      <c r="D109" s="817"/>
      <c r="E109" s="817"/>
      <c r="F109" s="817"/>
      <c r="G109" s="817"/>
      <c r="H109" s="817"/>
      <c r="I109" s="817"/>
      <c r="J109" s="796"/>
      <c r="K109" s="416">
        <f>SUM(K108:K108)</f>
        <v>12</v>
      </c>
      <c r="L109" s="134"/>
      <c r="M109" s="135"/>
      <c r="N109" s="135"/>
      <c r="O109" s="135"/>
      <c r="P109" s="135"/>
      <c r="Q109" s="136"/>
    </row>
    <row r="110" spans="1:17" x14ac:dyDescent="0.15">
      <c r="A110" s="790"/>
      <c r="B110" s="791"/>
      <c r="C110" s="791"/>
      <c r="D110" s="791"/>
      <c r="E110" s="791"/>
      <c r="F110" s="791"/>
      <c r="G110" s="791"/>
      <c r="H110" s="791"/>
      <c r="I110" s="791"/>
      <c r="J110" s="791"/>
      <c r="K110" s="791"/>
      <c r="L110" s="791"/>
      <c r="M110" s="791"/>
      <c r="N110" s="791"/>
      <c r="O110" s="791"/>
      <c r="P110" s="791"/>
      <c r="Q110" s="792"/>
    </row>
    <row r="111" spans="1:17" s="121" customFormat="1" ht="18" customHeight="1" x14ac:dyDescent="0.15">
      <c r="A111" s="218" t="s">
        <v>0</v>
      </c>
      <c r="B111" s="793" t="s">
        <v>1513</v>
      </c>
      <c r="C111" s="794"/>
      <c r="D111" s="794"/>
      <c r="E111" s="794"/>
      <c r="F111" s="794"/>
      <c r="G111" s="794"/>
      <c r="H111" s="794"/>
      <c r="I111" s="794"/>
      <c r="J111" s="794"/>
      <c r="K111" s="794"/>
      <c r="L111" s="794"/>
      <c r="M111" s="794"/>
      <c r="N111" s="794"/>
      <c r="O111" s="216" t="s">
        <v>73</v>
      </c>
      <c r="P111" s="795" t="s">
        <v>193</v>
      </c>
      <c r="Q111" s="796"/>
    </row>
    <row r="112" spans="1:17" x14ac:dyDescent="0.15">
      <c r="A112" s="790"/>
      <c r="B112" s="791"/>
      <c r="C112" s="791"/>
      <c r="D112" s="791"/>
      <c r="E112" s="791"/>
      <c r="F112" s="791"/>
      <c r="G112" s="791"/>
      <c r="H112" s="791"/>
      <c r="I112" s="791"/>
      <c r="J112" s="791"/>
      <c r="K112" s="791"/>
      <c r="L112" s="791"/>
      <c r="M112" s="791"/>
      <c r="N112" s="791"/>
      <c r="O112" s="791"/>
      <c r="P112" s="791"/>
      <c r="Q112" s="792"/>
    </row>
    <row r="113" spans="1:17" s="126" customFormat="1" x14ac:dyDescent="0.15">
      <c r="A113" s="822" t="s">
        <v>150</v>
      </c>
      <c r="B113" s="823" t="s">
        <v>151</v>
      </c>
      <c r="C113" s="823"/>
      <c r="D113" s="802"/>
      <c r="E113" s="823" t="s">
        <v>152</v>
      </c>
      <c r="F113" s="823"/>
      <c r="G113" s="823"/>
      <c r="H113" s="802" t="s">
        <v>153</v>
      </c>
      <c r="I113" s="802" t="s">
        <v>242</v>
      </c>
      <c r="J113" s="804" t="s">
        <v>73</v>
      </c>
      <c r="K113" s="216" t="s">
        <v>154</v>
      </c>
      <c r="L113" s="123"/>
      <c r="M113" s="124"/>
      <c r="N113" s="124"/>
      <c r="O113" s="124"/>
      <c r="P113" s="124"/>
      <c r="Q113" s="125"/>
    </row>
    <row r="114" spans="1:17" s="130" customFormat="1" x14ac:dyDescent="0.15">
      <c r="A114" s="822"/>
      <c r="B114" s="823"/>
      <c r="C114" s="823"/>
      <c r="D114" s="803"/>
      <c r="E114" s="217" t="s">
        <v>155</v>
      </c>
      <c r="F114" s="217" t="s">
        <v>156</v>
      </c>
      <c r="G114" s="217" t="s">
        <v>157</v>
      </c>
      <c r="H114" s="803"/>
      <c r="I114" s="803"/>
      <c r="J114" s="805"/>
      <c r="K114" s="216" t="s">
        <v>158</v>
      </c>
      <c r="L114" s="127"/>
      <c r="M114" s="128"/>
      <c r="N114" s="128"/>
      <c r="O114" s="128"/>
      <c r="P114" s="128"/>
      <c r="Q114" s="129"/>
    </row>
    <row r="115" spans="1:17" ht="37.5" customHeight="1" x14ac:dyDescent="0.15">
      <c r="A115" s="148"/>
      <c r="B115" s="788" t="s">
        <v>1505</v>
      </c>
      <c r="C115" s="789"/>
      <c r="D115" s="149"/>
      <c r="E115" s="143">
        <v>3</v>
      </c>
      <c r="F115" s="143">
        <v>0.25</v>
      </c>
      <c r="G115" s="143">
        <v>0.25</v>
      </c>
      <c r="H115" s="143">
        <v>4</v>
      </c>
      <c r="I115" s="143">
        <f t="shared" ref="I115" si="12">E115</f>
        <v>3</v>
      </c>
      <c r="J115" s="133" t="s">
        <v>193</v>
      </c>
      <c r="K115" s="143">
        <f t="shared" ref="K115" si="13">I115*H115</f>
        <v>12</v>
      </c>
      <c r="L115" s="127"/>
      <c r="M115" s="128"/>
      <c r="N115" s="128"/>
      <c r="O115" s="128"/>
      <c r="P115" s="128"/>
      <c r="Q115" s="129"/>
    </row>
    <row r="116" spans="1:17" ht="14" x14ac:dyDescent="0.15">
      <c r="A116" s="795" t="s">
        <v>149</v>
      </c>
      <c r="B116" s="817"/>
      <c r="C116" s="817"/>
      <c r="D116" s="817"/>
      <c r="E116" s="817"/>
      <c r="F116" s="817"/>
      <c r="G116" s="817"/>
      <c r="H116" s="817"/>
      <c r="I116" s="817"/>
      <c r="J116" s="796"/>
      <c r="K116" s="416">
        <f>SUM(K115:K115)</f>
        <v>12</v>
      </c>
      <c r="L116" s="134"/>
      <c r="M116" s="135"/>
      <c r="N116" s="135"/>
      <c r="O116" s="135"/>
      <c r="P116" s="135"/>
      <c r="Q116" s="136"/>
    </row>
    <row r="117" spans="1:17" x14ac:dyDescent="0.15">
      <c r="A117" s="790"/>
      <c r="B117" s="791"/>
      <c r="C117" s="791"/>
      <c r="D117" s="791"/>
      <c r="E117" s="791"/>
      <c r="F117" s="791"/>
      <c r="G117" s="791"/>
      <c r="H117" s="791"/>
      <c r="I117" s="791"/>
      <c r="J117" s="791"/>
      <c r="K117" s="791"/>
      <c r="L117" s="791"/>
      <c r="M117" s="791"/>
      <c r="N117" s="791"/>
      <c r="O117" s="791"/>
      <c r="P117" s="791"/>
      <c r="Q117" s="792"/>
    </row>
    <row r="118" spans="1:17" s="121" customFormat="1" ht="18" customHeight="1" x14ac:dyDescent="0.15">
      <c r="A118" s="218" t="s">
        <v>0</v>
      </c>
      <c r="B118" s="835" t="s">
        <v>1517</v>
      </c>
      <c r="C118" s="836"/>
      <c r="D118" s="836"/>
      <c r="E118" s="836"/>
      <c r="F118" s="836"/>
      <c r="G118" s="836"/>
      <c r="H118" s="836"/>
      <c r="I118" s="836"/>
      <c r="J118" s="836"/>
      <c r="K118" s="836"/>
      <c r="L118" s="836"/>
      <c r="M118" s="836"/>
      <c r="N118" s="837"/>
      <c r="O118" s="216" t="s">
        <v>73</v>
      </c>
      <c r="P118" s="795" t="s">
        <v>5</v>
      </c>
      <c r="Q118" s="796"/>
    </row>
    <row r="119" spans="1:17" x14ac:dyDescent="0.15">
      <c r="A119" s="790"/>
      <c r="B119" s="791"/>
      <c r="C119" s="791"/>
      <c r="D119" s="791"/>
      <c r="E119" s="791"/>
      <c r="F119" s="791"/>
      <c r="G119" s="791"/>
      <c r="H119" s="791"/>
      <c r="I119" s="791"/>
      <c r="J119" s="791"/>
      <c r="K119" s="791"/>
      <c r="L119" s="791"/>
      <c r="M119" s="791"/>
      <c r="N119" s="791"/>
      <c r="O119" s="791"/>
      <c r="P119" s="791"/>
      <c r="Q119" s="792"/>
    </row>
    <row r="120" spans="1:17" s="126" customFormat="1" x14ac:dyDescent="0.15">
      <c r="A120" s="822" t="s">
        <v>150</v>
      </c>
      <c r="B120" s="823" t="s">
        <v>151</v>
      </c>
      <c r="C120" s="823"/>
      <c r="D120" s="832" t="s">
        <v>264</v>
      </c>
      <c r="E120" s="823" t="s">
        <v>152</v>
      </c>
      <c r="F120" s="823"/>
      <c r="G120" s="823"/>
      <c r="H120" s="802" t="s">
        <v>153</v>
      </c>
      <c r="I120" s="802" t="s">
        <v>159</v>
      </c>
      <c r="J120" s="804" t="s">
        <v>73</v>
      </c>
      <c r="K120" s="216" t="s">
        <v>154</v>
      </c>
      <c r="L120" s="123"/>
      <c r="M120" s="124"/>
      <c r="N120" s="124"/>
      <c r="O120" s="124"/>
      <c r="P120" s="124"/>
      <c r="Q120" s="125"/>
    </row>
    <row r="121" spans="1:17" s="130" customFormat="1" x14ac:dyDescent="0.15">
      <c r="A121" s="822"/>
      <c r="B121" s="823"/>
      <c r="C121" s="823"/>
      <c r="D121" s="833"/>
      <c r="E121" s="217" t="s">
        <v>155</v>
      </c>
      <c r="F121" s="217" t="s">
        <v>156</v>
      </c>
      <c r="G121" s="217" t="s">
        <v>157</v>
      </c>
      <c r="H121" s="803"/>
      <c r="I121" s="803"/>
      <c r="J121" s="805"/>
      <c r="K121" s="216" t="s">
        <v>158</v>
      </c>
      <c r="L121" s="127"/>
      <c r="M121" s="128"/>
      <c r="N121" s="128"/>
      <c r="O121" s="128"/>
      <c r="P121" s="128"/>
      <c r="Q121" s="129"/>
    </row>
    <row r="122" spans="1:17" ht="19.5" customHeight="1" x14ac:dyDescent="0.15">
      <c r="A122" s="148"/>
      <c r="B122" s="788" t="s">
        <v>1394</v>
      </c>
      <c r="C122" s="789"/>
      <c r="D122" s="143">
        <v>0</v>
      </c>
      <c r="E122" s="132">
        <v>11.14</v>
      </c>
      <c r="F122" s="144">
        <v>7.04</v>
      </c>
      <c r="G122" s="143">
        <v>0.1</v>
      </c>
      <c r="H122" s="143">
        <v>1</v>
      </c>
      <c r="I122" s="143">
        <f>E122*F122</f>
        <v>78.425600000000003</v>
      </c>
      <c r="J122" s="133" t="s">
        <v>5</v>
      </c>
      <c r="K122" s="143">
        <f>I122*H122</f>
        <v>78.425600000000003</v>
      </c>
      <c r="L122" s="127"/>
      <c r="M122" s="128"/>
      <c r="N122" s="128"/>
      <c r="O122" s="128"/>
      <c r="P122" s="128"/>
      <c r="Q122" s="129"/>
    </row>
    <row r="123" spans="1:17" ht="14" x14ac:dyDescent="0.15">
      <c r="A123" s="795" t="s">
        <v>149</v>
      </c>
      <c r="B123" s="817"/>
      <c r="C123" s="817"/>
      <c r="D123" s="817"/>
      <c r="E123" s="817"/>
      <c r="F123" s="817"/>
      <c r="G123" s="817"/>
      <c r="H123" s="817"/>
      <c r="I123" s="817"/>
      <c r="J123" s="796"/>
      <c r="K123" s="416">
        <f>SUM(K122:K122)</f>
        <v>78.425600000000003</v>
      </c>
      <c r="L123" s="134"/>
      <c r="M123" s="135"/>
      <c r="N123" s="135"/>
      <c r="O123" s="135"/>
      <c r="P123" s="135"/>
      <c r="Q123" s="136"/>
    </row>
    <row r="124" spans="1:17" x14ac:dyDescent="0.15">
      <c r="A124" s="790"/>
      <c r="B124" s="791"/>
      <c r="C124" s="791"/>
      <c r="D124" s="791"/>
      <c r="E124" s="791"/>
      <c r="F124" s="791"/>
      <c r="G124" s="791"/>
      <c r="H124" s="791"/>
      <c r="I124" s="791"/>
      <c r="J124" s="791"/>
      <c r="K124" s="791"/>
      <c r="L124" s="791"/>
      <c r="M124" s="791"/>
      <c r="N124" s="791"/>
      <c r="O124" s="791"/>
      <c r="P124" s="791"/>
      <c r="Q124" s="792"/>
    </row>
    <row r="125" spans="1:17" s="121" customFormat="1" ht="18" customHeight="1" x14ac:dyDescent="0.15">
      <c r="A125" s="218" t="s">
        <v>0</v>
      </c>
      <c r="B125" s="835" t="s">
        <v>1396</v>
      </c>
      <c r="C125" s="836"/>
      <c r="D125" s="836"/>
      <c r="E125" s="836"/>
      <c r="F125" s="836"/>
      <c r="G125" s="836"/>
      <c r="H125" s="836"/>
      <c r="I125" s="836"/>
      <c r="J125" s="836"/>
      <c r="K125" s="836"/>
      <c r="L125" s="836"/>
      <c r="M125" s="836"/>
      <c r="N125" s="837"/>
      <c r="O125" s="216" t="s">
        <v>73</v>
      </c>
      <c r="P125" s="795" t="s">
        <v>5</v>
      </c>
      <c r="Q125" s="796"/>
    </row>
    <row r="126" spans="1:17" x14ac:dyDescent="0.15">
      <c r="A126" s="790"/>
      <c r="B126" s="791"/>
      <c r="C126" s="791"/>
      <c r="D126" s="791"/>
      <c r="E126" s="791"/>
      <c r="F126" s="791"/>
      <c r="G126" s="791"/>
      <c r="H126" s="791"/>
      <c r="I126" s="791"/>
      <c r="J126" s="791"/>
      <c r="K126" s="791"/>
      <c r="L126" s="791"/>
      <c r="M126" s="791"/>
      <c r="N126" s="791"/>
      <c r="O126" s="791"/>
      <c r="P126" s="791"/>
      <c r="Q126" s="792"/>
    </row>
    <row r="127" spans="1:17" s="126" customFormat="1" x14ac:dyDescent="0.15">
      <c r="A127" s="822" t="s">
        <v>150</v>
      </c>
      <c r="B127" s="823" t="s">
        <v>151</v>
      </c>
      <c r="C127" s="823"/>
      <c r="D127" s="832" t="s">
        <v>264</v>
      </c>
      <c r="E127" s="823" t="s">
        <v>152</v>
      </c>
      <c r="F127" s="823"/>
      <c r="G127" s="823"/>
      <c r="H127" s="802" t="s">
        <v>153</v>
      </c>
      <c r="I127" s="802" t="s">
        <v>159</v>
      </c>
      <c r="J127" s="804" t="s">
        <v>73</v>
      </c>
      <c r="K127" s="216" t="s">
        <v>154</v>
      </c>
      <c r="L127" s="123"/>
      <c r="M127" s="124"/>
      <c r="N127" s="124"/>
      <c r="O127" s="124"/>
      <c r="P127" s="124"/>
      <c r="Q127" s="125"/>
    </row>
    <row r="128" spans="1:17" s="130" customFormat="1" x14ac:dyDescent="0.15">
      <c r="A128" s="822"/>
      <c r="B128" s="823"/>
      <c r="C128" s="823"/>
      <c r="D128" s="833"/>
      <c r="E128" s="217" t="s">
        <v>155</v>
      </c>
      <c r="F128" s="217" t="s">
        <v>156</v>
      </c>
      <c r="G128" s="217" t="s">
        <v>157</v>
      </c>
      <c r="H128" s="803"/>
      <c r="I128" s="803"/>
      <c r="J128" s="805"/>
      <c r="K128" s="216" t="s">
        <v>158</v>
      </c>
      <c r="L128" s="127"/>
      <c r="M128" s="128"/>
      <c r="N128" s="128"/>
      <c r="O128" s="128"/>
      <c r="P128" s="128"/>
      <c r="Q128" s="129"/>
    </row>
    <row r="129" spans="1:17" ht="19.5" customHeight="1" x14ac:dyDescent="0.15">
      <c r="A129" s="148"/>
      <c r="B129" s="788" t="s">
        <v>1394</v>
      </c>
      <c r="C129" s="789"/>
      <c r="D129" s="143">
        <v>0</v>
      </c>
      <c r="E129" s="132">
        <v>3</v>
      </c>
      <c r="F129" s="144">
        <v>0.15</v>
      </c>
      <c r="G129" s="143">
        <v>0.2</v>
      </c>
      <c r="H129" s="143">
        <v>4</v>
      </c>
      <c r="I129" s="143">
        <f>G129*E129</f>
        <v>0.60000000000000009</v>
      </c>
      <c r="J129" s="133" t="s">
        <v>5</v>
      </c>
      <c r="K129" s="143">
        <f>I129*H129</f>
        <v>2.4000000000000004</v>
      </c>
      <c r="L129" s="127"/>
      <c r="M129" s="128"/>
      <c r="N129" s="128"/>
      <c r="O129" s="128"/>
      <c r="P129" s="128"/>
      <c r="Q129" s="129"/>
    </row>
    <row r="130" spans="1:17" ht="14" x14ac:dyDescent="0.15">
      <c r="A130" s="795" t="s">
        <v>149</v>
      </c>
      <c r="B130" s="817"/>
      <c r="C130" s="817"/>
      <c r="D130" s="817"/>
      <c r="E130" s="817"/>
      <c r="F130" s="817"/>
      <c r="G130" s="817"/>
      <c r="H130" s="817"/>
      <c r="I130" s="817"/>
      <c r="J130" s="796"/>
      <c r="K130" s="416">
        <f>SUM(K129:K129)</f>
        <v>2.4000000000000004</v>
      </c>
      <c r="L130" s="134"/>
      <c r="M130" s="135"/>
      <c r="N130" s="135"/>
      <c r="O130" s="135"/>
      <c r="P130" s="135"/>
      <c r="Q130" s="136"/>
    </row>
    <row r="131" spans="1:17" x14ac:dyDescent="0.15">
      <c r="A131" s="790"/>
      <c r="B131" s="791"/>
      <c r="C131" s="791"/>
      <c r="D131" s="791"/>
      <c r="E131" s="791"/>
      <c r="F131" s="791"/>
      <c r="G131" s="791"/>
      <c r="H131" s="791"/>
      <c r="I131" s="791"/>
      <c r="J131" s="791"/>
      <c r="K131" s="791"/>
      <c r="L131" s="791"/>
      <c r="M131" s="791"/>
      <c r="N131" s="791"/>
      <c r="O131" s="791"/>
      <c r="P131" s="791"/>
      <c r="Q131" s="792"/>
    </row>
    <row r="132" spans="1:17" s="121" customFormat="1" ht="18" customHeight="1" x14ac:dyDescent="0.15">
      <c r="A132" s="218" t="s">
        <v>0</v>
      </c>
      <c r="B132" s="835" t="s">
        <v>1242</v>
      </c>
      <c r="C132" s="836"/>
      <c r="D132" s="836"/>
      <c r="E132" s="836"/>
      <c r="F132" s="836"/>
      <c r="G132" s="836"/>
      <c r="H132" s="836"/>
      <c r="I132" s="836"/>
      <c r="J132" s="836"/>
      <c r="K132" s="836"/>
      <c r="L132" s="836"/>
      <c r="M132" s="836"/>
      <c r="N132" s="837"/>
      <c r="O132" s="216" t="s">
        <v>73</v>
      </c>
      <c r="P132" s="795" t="s">
        <v>5</v>
      </c>
      <c r="Q132" s="796"/>
    </row>
    <row r="133" spans="1:17" x14ac:dyDescent="0.15">
      <c r="A133" s="790"/>
      <c r="B133" s="791"/>
      <c r="C133" s="791"/>
      <c r="D133" s="791"/>
      <c r="E133" s="791"/>
      <c r="F133" s="791"/>
      <c r="G133" s="791"/>
      <c r="H133" s="791"/>
      <c r="I133" s="791"/>
      <c r="J133" s="791"/>
      <c r="K133" s="791"/>
      <c r="L133" s="791"/>
      <c r="M133" s="791"/>
      <c r="N133" s="791"/>
      <c r="O133" s="791"/>
      <c r="P133" s="791"/>
      <c r="Q133" s="792"/>
    </row>
    <row r="134" spans="1:17" s="126" customFormat="1" x14ac:dyDescent="0.15">
      <c r="A134" s="822" t="s">
        <v>150</v>
      </c>
      <c r="B134" s="823" t="s">
        <v>151</v>
      </c>
      <c r="C134" s="823"/>
      <c r="D134" s="832" t="s">
        <v>264</v>
      </c>
      <c r="E134" s="823" t="s">
        <v>152</v>
      </c>
      <c r="F134" s="823"/>
      <c r="G134" s="823"/>
      <c r="H134" s="802" t="s">
        <v>153</v>
      </c>
      <c r="I134" s="802" t="s">
        <v>159</v>
      </c>
      <c r="J134" s="804" t="s">
        <v>73</v>
      </c>
      <c r="K134" s="216" t="s">
        <v>154</v>
      </c>
      <c r="L134" s="123"/>
      <c r="M134" s="124"/>
      <c r="N134" s="124"/>
      <c r="O134" s="124"/>
      <c r="P134" s="124"/>
      <c r="Q134" s="125"/>
    </row>
    <row r="135" spans="1:17" s="130" customFormat="1" x14ac:dyDescent="0.15">
      <c r="A135" s="822"/>
      <c r="B135" s="823"/>
      <c r="C135" s="823"/>
      <c r="D135" s="833"/>
      <c r="E135" s="217" t="s">
        <v>155</v>
      </c>
      <c r="F135" s="217" t="s">
        <v>156</v>
      </c>
      <c r="G135" s="217" t="s">
        <v>157</v>
      </c>
      <c r="H135" s="803"/>
      <c r="I135" s="803"/>
      <c r="J135" s="805"/>
      <c r="K135" s="216" t="s">
        <v>158</v>
      </c>
      <c r="L135" s="127"/>
      <c r="M135" s="128"/>
      <c r="N135" s="128"/>
      <c r="O135" s="128"/>
      <c r="P135" s="128"/>
      <c r="Q135" s="129"/>
    </row>
    <row r="136" spans="1:17" ht="24" customHeight="1" x14ac:dyDescent="0.15">
      <c r="A136" s="148"/>
      <c r="B136" s="788" t="s">
        <v>1395</v>
      </c>
      <c r="C136" s="789"/>
      <c r="D136" s="149"/>
      <c r="E136" s="143">
        <v>3</v>
      </c>
      <c r="F136" s="143">
        <v>3</v>
      </c>
      <c r="G136" s="143">
        <v>0.1</v>
      </c>
      <c r="H136" s="143">
        <v>1</v>
      </c>
      <c r="I136" s="143">
        <f>F136*E136</f>
        <v>9</v>
      </c>
      <c r="J136" s="133" t="s">
        <v>5</v>
      </c>
      <c r="K136" s="143">
        <f t="shared" ref="K136" si="14">I136*H136</f>
        <v>9</v>
      </c>
      <c r="L136" s="127"/>
      <c r="M136" s="128"/>
      <c r="N136" s="128"/>
      <c r="O136" s="128"/>
      <c r="P136" s="128"/>
      <c r="Q136" s="129"/>
    </row>
    <row r="137" spans="1:17" ht="14" x14ac:dyDescent="0.15">
      <c r="A137" s="795" t="s">
        <v>149</v>
      </c>
      <c r="B137" s="817"/>
      <c r="C137" s="817"/>
      <c r="D137" s="817"/>
      <c r="E137" s="817"/>
      <c r="F137" s="817"/>
      <c r="G137" s="817"/>
      <c r="H137" s="817"/>
      <c r="I137" s="817"/>
      <c r="J137" s="796"/>
      <c r="K137" s="416">
        <f>SUM(K136:K136)</f>
        <v>9</v>
      </c>
      <c r="L137" s="134"/>
      <c r="M137" s="135"/>
      <c r="N137" s="135"/>
      <c r="O137" s="135"/>
      <c r="P137" s="135"/>
      <c r="Q137" s="136"/>
    </row>
    <row r="138" spans="1:17" x14ac:dyDescent="0.15">
      <c r="A138" s="790"/>
      <c r="B138" s="791"/>
      <c r="C138" s="791"/>
      <c r="D138" s="791"/>
      <c r="E138" s="791"/>
      <c r="F138" s="791"/>
      <c r="G138" s="791"/>
      <c r="H138" s="791"/>
      <c r="I138" s="791"/>
      <c r="J138" s="791"/>
      <c r="K138" s="791"/>
      <c r="L138" s="791"/>
      <c r="M138" s="791"/>
      <c r="N138" s="791"/>
      <c r="O138" s="791"/>
      <c r="P138" s="791"/>
      <c r="Q138" s="792"/>
    </row>
    <row r="139" spans="1:17" s="121" customFormat="1" ht="18" customHeight="1" x14ac:dyDescent="0.15">
      <c r="A139" s="218" t="s">
        <v>0</v>
      </c>
      <c r="B139" s="838" t="s">
        <v>180</v>
      </c>
      <c r="C139" s="839"/>
      <c r="D139" s="839"/>
      <c r="E139" s="839"/>
      <c r="F139" s="839"/>
      <c r="G139" s="839"/>
      <c r="H139" s="839"/>
      <c r="I139" s="839"/>
      <c r="J139" s="839"/>
      <c r="K139" s="839"/>
      <c r="L139" s="839"/>
      <c r="M139" s="839"/>
      <c r="N139" s="840"/>
      <c r="O139" s="216" t="s">
        <v>73</v>
      </c>
      <c r="P139" s="795" t="s">
        <v>5</v>
      </c>
      <c r="Q139" s="796"/>
    </row>
    <row r="140" spans="1:17" x14ac:dyDescent="0.15">
      <c r="A140" s="790"/>
      <c r="B140" s="791"/>
      <c r="C140" s="791"/>
      <c r="D140" s="791"/>
      <c r="E140" s="791"/>
      <c r="F140" s="791"/>
      <c r="G140" s="791"/>
      <c r="H140" s="791"/>
      <c r="I140" s="791"/>
      <c r="J140" s="791"/>
      <c r="K140" s="791"/>
      <c r="L140" s="791"/>
      <c r="M140" s="791"/>
      <c r="N140" s="791"/>
      <c r="O140" s="791"/>
      <c r="P140" s="791"/>
      <c r="Q140" s="792"/>
    </row>
    <row r="141" spans="1:17" s="126" customFormat="1" x14ac:dyDescent="0.15">
      <c r="A141" s="822" t="s">
        <v>150</v>
      </c>
      <c r="B141" s="823" t="s">
        <v>151</v>
      </c>
      <c r="C141" s="823"/>
      <c r="D141" s="832" t="s">
        <v>1244</v>
      </c>
      <c r="E141" s="823" t="s">
        <v>152</v>
      </c>
      <c r="F141" s="823"/>
      <c r="G141" s="823"/>
      <c r="H141" s="802" t="s">
        <v>153</v>
      </c>
      <c r="I141" s="802" t="s">
        <v>159</v>
      </c>
      <c r="J141" s="804" t="s">
        <v>73</v>
      </c>
      <c r="K141" s="216" t="s">
        <v>154</v>
      </c>
      <c r="L141" s="123"/>
      <c r="M141" s="124"/>
      <c r="N141" s="124"/>
      <c r="O141" s="124"/>
      <c r="P141" s="124"/>
      <c r="Q141" s="125"/>
    </row>
    <row r="142" spans="1:17" s="130" customFormat="1" ht="28.5" customHeight="1" x14ac:dyDescent="0.15">
      <c r="A142" s="822"/>
      <c r="B142" s="823"/>
      <c r="C142" s="823"/>
      <c r="D142" s="833"/>
      <c r="E142" s="217" t="s">
        <v>155</v>
      </c>
      <c r="F142" s="217" t="s">
        <v>156</v>
      </c>
      <c r="G142" s="217" t="s">
        <v>157</v>
      </c>
      <c r="H142" s="803"/>
      <c r="I142" s="803"/>
      <c r="J142" s="805"/>
      <c r="K142" s="216" t="s">
        <v>158</v>
      </c>
      <c r="L142" s="127"/>
      <c r="M142" s="128"/>
      <c r="N142" s="128"/>
      <c r="O142" s="128"/>
      <c r="P142" s="128"/>
      <c r="Q142" s="129"/>
    </row>
    <row r="143" spans="1:17" ht="29.25" customHeight="1" x14ac:dyDescent="0.15">
      <c r="A143" s="148"/>
      <c r="B143" s="815" t="s">
        <v>1397</v>
      </c>
      <c r="C143" s="816"/>
      <c r="D143" s="143">
        <f>(2.5*1.25*3)+(2.25*0.9)</f>
        <v>11.4</v>
      </c>
      <c r="E143" s="143">
        <v>2.5</v>
      </c>
      <c r="F143" s="143">
        <v>0.09</v>
      </c>
      <c r="G143" s="143">
        <v>2.25</v>
      </c>
      <c r="H143" s="143">
        <v>4</v>
      </c>
      <c r="I143" s="143">
        <f t="shared" ref="I143" si="15">G143*E143</f>
        <v>5.625</v>
      </c>
      <c r="J143" s="133" t="s">
        <v>5</v>
      </c>
      <c r="K143" s="143">
        <f t="shared" ref="K143" si="16">(I143*H143)-D143</f>
        <v>11.1</v>
      </c>
      <c r="L143" s="127"/>
      <c r="M143" s="128"/>
      <c r="N143" s="128"/>
      <c r="O143" s="128"/>
      <c r="P143" s="128"/>
      <c r="Q143" s="129"/>
    </row>
    <row r="144" spans="1:17" ht="29.25" customHeight="1" x14ac:dyDescent="0.15">
      <c r="A144" s="148"/>
      <c r="B144" s="815" t="s">
        <v>1408</v>
      </c>
      <c r="C144" s="816"/>
      <c r="D144" s="143">
        <v>0</v>
      </c>
      <c r="E144" s="143">
        <v>3.5</v>
      </c>
      <c r="F144" s="143">
        <v>0.09</v>
      </c>
      <c r="G144" s="143">
        <v>0.2</v>
      </c>
      <c r="H144" s="143">
        <v>4</v>
      </c>
      <c r="I144" s="143">
        <f t="shared" ref="I144" si="17">G144*E144</f>
        <v>0.70000000000000007</v>
      </c>
      <c r="J144" s="133" t="s">
        <v>5</v>
      </c>
      <c r="K144" s="143">
        <f t="shared" ref="K144" si="18">(I144*H144)-D144</f>
        <v>2.8000000000000003</v>
      </c>
      <c r="L144" s="127"/>
      <c r="M144" s="128"/>
      <c r="N144" s="128"/>
      <c r="O144" s="128"/>
      <c r="P144" s="128"/>
      <c r="Q144" s="129"/>
    </row>
    <row r="145" spans="1:20" ht="14" x14ac:dyDescent="0.15">
      <c r="A145" s="795" t="s">
        <v>149</v>
      </c>
      <c r="B145" s="817"/>
      <c r="C145" s="817"/>
      <c r="D145" s="817"/>
      <c r="E145" s="817"/>
      <c r="F145" s="817"/>
      <c r="G145" s="817"/>
      <c r="H145" s="817"/>
      <c r="I145" s="817"/>
      <c r="J145" s="796"/>
      <c r="K145" s="416">
        <f>SUM(K143:K144)</f>
        <v>13.9</v>
      </c>
      <c r="L145" s="134"/>
      <c r="M145" s="135"/>
      <c r="N145" s="135"/>
      <c r="O145" s="135"/>
      <c r="P145" s="135"/>
      <c r="Q145" s="136"/>
    </row>
    <row r="146" spans="1:20" x14ac:dyDescent="0.15">
      <c r="A146" s="790"/>
      <c r="B146" s="791"/>
      <c r="C146" s="791"/>
      <c r="D146" s="791"/>
      <c r="E146" s="791"/>
      <c r="F146" s="791"/>
      <c r="G146" s="791"/>
      <c r="H146" s="791"/>
      <c r="I146" s="791"/>
      <c r="J146" s="791"/>
      <c r="K146" s="791"/>
      <c r="L146" s="791"/>
      <c r="M146" s="791"/>
      <c r="N146" s="791"/>
      <c r="O146" s="791"/>
      <c r="P146" s="791"/>
      <c r="Q146" s="792"/>
    </row>
    <row r="147" spans="1:20" s="121" customFormat="1" ht="18" customHeight="1" x14ac:dyDescent="0.15">
      <c r="A147" s="218" t="s">
        <v>0</v>
      </c>
      <c r="B147" s="838" t="s">
        <v>1026</v>
      </c>
      <c r="C147" s="839"/>
      <c r="D147" s="839"/>
      <c r="E147" s="839"/>
      <c r="F147" s="839"/>
      <c r="G147" s="839"/>
      <c r="H147" s="839"/>
      <c r="I147" s="839"/>
      <c r="J147" s="839"/>
      <c r="K147" s="839"/>
      <c r="L147" s="839"/>
      <c r="M147" s="839"/>
      <c r="N147" s="839"/>
      <c r="O147" s="216" t="s">
        <v>73</v>
      </c>
      <c r="P147" s="795" t="s">
        <v>5</v>
      </c>
      <c r="Q147" s="796"/>
    </row>
    <row r="148" spans="1:20" x14ac:dyDescent="0.15">
      <c r="A148" s="790"/>
      <c r="B148" s="791"/>
      <c r="C148" s="791"/>
      <c r="D148" s="791"/>
      <c r="E148" s="791"/>
      <c r="F148" s="791"/>
      <c r="G148" s="791"/>
      <c r="H148" s="791"/>
      <c r="I148" s="791"/>
      <c r="J148" s="791"/>
      <c r="K148" s="791"/>
      <c r="L148" s="791"/>
      <c r="M148" s="791"/>
      <c r="N148" s="791"/>
      <c r="O148" s="791"/>
      <c r="P148" s="791"/>
      <c r="Q148" s="792"/>
    </row>
    <row r="149" spans="1:20" s="126" customFormat="1" ht="12.75" customHeight="1" x14ac:dyDescent="0.15">
      <c r="A149" s="822" t="s">
        <v>150</v>
      </c>
      <c r="B149" s="823" t="s">
        <v>151</v>
      </c>
      <c r="C149" s="823"/>
      <c r="D149" s="832" t="s">
        <v>241</v>
      </c>
      <c r="E149" s="823" t="s">
        <v>152</v>
      </c>
      <c r="F149" s="823"/>
      <c r="G149" s="823"/>
      <c r="H149" s="802" t="s">
        <v>153</v>
      </c>
      <c r="I149" s="802" t="s">
        <v>159</v>
      </c>
      <c r="J149" s="804" t="s">
        <v>73</v>
      </c>
      <c r="K149" s="216" t="s">
        <v>154</v>
      </c>
      <c r="L149" s="123"/>
      <c r="M149" s="124"/>
      <c r="N149" s="124"/>
      <c r="O149" s="124"/>
      <c r="P149" s="124"/>
      <c r="Q149" s="125"/>
    </row>
    <row r="150" spans="1:20" s="130" customFormat="1" x14ac:dyDescent="0.15">
      <c r="A150" s="822"/>
      <c r="B150" s="823"/>
      <c r="C150" s="823"/>
      <c r="D150" s="833"/>
      <c r="E150" s="217" t="s">
        <v>155</v>
      </c>
      <c r="F150" s="217" t="s">
        <v>206</v>
      </c>
      <c r="G150" s="217" t="s">
        <v>157</v>
      </c>
      <c r="H150" s="803"/>
      <c r="I150" s="803"/>
      <c r="J150" s="805"/>
      <c r="K150" s="216" t="s">
        <v>158</v>
      </c>
      <c r="L150" s="127"/>
      <c r="M150" s="128"/>
      <c r="N150" s="128"/>
      <c r="O150" s="128"/>
      <c r="P150" s="128"/>
      <c r="Q150" s="129"/>
    </row>
    <row r="151" spans="1:20" ht="29.25" customHeight="1" x14ac:dyDescent="0.15">
      <c r="A151" s="148"/>
      <c r="B151" s="815" t="s">
        <v>1397</v>
      </c>
      <c r="C151" s="816"/>
      <c r="D151" s="143">
        <f>(2.5*1.25*3)+(2.25*0.9)</f>
        <v>11.4</v>
      </c>
      <c r="E151" s="143">
        <v>3</v>
      </c>
      <c r="F151" s="143">
        <v>0.02</v>
      </c>
      <c r="G151" s="143">
        <v>2.6</v>
      </c>
      <c r="H151" s="143">
        <v>4</v>
      </c>
      <c r="I151" s="143">
        <f t="shared" ref="I151:I152" si="19">G151*E151</f>
        <v>7.8000000000000007</v>
      </c>
      <c r="J151" s="133" t="s">
        <v>5</v>
      </c>
      <c r="K151" s="143">
        <f t="shared" ref="K151:K152" si="20">(I151*H151)-D151</f>
        <v>19.800000000000004</v>
      </c>
      <c r="L151" s="127"/>
      <c r="M151" s="128"/>
      <c r="N151" s="128"/>
      <c r="O151" s="128"/>
      <c r="P151" s="128"/>
      <c r="Q151" s="129"/>
    </row>
    <row r="152" spans="1:20" ht="29.25" customHeight="1" x14ac:dyDescent="0.15">
      <c r="A152" s="148"/>
      <c r="B152" s="815" t="s">
        <v>1408</v>
      </c>
      <c r="C152" s="816"/>
      <c r="D152" s="143">
        <v>0</v>
      </c>
      <c r="E152" s="143">
        <v>3</v>
      </c>
      <c r="F152" s="143">
        <v>0.09</v>
      </c>
      <c r="G152" s="143">
        <v>0.25</v>
      </c>
      <c r="H152" s="143">
        <v>8</v>
      </c>
      <c r="I152" s="143">
        <f t="shared" si="19"/>
        <v>0.75</v>
      </c>
      <c r="J152" s="133" t="s">
        <v>5</v>
      </c>
      <c r="K152" s="143">
        <f t="shared" si="20"/>
        <v>6</v>
      </c>
      <c r="L152" s="127"/>
      <c r="M152" s="128"/>
      <c r="N152" s="128"/>
      <c r="O152" s="128"/>
      <c r="P152" s="128"/>
      <c r="Q152" s="129"/>
    </row>
    <row r="153" spans="1:20" ht="29.25" customHeight="1" x14ac:dyDescent="0.15">
      <c r="A153" s="148"/>
      <c r="B153" s="815" t="s">
        <v>1398</v>
      </c>
      <c r="C153" s="816"/>
      <c r="D153" s="143">
        <f>(2.5*1.25*3)+(2.25*0.9)</f>
        <v>11.4</v>
      </c>
      <c r="E153" s="143">
        <v>2.86</v>
      </c>
      <c r="F153" s="143">
        <v>0.02</v>
      </c>
      <c r="G153" s="143">
        <v>2.6</v>
      </c>
      <c r="H153" s="143">
        <v>4</v>
      </c>
      <c r="I153" s="143">
        <f t="shared" ref="I153:I154" si="21">G153*E153</f>
        <v>7.4359999999999999</v>
      </c>
      <c r="J153" s="133" t="s">
        <v>5</v>
      </c>
      <c r="K153" s="143">
        <f t="shared" ref="K153:K154" si="22">(I153*H153)-D153</f>
        <v>18.344000000000001</v>
      </c>
      <c r="L153" s="127"/>
      <c r="M153" s="128"/>
      <c r="N153" s="128"/>
      <c r="O153" s="128"/>
      <c r="P153" s="128"/>
      <c r="Q153" s="129"/>
    </row>
    <row r="154" spans="1:20" ht="29.25" customHeight="1" x14ac:dyDescent="0.15">
      <c r="A154" s="148"/>
      <c r="B154" s="815" t="s">
        <v>1400</v>
      </c>
      <c r="C154" s="816"/>
      <c r="D154" s="143">
        <v>0</v>
      </c>
      <c r="E154" s="143">
        <v>3.5</v>
      </c>
      <c r="F154" s="143">
        <v>0.02</v>
      </c>
      <c r="G154" s="143">
        <v>3.5</v>
      </c>
      <c r="H154" s="143">
        <v>1</v>
      </c>
      <c r="I154" s="143">
        <f t="shared" si="21"/>
        <v>12.25</v>
      </c>
      <c r="J154" s="133" t="s">
        <v>5</v>
      </c>
      <c r="K154" s="143">
        <f t="shared" si="22"/>
        <v>12.25</v>
      </c>
      <c r="L154" s="127"/>
      <c r="M154" s="128"/>
      <c r="N154" s="128"/>
      <c r="O154" s="128"/>
      <c r="P154" s="128"/>
      <c r="Q154" s="129"/>
    </row>
    <row r="155" spans="1:20" ht="29.25" customHeight="1" x14ac:dyDescent="0.15">
      <c r="A155" s="148"/>
      <c r="B155" s="815" t="s">
        <v>1399</v>
      </c>
      <c r="C155" s="816"/>
      <c r="D155" s="143">
        <v>0</v>
      </c>
      <c r="E155" s="143">
        <v>3.5</v>
      </c>
      <c r="F155" s="143">
        <v>0.02</v>
      </c>
      <c r="G155" s="143">
        <v>0.25</v>
      </c>
      <c r="H155" s="143">
        <v>4</v>
      </c>
      <c r="I155" s="143">
        <f t="shared" ref="I155" si="23">G155*E155</f>
        <v>0.875</v>
      </c>
      <c r="J155" s="133" t="s">
        <v>5</v>
      </c>
      <c r="K155" s="143">
        <f t="shared" ref="K155" si="24">(I155*H155)-D155</f>
        <v>3.5</v>
      </c>
      <c r="L155" s="127"/>
      <c r="M155" s="128"/>
      <c r="N155" s="128"/>
      <c r="O155" s="128"/>
      <c r="P155" s="128"/>
      <c r="Q155" s="129"/>
    </row>
    <row r="156" spans="1:20" ht="14" x14ac:dyDescent="0.15">
      <c r="A156" s="795" t="s">
        <v>149</v>
      </c>
      <c r="B156" s="817"/>
      <c r="C156" s="817"/>
      <c r="D156" s="817"/>
      <c r="E156" s="817"/>
      <c r="F156" s="817"/>
      <c r="G156" s="817"/>
      <c r="H156" s="817"/>
      <c r="I156" s="817"/>
      <c r="J156" s="796"/>
      <c r="K156" s="416">
        <f>SUM(K151:K155)</f>
        <v>59.894000000000005</v>
      </c>
      <c r="L156" s="134"/>
      <c r="M156" s="135"/>
      <c r="N156" s="135"/>
      <c r="O156" s="135"/>
      <c r="P156" s="135"/>
      <c r="Q156" s="136"/>
    </row>
    <row r="157" spans="1:20" x14ac:dyDescent="0.15">
      <c r="A157" s="790"/>
      <c r="B157" s="791"/>
      <c r="C157" s="791"/>
      <c r="D157" s="791"/>
      <c r="E157" s="791"/>
      <c r="F157" s="791"/>
      <c r="G157" s="791"/>
      <c r="H157" s="791"/>
      <c r="I157" s="791"/>
      <c r="J157" s="791"/>
      <c r="K157" s="791"/>
      <c r="L157" s="791"/>
      <c r="M157" s="791"/>
      <c r="N157" s="791"/>
      <c r="O157" s="791"/>
      <c r="P157" s="791"/>
      <c r="Q157" s="792"/>
    </row>
    <row r="158" spans="1:20" s="121" customFormat="1" ht="18" customHeight="1" x14ac:dyDescent="0.15">
      <c r="A158" s="218" t="s">
        <v>0</v>
      </c>
      <c r="B158" s="838" t="s">
        <v>1095</v>
      </c>
      <c r="C158" s="839"/>
      <c r="D158" s="839"/>
      <c r="E158" s="839"/>
      <c r="F158" s="839"/>
      <c r="G158" s="839"/>
      <c r="H158" s="839"/>
      <c r="I158" s="839"/>
      <c r="J158" s="839"/>
      <c r="K158" s="839"/>
      <c r="L158" s="839"/>
      <c r="M158" s="839"/>
      <c r="N158" s="839"/>
      <c r="O158" s="216" t="s">
        <v>73</v>
      </c>
      <c r="P158" s="795" t="s">
        <v>5</v>
      </c>
      <c r="Q158" s="796"/>
    </row>
    <row r="159" spans="1:20" x14ac:dyDescent="0.15">
      <c r="A159" s="790"/>
      <c r="B159" s="791"/>
      <c r="C159" s="791"/>
      <c r="D159" s="791"/>
      <c r="E159" s="791"/>
      <c r="F159" s="791"/>
      <c r="G159" s="791"/>
      <c r="H159" s="791"/>
      <c r="I159" s="791"/>
      <c r="J159" s="791"/>
      <c r="K159" s="791"/>
      <c r="L159" s="791"/>
      <c r="M159" s="791"/>
      <c r="N159" s="791"/>
      <c r="O159" s="791"/>
      <c r="P159" s="791"/>
      <c r="Q159" s="792"/>
      <c r="T159" s="221"/>
    </row>
    <row r="160" spans="1:20" s="126" customFormat="1" ht="12.75" customHeight="1" x14ac:dyDescent="0.15">
      <c r="A160" s="822" t="s">
        <v>150</v>
      </c>
      <c r="B160" s="823" t="s">
        <v>151</v>
      </c>
      <c r="C160" s="823"/>
      <c r="D160" s="832" t="s">
        <v>241</v>
      </c>
      <c r="E160" s="823" t="s">
        <v>152</v>
      </c>
      <c r="F160" s="823"/>
      <c r="G160" s="823"/>
      <c r="H160" s="802" t="s">
        <v>153</v>
      </c>
      <c r="I160" s="802" t="s">
        <v>1096</v>
      </c>
      <c r="J160" s="804" t="s">
        <v>73</v>
      </c>
      <c r="K160" s="216" t="s">
        <v>154</v>
      </c>
      <c r="L160" s="123"/>
      <c r="M160" s="124"/>
      <c r="N160" s="124"/>
      <c r="O160" s="124"/>
      <c r="P160" s="124"/>
      <c r="Q160" s="125"/>
    </row>
    <row r="161" spans="1:20" s="130" customFormat="1" x14ac:dyDescent="0.15">
      <c r="A161" s="822"/>
      <c r="B161" s="823"/>
      <c r="C161" s="823"/>
      <c r="D161" s="833"/>
      <c r="E161" s="217" t="s">
        <v>155</v>
      </c>
      <c r="F161" s="217" t="s">
        <v>206</v>
      </c>
      <c r="G161" s="217" t="s">
        <v>1093</v>
      </c>
      <c r="H161" s="803"/>
      <c r="I161" s="803"/>
      <c r="J161" s="805"/>
      <c r="K161" s="216" t="s">
        <v>158</v>
      </c>
      <c r="L161" s="127"/>
      <c r="M161" s="128"/>
      <c r="N161" s="128"/>
      <c r="O161" s="128"/>
      <c r="P161" s="128"/>
      <c r="Q161" s="129"/>
    </row>
    <row r="162" spans="1:20" ht="29.25" customHeight="1" x14ac:dyDescent="0.15">
      <c r="A162" s="148"/>
      <c r="B162" s="815" t="s">
        <v>1401</v>
      </c>
      <c r="C162" s="816"/>
      <c r="D162" s="143">
        <v>0</v>
      </c>
      <c r="E162" s="143">
        <f>2.5+2.5+1.25+1.25</f>
        <v>7.5</v>
      </c>
      <c r="F162" s="143">
        <v>0.02</v>
      </c>
      <c r="G162" s="143">
        <v>0.12</v>
      </c>
      <c r="H162" s="143">
        <v>4</v>
      </c>
      <c r="I162" s="143">
        <f>E162</f>
        <v>7.5</v>
      </c>
      <c r="J162" s="133" t="s">
        <v>7</v>
      </c>
      <c r="K162" s="143">
        <f t="shared" ref="K162" si="25">(I162*H162)-D162</f>
        <v>30</v>
      </c>
      <c r="L162" s="127"/>
      <c r="M162" s="128"/>
      <c r="N162" s="128"/>
      <c r="O162" s="128"/>
      <c r="P162" s="128"/>
      <c r="Q162" s="129"/>
      <c r="T162" s="221"/>
    </row>
    <row r="163" spans="1:20" ht="29.25" customHeight="1" x14ac:dyDescent="0.15">
      <c r="A163" s="148"/>
      <c r="B163" s="815" t="s">
        <v>1402</v>
      </c>
      <c r="C163" s="816"/>
      <c r="D163" s="143">
        <v>0</v>
      </c>
      <c r="E163" s="143">
        <f>2.25+2.25+0.9</f>
        <v>5.4</v>
      </c>
      <c r="F163" s="143">
        <v>0.02</v>
      </c>
      <c r="G163" s="143">
        <v>0.12</v>
      </c>
      <c r="H163" s="143">
        <v>1</v>
      </c>
      <c r="I163" s="143">
        <f>E163</f>
        <v>5.4</v>
      </c>
      <c r="J163" s="133" t="s">
        <v>7</v>
      </c>
      <c r="K163" s="143">
        <f t="shared" ref="K163" si="26">(I163*H163)-D163</f>
        <v>5.4</v>
      </c>
      <c r="L163" s="127"/>
      <c r="M163" s="128"/>
      <c r="N163" s="128"/>
      <c r="O163" s="128"/>
      <c r="P163" s="128"/>
      <c r="Q163" s="129"/>
      <c r="T163" s="221"/>
    </row>
    <row r="164" spans="1:20" ht="14" x14ac:dyDescent="0.15">
      <c r="A164" s="795" t="s">
        <v>149</v>
      </c>
      <c r="B164" s="817"/>
      <c r="C164" s="817"/>
      <c r="D164" s="817"/>
      <c r="E164" s="817"/>
      <c r="F164" s="817"/>
      <c r="G164" s="817"/>
      <c r="H164" s="817"/>
      <c r="I164" s="817"/>
      <c r="J164" s="796"/>
      <c r="K164" s="416">
        <f>SUM(K162:K163)</f>
        <v>35.4</v>
      </c>
      <c r="L164" s="134"/>
      <c r="M164" s="135"/>
      <c r="N164" s="135"/>
      <c r="O164" s="135"/>
      <c r="P164" s="135"/>
      <c r="Q164" s="136"/>
      <c r="T164" s="121"/>
    </row>
    <row r="165" spans="1:20" x14ac:dyDescent="0.15">
      <c r="A165" s="790"/>
      <c r="B165" s="791"/>
      <c r="C165" s="791"/>
      <c r="D165" s="791"/>
      <c r="E165" s="791"/>
      <c r="F165" s="791"/>
      <c r="G165" s="791"/>
      <c r="H165" s="791"/>
      <c r="I165" s="791"/>
      <c r="J165" s="791"/>
      <c r="K165" s="791"/>
      <c r="L165" s="791"/>
      <c r="M165" s="791"/>
      <c r="N165" s="791"/>
      <c r="O165" s="791"/>
      <c r="P165" s="791"/>
      <c r="Q165" s="792"/>
    </row>
    <row r="166" spans="1:20" s="121" customFormat="1" ht="18" customHeight="1" x14ac:dyDescent="0.15">
      <c r="A166" s="218" t="s">
        <v>0</v>
      </c>
      <c r="B166" s="838" t="s">
        <v>1024</v>
      </c>
      <c r="C166" s="839"/>
      <c r="D166" s="839"/>
      <c r="E166" s="839"/>
      <c r="F166" s="839"/>
      <c r="G166" s="839"/>
      <c r="H166" s="839"/>
      <c r="I166" s="839"/>
      <c r="J166" s="839"/>
      <c r="K166" s="839"/>
      <c r="L166" s="839"/>
      <c r="M166" s="839"/>
      <c r="N166" s="840"/>
      <c r="O166" s="216" t="s">
        <v>73</v>
      </c>
      <c r="P166" s="795" t="s">
        <v>5</v>
      </c>
      <c r="Q166" s="796"/>
    </row>
    <row r="167" spans="1:20" x14ac:dyDescent="0.15">
      <c r="A167" s="790"/>
      <c r="B167" s="791"/>
      <c r="C167" s="791"/>
      <c r="D167" s="791"/>
      <c r="E167" s="791"/>
      <c r="F167" s="791"/>
      <c r="G167" s="791"/>
      <c r="H167" s="791"/>
      <c r="I167" s="791"/>
      <c r="J167" s="791"/>
      <c r="K167" s="791"/>
      <c r="L167" s="791"/>
      <c r="M167" s="791"/>
      <c r="N167" s="791"/>
      <c r="O167" s="791"/>
      <c r="P167" s="791"/>
      <c r="Q167" s="792"/>
    </row>
    <row r="168" spans="1:20" s="126" customFormat="1" ht="12.75" customHeight="1" x14ac:dyDescent="0.15">
      <c r="A168" s="822" t="s">
        <v>150</v>
      </c>
      <c r="B168" s="823" t="s">
        <v>151</v>
      </c>
      <c r="C168" s="823"/>
      <c r="D168" s="832" t="s">
        <v>241</v>
      </c>
      <c r="E168" s="823" t="s">
        <v>152</v>
      </c>
      <c r="F168" s="823"/>
      <c r="G168" s="823"/>
      <c r="H168" s="802" t="s">
        <v>153</v>
      </c>
      <c r="I168" s="802" t="s">
        <v>159</v>
      </c>
      <c r="J168" s="804" t="s">
        <v>73</v>
      </c>
      <c r="K168" s="216" t="s">
        <v>154</v>
      </c>
      <c r="L168" s="123"/>
      <c r="M168" s="124"/>
      <c r="N168" s="124"/>
      <c r="O168" s="124"/>
      <c r="P168" s="124"/>
      <c r="Q168" s="125"/>
    </row>
    <row r="169" spans="1:20" s="130" customFormat="1" x14ac:dyDescent="0.15">
      <c r="A169" s="822"/>
      <c r="B169" s="823"/>
      <c r="C169" s="823"/>
      <c r="D169" s="833"/>
      <c r="E169" s="217" t="s">
        <v>155</v>
      </c>
      <c r="F169" s="217" t="s">
        <v>156</v>
      </c>
      <c r="G169" s="217" t="s">
        <v>157</v>
      </c>
      <c r="H169" s="803"/>
      <c r="I169" s="803"/>
      <c r="J169" s="805"/>
      <c r="K169" s="216" t="s">
        <v>158</v>
      </c>
      <c r="L169" s="127"/>
      <c r="M169" s="128"/>
      <c r="N169" s="128"/>
      <c r="O169" s="128"/>
      <c r="P169" s="128"/>
      <c r="Q169" s="129"/>
    </row>
    <row r="170" spans="1:20" ht="21.75" customHeight="1" x14ac:dyDescent="0.15">
      <c r="A170" s="148"/>
      <c r="B170" s="815" t="s">
        <v>1397</v>
      </c>
      <c r="C170" s="816"/>
      <c r="D170" s="143">
        <f>(2.5*1.25*3)+(2.25*0.9)</f>
        <v>11.4</v>
      </c>
      <c r="E170" s="143">
        <v>3</v>
      </c>
      <c r="F170" s="143">
        <v>0</v>
      </c>
      <c r="G170" s="143">
        <v>2.6</v>
      </c>
      <c r="H170" s="143">
        <v>4</v>
      </c>
      <c r="I170" s="143">
        <f t="shared" ref="I170:I174" si="27">G170*E170</f>
        <v>7.8000000000000007</v>
      </c>
      <c r="J170" s="133" t="s">
        <v>5</v>
      </c>
      <c r="K170" s="143">
        <f t="shared" ref="K170:K176" si="28">(I170*H170)-D170</f>
        <v>19.800000000000004</v>
      </c>
      <c r="L170" s="127"/>
      <c r="M170" s="128"/>
      <c r="N170" s="128"/>
      <c r="O170" s="128"/>
      <c r="P170" s="128"/>
      <c r="Q170" s="129"/>
    </row>
    <row r="171" spans="1:20" ht="29.25" customHeight="1" x14ac:dyDescent="0.15">
      <c r="A171" s="148"/>
      <c r="B171" s="815" t="s">
        <v>1408</v>
      </c>
      <c r="C171" s="816"/>
      <c r="D171" s="143">
        <v>0</v>
      </c>
      <c r="E171" s="143">
        <v>3</v>
      </c>
      <c r="F171" s="143">
        <v>0</v>
      </c>
      <c r="G171" s="143">
        <v>0.47</v>
      </c>
      <c r="H171" s="143">
        <v>8</v>
      </c>
      <c r="I171" s="143">
        <f t="shared" si="27"/>
        <v>1.41</v>
      </c>
      <c r="J171" s="133" t="s">
        <v>5</v>
      </c>
      <c r="K171" s="143">
        <f t="shared" si="28"/>
        <v>11.28</v>
      </c>
      <c r="L171" s="127"/>
      <c r="M171" s="128"/>
      <c r="N171" s="128"/>
      <c r="O171" s="128"/>
      <c r="P171" s="128"/>
      <c r="Q171" s="129"/>
    </row>
    <row r="172" spans="1:20" ht="21.75" customHeight="1" x14ac:dyDescent="0.15">
      <c r="A172" s="148"/>
      <c r="B172" s="815" t="s">
        <v>1398</v>
      </c>
      <c r="C172" s="816"/>
      <c r="D172" s="143">
        <f>(2.5*1.25*3)+(2.25*0.9)</f>
        <v>11.4</v>
      </c>
      <c r="E172" s="143">
        <v>2.86</v>
      </c>
      <c r="F172" s="143">
        <v>0</v>
      </c>
      <c r="G172" s="143">
        <v>2.6</v>
      </c>
      <c r="H172" s="143">
        <v>4</v>
      </c>
      <c r="I172" s="143">
        <f t="shared" si="27"/>
        <v>7.4359999999999999</v>
      </c>
      <c r="J172" s="133" t="s">
        <v>5</v>
      </c>
      <c r="K172" s="143">
        <f t="shared" si="28"/>
        <v>18.344000000000001</v>
      </c>
      <c r="L172" s="127"/>
      <c r="M172" s="128"/>
      <c r="N172" s="128"/>
      <c r="O172" s="128"/>
      <c r="P172" s="128"/>
      <c r="Q172" s="129"/>
    </row>
    <row r="173" spans="1:20" ht="21.75" customHeight="1" x14ac:dyDescent="0.15">
      <c r="A173" s="148"/>
      <c r="B173" s="815" t="s">
        <v>1400</v>
      </c>
      <c r="C173" s="816"/>
      <c r="D173" s="143">
        <v>0</v>
      </c>
      <c r="E173" s="143">
        <v>3.5</v>
      </c>
      <c r="F173" s="143">
        <v>0</v>
      </c>
      <c r="G173" s="143">
        <v>3.5</v>
      </c>
      <c r="H173" s="143">
        <v>1</v>
      </c>
      <c r="I173" s="143">
        <f t="shared" si="27"/>
        <v>12.25</v>
      </c>
      <c r="J173" s="133" t="s">
        <v>5</v>
      </c>
      <c r="K173" s="143">
        <f t="shared" si="28"/>
        <v>12.25</v>
      </c>
      <c r="L173" s="127"/>
      <c r="M173" s="128"/>
      <c r="N173" s="128"/>
      <c r="O173" s="128"/>
      <c r="P173" s="128"/>
      <c r="Q173" s="129"/>
    </row>
    <row r="174" spans="1:20" ht="21.75" customHeight="1" x14ac:dyDescent="0.15">
      <c r="A174" s="148"/>
      <c r="B174" s="815" t="s">
        <v>1399</v>
      </c>
      <c r="C174" s="816"/>
      <c r="D174" s="143">
        <v>0</v>
      </c>
      <c r="E174" s="143">
        <v>3.5</v>
      </c>
      <c r="F174" s="143">
        <v>0</v>
      </c>
      <c r="G174" s="143">
        <v>0.25</v>
      </c>
      <c r="H174" s="143">
        <v>4</v>
      </c>
      <c r="I174" s="143">
        <f t="shared" si="27"/>
        <v>0.875</v>
      </c>
      <c r="J174" s="133" t="s">
        <v>5</v>
      </c>
      <c r="K174" s="143">
        <f t="shared" si="28"/>
        <v>3.5</v>
      </c>
      <c r="L174" s="127"/>
      <c r="M174" s="128"/>
      <c r="N174" s="128"/>
      <c r="O174" s="128"/>
      <c r="P174" s="128"/>
      <c r="Q174" s="129"/>
    </row>
    <row r="175" spans="1:20" ht="21.75" customHeight="1" x14ac:dyDescent="0.15">
      <c r="A175" s="148"/>
      <c r="B175" s="815" t="s">
        <v>1401</v>
      </c>
      <c r="C175" s="816"/>
      <c r="D175" s="143">
        <v>0</v>
      </c>
      <c r="E175" s="143">
        <f>2.5+2.5+1.25+1.25</f>
        <v>7.5</v>
      </c>
      <c r="F175" s="143">
        <v>0</v>
      </c>
      <c r="G175" s="143">
        <v>0.13</v>
      </c>
      <c r="H175" s="143">
        <v>4</v>
      </c>
      <c r="I175" s="143">
        <f>E175*G175</f>
        <v>0.97500000000000009</v>
      </c>
      <c r="J175" s="133" t="s">
        <v>7</v>
      </c>
      <c r="K175" s="143">
        <f t="shared" si="28"/>
        <v>3.9000000000000004</v>
      </c>
      <c r="L175" s="127"/>
      <c r="M175" s="128"/>
      <c r="N175" s="128"/>
      <c r="O175" s="128"/>
      <c r="P175" s="128"/>
      <c r="Q175" s="129"/>
      <c r="T175" s="221"/>
    </row>
    <row r="176" spans="1:20" ht="21.75" customHeight="1" x14ac:dyDescent="0.15">
      <c r="A176" s="148"/>
      <c r="B176" s="815" t="s">
        <v>1402</v>
      </c>
      <c r="C176" s="816"/>
      <c r="D176" s="143">
        <v>0</v>
      </c>
      <c r="E176" s="143">
        <f>2.25+2.25+0.9</f>
        <v>5.4</v>
      </c>
      <c r="F176" s="143">
        <v>0</v>
      </c>
      <c r="G176" s="143">
        <v>0.13</v>
      </c>
      <c r="H176" s="143">
        <v>1</v>
      </c>
      <c r="I176" s="143">
        <f>E176*G176</f>
        <v>0.70200000000000007</v>
      </c>
      <c r="J176" s="133" t="s">
        <v>7</v>
      </c>
      <c r="K176" s="143">
        <f t="shared" si="28"/>
        <v>0.70200000000000007</v>
      </c>
      <c r="L176" s="127"/>
      <c r="M176" s="128"/>
      <c r="N176" s="128"/>
      <c r="O176" s="128"/>
      <c r="P176" s="128"/>
      <c r="Q176" s="129"/>
      <c r="T176" s="221"/>
    </row>
    <row r="177" spans="1:20" ht="14" x14ac:dyDescent="0.15">
      <c r="A177" s="795" t="s">
        <v>149</v>
      </c>
      <c r="B177" s="817"/>
      <c r="C177" s="817"/>
      <c r="D177" s="817"/>
      <c r="E177" s="817"/>
      <c r="F177" s="817"/>
      <c r="G177" s="817"/>
      <c r="H177" s="817"/>
      <c r="I177" s="817"/>
      <c r="J177" s="796"/>
      <c r="K177" s="416">
        <f>SUM(K170:K176)</f>
        <v>69.77600000000001</v>
      </c>
      <c r="L177" s="134"/>
      <c r="M177" s="135"/>
      <c r="N177" s="135"/>
      <c r="O177" s="135"/>
      <c r="P177" s="135"/>
      <c r="Q177" s="136"/>
    </row>
    <row r="178" spans="1:20" x14ac:dyDescent="0.15">
      <c r="A178" s="790"/>
      <c r="B178" s="791"/>
      <c r="C178" s="791"/>
      <c r="D178" s="791"/>
      <c r="E178" s="791"/>
      <c r="F178" s="791"/>
      <c r="G178" s="791"/>
      <c r="H178" s="791"/>
      <c r="I178" s="791"/>
      <c r="J178" s="791"/>
      <c r="K178" s="791"/>
      <c r="L178" s="791"/>
      <c r="M178" s="791"/>
      <c r="N178" s="791"/>
      <c r="O178" s="791"/>
      <c r="P178" s="791"/>
      <c r="Q178" s="792"/>
    </row>
    <row r="179" spans="1:20" s="121" customFormat="1" ht="18" customHeight="1" x14ac:dyDescent="0.15">
      <c r="A179" s="218" t="s">
        <v>0</v>
      </c>
      <c r="B179" s="838" t="s">
        <v>1032</v>
      </c>
      <c r="C179" s="839"/>
      <c r="D179" s="839"/>
      <c r="E179" s="839"/>
      <c r="F179" s="839"/>
      <c r="G179" s="839"/>
      <c r="H179" s="839"/>
      <c r="I179" s="839"/>
      <c r="J179" s="839"/>
      <c r="K179" s="839"/>
      <c r="L179" s="839"/>
      <c r="M179" s="839"/>
      <c r="N179" s="839"/>
      <c r="O179" s="216" t="s">
        <v>73</v>
      </c>
      <c r="P179" s="795" t="s">
        <v>5</v>
      </c>
      <c r="Q179" s="796"/>
    </row>
    <row r="180" spans="1:20" x14ac:dyDescent="0.15">
      <c r="A180" s="790"/>
      <c r="B180" s="791"/>
      <c r="C180" s="791"/>
      <c r="D180" s="791"/>
      <c r="E180" s="791"/>
      <c r="F180" s="791"/>
      <c r="G180" s="791"/>
      <c r="H180" s="791"/>
      <c r="I180" s="791"/>
      <c r="J180" s="791"/>
      <c r="K180" s="791"/>
      <c r="L180" s="791"/>
      <c r="M180" s="791"/>
      <c r="N180" s="791"/>
      <c r="O180" s="791"/>
      <c r="P180" s="791"/>
      <c r="Q180" s="792"/>
    </row>
    <row r="181" spans="1:20" s="126" customFormat="1" ht="12.75" customHeight="1" x14ac:dyDescent="0.15">
      <c r="A181" s="822" t="s">
        <v>150</v>
      </c>
      <c r="B181" s="823" t="s">
        <v>151</v>
      </c>
      <c r="C181" s="823"/>
      <c r="D181" s="832" t="s">
        <v>241</v>
      </c>
      <c r="E181" s="823" t="s">
        <v>152</v>
      </c>
      <c r="F181" s="823"/>
      <c r="G181" s="823"/>
      <c r="H181" s="802" t="s">
        <v>153</v>
      </c>
      <c r="I181" s="802" t="s">
        <v>159</v>
      </c>
      <c r="J181" s="804" t="s">
        <v>73</v>
      </c>
      <c r="K181" s="216" t="s">
        <v>154</v>
      </c>
      <c r="L181" s="123"/>
      <c r="M181" s="124"/>
      <c r="N181" s="124"/>
      <c r="O181" s="124"/>
      <c r="P181" s="124"/>
      <c r="Q181" s="125"/>
    </row>
    <row r="182" spans="1:20" s="130" customFormat="1" x14ac:dyDescent="0.15">
      <c r="A182" s="822"/>
      <c r="B182" s="823"/>
      <c r="C182" s="823"/>
      <c r="D182" s="833"/>
      <c r="E182" s="217" t="s">
        <v>155</v>
      </c>
      <c r="F182" s="217" t="s">
        <v>156</v>
      </c>
      <c r="G182" s="217" t="s">
        <v>157</v>
      </c>
      <c r="H182" s="803"/>
      <c r="I182" s="803"/>
      <c r="J182" s="805"/>
      <c r="K182" s="216" t="s">
        <v>158</v>
      </c>
      <c r="L182" s="127"/>
      <c r="M182" s="128"/>
      <c r="N182" s="128"/>
      <c r="O182" s="128"/>
      <c r="P182" s="128"/>
      <c r="Q182" s="129"/>
    </row>
    <row r="183" spans="1:20" ht="21.75" customHeight="1" x14ac:dyDescent="0.15">
      <c r="A183" s="148"/>
      <c r="B183" s="815" t="s">
        <v>1397</v>
      </c>
      <c r="C183" s="816"/>
      <c r="D183" s="143">
        <f>(2.5*1.25*3)+(2.25*0.9)</f>
        <v>11.4</v>
      </c>
      <c r="E183" s="143">
        <v>3</v>
      </c>
      <c r="F183" s="143">
        <v>0</v>
      </c>
      <c r="G183" s="143">
        <v>2.6</v>
      </c>
      <c r="H183" s="143">
        <v>4</v>
      </c>
      <c r="I183" s="143">
        <f t="shared" ref="I183:I187" si="29">G183*E183</f>
        <v>7.8000000000000007</v>
      </c>
      <c r="J183" s="133" t="s">
        <v>5</v>
      </c>
      <c r="K183" s="143">
        <f t="shared" ref="K183:K189" si="30">(I183*H183)-D183</f>
        <v>19.800000000000004</v>
      </c>
      <c r="L183" s="127"/>
      <c r="M183" s="128"/>
      <c r="N183" s="128"/>
      <c r="O183" s="128"/>
      <c r="P183" s="128"/>
      <c r="Q183" s="129"/>
    </row>
    <row r="184" spans="1:20" ht="29.25" customHeight="1" x14ac:dyDescent="0.15">
      <c r="A184" s="148"/>
      <c r="B184" s="815" t="s">
        <v>1408</v>
      </c>
      <c r="C184" s="816"/>
      <c r="D184" s="143">
        <v>0</v>
      </c>
      <c r="E184" s="143">
        <v>3</v>
      </c>
      <c r="F184" s="143">
        <v>0</v>
      </c>
      <c r="G184" s="143">
        <v>0.47</v>
      </c>
      <c r="H184" s="143">
        <v>8</v>
      </c>
      <c r="I184" s="143">
        <f t="shared" si="29"/>
        <v>1.41</v>
      </c>
      <c r="J184" s="133" t="s">
        <v>5</v>
      </c>
      <c r="K184" s="143">
        <f t="shared" si="30"/>
        <v>11.28</v>
      </c>
      <c r="L184" s="127"/>
      <c r="M184" s="128"/>
      <c r="N184" s="128"/>
      <c r="O184" s="128"/>
      <c r="P184" s="128"/>
      <c r="Q184" s="129"/>
    </row>
    <row r="185" spans="1:20" ht="21.75" customHeight="1" x14ac:dyDescent="0.15">
      <c r="A185" s="148"/>
      <c r="B185" s="815" t="s">
        <v>1398</v>
      </c>
      <c r="C185" s="816"/>
      <c r="D185" s="143">
        <f>(2.5*1.25*3)+(2.25*0.9)</f>
        <v>11.4</v>
      </c>
      <c r="E185" s="143">
        <v>2.86</v>
      </c>
      <c r="F185" s="143">
        <v>0</v>
      </c>
      <c r="G185" s="143">
        <v>2.6</v>
      </c>
      <c r="H185" s="143">
        <v>4</v>
      </c>
      <c r="I185" s="143">
        <f t="shared" si="29"/>
        <v>7.4359999999999999</v>
      </c>
      <c r="J185" s="133" t="s">
        <v>5</v>
      </c>
      <c r="K185" s="143">
        <f t="shared" si="30"/>
        <v>18.344000000000001</v>
      </c>
      <c r="L185" s="127"/>
      <c r="M185" s="128"/>
      <c r="N185" s="128"/>
      <c r="O185" s="128"/>
      <c r="P185" s="128"/>
      <c r="Q185" s="129"/>
    </row>
    <row r="186" spans="1:20" ht="21.75" customHeight="1" x14ac:dyDescent="0.15">
      <c r="A186" s="148"/>
      <c r="B186" s="815" t="s">
        <v>1400</v>
      </c>
      <c r="C186" s="816"/>
      <c r="D186" s="143">
        <v>0</v>
      </c>
      <c r="E186" s="143">
        <v>3.5</v>
      </c>
      <c r="F186" s="143">
        <v>0</v>
      </c>
      <c r="G186" s="143">
        <v>3.5</v>
      </c>
      <c r="H186" s="143">
        <v>1</v>
      </c>
      <c r="I186" s="143">
        <f t="shared" si="29"/>
        <v>12.25</v>
      </c>
      <c r="J186" s="133" t="s">
        <v>5</v>
      </c>
      <c r="K186" s="143">
        <f t="shared" si="30"/>
        <v>12.25</v>
      </c>
      <c r="L186" s="127"/>
      <c r="M186" s="128"/>
      <c r="N186" s="128"/>
      <c r="O186" s="128"/>
      <c r="P186" s="128"/>
      <c r="Q186" s="129"/>
    </row>
    <row r="187" spans="1:20" ht="21.75" customHeight="1" x14ac:dyDescent="0.15">
      <c r="A187" s="148"/>
      <c r="B187" s="815" t="s">
        <v>1399</v>
      </c>
      <c r="C187" s="816"/>
      <c r="D187" s="143">
        <v>0</v>
      </c>
      <c r="E187" s="143">
        <v>3.5</v>
      </c>
      <c r="F187" s="143">
        <v>0</v>
      </c>
      <c r="G187" s="143">
        <v>0.25</v>
      </c>
      <c r="H187" s="143">
        <v>4</v>
      </c>
      <c r="I187" s="143">
        <f t="shared" si="29"/>
        <v>0.875</v>
      </c>
      <c r="J187" s="133" t="s">
        <v>5</v>
      </c>
      <c r="K187" s="143">
        <f t="shared" si="30"/>
        <v>3.5</v>
      </c>
      <c r="L187" s="127"/>
      <c r="M187" s="128"/>
      <c r="N187" s="128"/>
      <c r="O187" s="128"/>
      <c r="P187" s="128"/>
      <c r="Q187" s="129"/>
    </row>
    <row r="188" spans="1:20" ht="21.75" customHeight="1" x14ac:dyDescent="0.15">
      <c r="A188" s="148"/>
      <c r="B188" s="815" t="s">
        <v>1401</v>
      </c>
      <c r="C188" s="816"/>
      <c r="D188" s="143">
        <v>0</v>
      </c>
      <c r="E188" s="143">
        <f>2.5+2.5+1.25+1.25</f>
        <v>7.5</v>
      </c>
      <c r="F188" s="143">
        <v>0</v>
      </c>
      <c r="G188" s="143">
        <v>0.13</v>
      </c>
      <c r="H188" s="143">
        <v>4</v>
      </c>
      <c r="I188" s="143">
        <f>E188*G188</f>
        <v>0.97500000000000009</v>
      </c>
      <c r="J188" s="133" t="s">
        <v>7</v>
      </c>
      <c r="K188" s="143">
        <f t="shared" si="30"/>
        <v>3.9000000000000004</v>
      </c>
      <c r="L188" s="127"/>
      <c r="M188" s="128"/>
      <c r="N188" s="128"/>
      <c r="O188" s="128"/>
      <c r="P188" s="128"/>
      <c r="Q188" s="129"/>
      <c r="T188" s="221"/>
    </row>
    <row r="189" spans="1:20" ht="21.75" customHeight="1" x14ac:dyDescent="0.15">
      <c r="A189" s="148"/>
      <c r="B189" s="815" t="s">
        <v>1402</v>
      </c>
      <c r="C189" s="816"/>
      <c r="D189" s="143">
        <v>0</v>
      </c>
      <c r="E189" s="143">
        <f>2.25+2.25+0.9</f>
        <v>5.4</v>
      </c>
      <c r="F189" s="143">
        <v>0</v>
      </c>
      <c r="G189" s="143">
        <v>0.13</v>
      </c>
      <c r="H189" s="143">
        <v>1</v>
      </c>
      <c r="I189" s="143">
        <f>E189*G189</f>
        <v>0.70200000000000007</v>
      </c>
      <c r="J189" s="133" t="s">
        <v>7</v>
      </c>
      <c r="K189" s="143">
        <f t="shared" si="30"/>
        <v>0.70200000000000007</v>
      </c>
      <c r="L189" s="127"/>
      <c r="M189" s="128"/>
      <c r="N189" s="128"/>
      <c r="O189" s="128"/>
      <c r="P189" s="128"/>
      <c r="Q189" s="129"/>
      <c r="T189" s="221"/>
    </row>
    <row r="190" spans="1:20" ht="14" x14ac:dyDescent="0.15">
      <c r="A190" s="795" t="s">
        <v>149</v>
      </c>
      <c r="B190" s="817"/>
      <c r="C190" s="817"/>
      <c r="D190" s="817"/>
      <c r="E190" s="817"/>
      <c r="F190" s="817"/>
      <c r="G190" s="817"/>
      <c r="H190" s="817"/>
      <c r="I190" s="817"/>
      <c r="J190" s="796"/>
      <c r="K190" s="416">
        <f>SUM(K183:K189)</f>
        <v>69.77600000000001</v>
      </c>
      <c r="L190" s="134"/>
      <c r="M190" s="135"/>
      <c r="N190" s="135"/>
      <c r="O190" s="135"/>
      <c r="P190" s="135"/>
      <c r="Q190" s="136"/>
    </row>
    <row r="191" spans="1:20" x14ac:dyDescent="0.15">
      <c r="A191" s="790"/>
      <c r="B191" s="791"/>
      <c r="C191" s="791"/>
      <c r="D191" s="791"/>
      <c r="E191" s="791"/>
      <c r="F191" s="791"/>
      <c r="G191" s="791"/>
      <c r="H191" s="791"/>
      <c r="I191" s="791"/>
      <c r="J191" s="791"/>
      <c r="K191" s="791"/>
      <c r="L191" s="791"/>
      <c r="M191" s="791"/>
      <c r="N191" s="791"/>
      <c r="O191" s="791"/>
      <c r="P191" s="791"/>
      <c r="Q191" s="792"/>
    </row>
    <row r="192" spans="1:20" s="121" customFormat="1" ht="18" customHeight="1" x14ac:dyDescent="0.15">
      <c r="A192" s="218" t="s">
        <v>0</v>
      </c>
      <c r="B192" s="838" t="s">
        <v>1029</v>
      </c>
      <c r="C192" s="839"/>
      <c r="D192" s="839"/>
      <c r="E192" s="839"/>
      <c r="F192" s="839"/>
      <c r="G192" s="839"/>
      <c r="H192" s="839"/>
      <c r="I192" s="839"/>
      <c r="J192" s="839"/>
      <c r="K192" s="839"/>
      <c r="L192" s="839"/>
      <c r="M192" s="839"/>
      <c r="N192" s="839"/>
      <c r="O192" s="216" t="s">
        <v>73</v>
      </c>
      <c r="P192" s="795" t="s">
        <v>5</v>
      </c>
      <c r="Q192" s="796"/>
    </row>
    <row r="193" spans="1:17" x14ac:dyDescent="0.15">
      <c r="A193" s="790"/>
      <c r="B193" s="791"/>
      <c r="C193" s="791"/>
      <c r="D193" s="791"/>
      <c r="E193" s="791"/>
      <c r="F193" s="791"/>
      <c r="G193" s="791"/>
      <c r="H193" s="791"/>
      <c r="I193" s="791"/>
      <c r="J193" s="791"/>
      <c r="K193" s="791"/>
      <c r="L193" s="791"/>
      <c r="M193" s="791"/>
      <c r="N193" s="791"/>
      <c r="O193" s="791"/>
      <c r="P193" s="791"/>
      <c r="Q193" s="792"/>
    </row>
    <row r="194" spans="1:17" s="126" customFormat="1" ht="12.75" customHeight="1" x14ac:dyDescent="0.15">
      <c r="A194" s="822" t="s">
        <v>150</v>
      </c>
      <c r="B194" s="823" t="s">
        <v>151</v>
      </c>
      <c r="C194" s="823"/>
      <c r="D194" s="832" t="s">
        <v>1404</v>
      </c>
      <c r="E194" s="823" t="s">
        <v>152</v>
      </c>
      <c r="F194" s="823"/>
      <c r="G194" s="823"/>
      <c r="H194" s="802" t="s">
        <v>153</v>
      </c>
      <c r="I194" s="802" t="s">
        <v>159</v>
      </c>
      <c r="J194" s="804" t="s">
        <v>73</v>
      </c>
      <c r="K194" s="216" t="s">
        <v>154</v>
      </c>
      <c r="L194" s="123"/>
      <c r="M194" s="124"/>
      <c r="N194" s="124"/>
      <c r="O194" s="124"/>
      <c r="P194" s="124"/>
      <c r="Q194" s="125"/>
    </row>
    <row r="195" spans="1:17" s="130" customFormat="1" x14ac:dyDescent="0.15">
      <c r="A195" s="822"/>
      <c r="B195" s="823"/>
      <c r="C195" s="823"/>
      <c r="D195" s="833"/>
      <c r="E195" s="217" t="s">
        <v>155</v>
      </c>
      <c r="F195" s="217" t="s">
        <v>156</v>
      </c>
      <c r="G195" s="217" t="s">
        <v>157</v>
      </c>
      <c r="H195" s="803"/>
      <c r="I195" s="803"/>
      <c r="J195" s="805"/>
      <c r="K195" s="216" t="s">
        <v>158</v>
      </c>
      <c r="L195" s="127"/>
      <c r="M195" s="128"/>
      <c r="N195" s="128"/>
      <c r="O195" s="128"/>
      <c r="P195" s="128"/>
      <c r="Q195" s="129"/>
    </row>
    <row r="196" spans="1:17" ht="19.5" customHeight="1" x14ac:dyDescent="0.15">
      <c r="A196" s="148"/>
      <c r="B196" s="815" t="s">
        <v>1403</v>
      </c>
      <c r="C196" s="816"/>
      <c r="D196" s="143">
        <f>3*3</f>
        <v>9</v>
      </c>
      <c r="E196" s="132">
        <v>11.14</v>
      </c>
      <c r="F196" s="144">
        <v>7.04</v>
      </c>
      <c r="G196" s="143">
        <v>0</v>
      </c>
      <c r="H196" s="143">
        <v>1</v>
      </c>
      <c r="I196" s="143">
        <f>E196*F196</f>
        <v>78.425600000000003</v>
      </c>
      <c r="J196" s="133" t="s">
        <v>5</v>
      </c>
      <c r="K196" s="143">
        <f>(H196*I196)-D196</f>
        <v>69.425600000000003</v>
      </c>
      <c r="L196" s="127"/>
      <c r="M196" s="128"/>
      <c r="N196" s="128"/>
      <c r="O196" s="128"/>
      <c r="P196" s="128"/>
      <c r="Q196" s="129"/>
    </row>
    <row r="197" spans="1:17" ht="14" x14ac:dyDescent="0.15">
      <c r="A197" s="795" t="s">
        <v>149</v>
      </c>
      <c r="B197" s="817"/>
      <c r="C197" s="817"/>
      <c r="D197" s="817"/>
      <c r="E197" s="817"/>
      <c r="F197" s="817"/>
      <c r="G197" s="817"/>
      <c r="H197" s="817"/>
      <c r="I197" s="817"/>
      <c r="J197" s="796"/>
      <c r="K197" s="416">
        <f>SUM(K196:K196)</f>
        <v>69.425600000000003</v>
      </c>
      <c r="L197" s="134"/>
      <c r="M197" s="135"/>
      <c r="N197" s="135"/>
      <c r="O197" s="135"/>
      <c r="P197" s="135"/>
      <c r="Q197" s="136"/>
    </row>
    <row r="198" spans="1:17" x14ac:dyDescent="0.15">
      <c r="A198" s="790"/>
      <c r="B198" s="791"/>
      <c r="C198" s="791"/>
      <c r="D198" s="791"/>
      <c r="E198" s="791"/>
      <c r="F198" s="791"/>
      <c r="G198" s="791"/>
      <c r="H198" s="791"/>
      <c r="I198" s="791"/>
      <c r="J198" s="791"/>
      <c r="K198" s="791"/>
      <c r="L198" s="791"/>
      <c r="M198" s="791"/>
      <c r="N198" s="791"/>
      <c r="O198" s="791"/>
      <c r="P198" s="791"/>
      <c r="Q198" s="792"/>
    </row>
    <row r="199" spans="1:17" s="121" customFormat="1" ht="18" customHeight="1" x14ac:dyDescent="0.15">
      <c r="A199" s="218" t="s">
        <v>0</v>
      </c>
      <c r="B199" s="838" t="s">
        <v>1030</v>
      </c>
      <c r="C199" s="839"/>
      <c r="D199" s="839"/>
      <c r="E199" s="839"/>
      <c r="F199" s="839"/>
      <c r="G199" s="839"/>
      <c r="H199" s="839"/>
      <c r="I199" s="839"/>
      <c r="J199" s="839"/>
      <c r="K199" s="839"/>
      <c r="L199" s="839"/>
      <c r="M199" s="839"/>
      <c r="N199" s="839"/>
      <c r="O199" s="216" t="s">
        <v>73</v>
      </c>
      <c r="P199" s="795" t="s">
        <v>193</v>
      </c>
      <c r="Q199" s="796"/>
    </row>
    <row r="200" spans="1:17" x14ac:dyDescent="0.15">
      <c r="A200" s="790"/>
      <c r="B200" s="791"/>
      <c r="C200" s="791"/>
      <c r="D200" s="791"/>
      <c r="E200" s="791"/>
      <c r="F200" s="791"/>
      <c r="G200" s="791"/>
      <c r="H200" s="791"/>
      <c r="I200" s="791"/>
      <c r="J200" s="791"/>
      <c r="K200" s="791"/>
      <c r="L200" s="791"/>
      <c r="M200" s="791"/>
      <c r="N200" s="791"/>
      <c r="O200" s="791"/>
      <c r="P200" s="791"/>
      <c r="Q200" s="792"/>
    </row>
    <row r="201" spans="1:17" s="126" customFormat="1" x14ac:dyDescent="0.15">
      <c r="A201" s="822" t="s">
        <v>150</v>
      </c>
      <c r="B201" s="823" t="s">
        <v>151</v>
      </c>
      <c r="C201" s="823"/>
      <c r="D201" s="832" t="s">
        <v>246</v>
      </c>
      <c r="E201" s="823" t="s">
        <v>152</v>
      </c>
      <c r="F201" s="823"/>
      <c r="G201" s="823"/>
      <c r="H201" s="802" t="s">
        <v>153</v>
      </c>
      <c r="I201" s="802" t="s">
        <v>242</v>
      </c>
      <c r="J201" s="804" t="s">
        <v>73</v>
      </c>
      <c r="K201" s="216" t="s">
        <v>154</v>
      </c>
      <c r="L201" s="123"/>
      <c r="M201" s="124"/>
      <c r="N201" s="124"/>
      <c r="O201" s="124"/>
      <c r="P201" s="124"/>
      <c r="Q201" s="125"/>
    </row>
    <row r="202" spans="1:17" s="130" customFormat="1" x14ac:dyDescent="0.15">
      <c r="A202" s="822"/>
      <c r="B202" s="823"/>
      <c r="C202" s="823"/>
      <c r="D202" s="833"/>
      <c r="E202" s="217" t="s">
        <v>155</v>
      </c>
      <c r="F202" s="217" t="s">
        <v>156</v>
      </c>
      <c r="G202" s="217" t="s">
        <v>157</v>
      </c>
      <c r="H202" s="803"/>
      <c r="I202" s="803"/>
      <c r="J202" s="805"/>
      <c r="K202" s="216" t="s">
        <v>158</v>
      </c>
      <c r="L202" s="127"/>
      <c r="M202" s="128"/>
      <c r="N202" s="128"/>
      <c r="O202" s="128"/>
      <c r="P202" s="128"/>
      <c r="Q202" s="129"/>
    </row>
    <row r="203" spans="1:17" ht="27" customHeight="1" x14ac:dyDescent="0.15">
      <c r="A203" s="148"/>
      <c r="B203" s="788" t="s">
        <v>1405</v>
      </c>
      <c r="C203" s="789"/>
      <c r="D203" s="149"/>
      <c r="E203" s="143">
        <v>12</v>
      </c>
      <c r="F203" s="672">
        <v>0</v>
      </c>
      <c r="G203" s="143">
        <v>0.2</v>
      </c>
      <c r="H203" s="143">
        <v>1</v>
      </c>
      <c r="I203" s="143">
        <f t="shared" ref="I203" si="31">E203</f>
        <v>12</v>
      </c>
      <c r="J203" s="133" t="s">
        <v>7</v>
      </c>
      <c r="K203" s="143">
        <f>I203*H203</f>
        <v>12</v>
      </c>
      <c r="L203" s="127"/>
      <c r="M203" s="128"/>
      <c r="N203" s="128"/>
      <c r="O203" s="128"/>
      <c r="P203" s="128"/>
      <c r="Q203" s="129"/>
    </row>
    <row r="204" spans="1:17" ht="14" x14ac:dyDescent="0.15">
      <c r="A204" s="795" t="s">
        <v>149</v>
      </c>
      <c r="B204" s="817"/>
      <c r="C204" s="817"/>
      <c r="D204" s="817"/>
      <c r="E204" s="817"/>
      <c r="F204" s="817"/>
      <c r="G204" s="817"/>
      <c r="H204" s="817"/>
      <c r="I204" s="817"/>
      <c r="J204" s="796"/>
      <c r="K204" s="416">
        <f>SUM(K203:K203)</f>
        <v>12</v>
      </c>
      <c r="L204" s="134"/>
      <c r="M204" s="135"/>
      <c r="N204" s="135"/>
      <c r="O204" s="135"/>
      <c r="P204" s="135"/>
      <c r="Q204" s="136"/>
    </row>
    <row r="205" spans="1:17" x14ac:dyDescent="0.15">
      <c r="A205" s="790"/>
      <c r="B205" s="791"/>
      <c r="C205" s="791"/>
      <c r="D205" s="791"/>
      <c r="E205" s="791"/>
      <c r="F205" s="791"/>
      <c r="G205" s="791"/>
      <c r="H205" s="791"/>
      <c r="I205" s="791"/>
      <c r="J205" s="791"/>
      <c r="K205" s="791"/>
      <c r="L205" s="791"/>
      <c r="M205" s="791"/>
      <c r="N205" s="791"/>
      <c r="O205" s="791"/>
      <c r="P205" s="791"/>
      <c r="Q205" s="792"/>
    </row>
    <row r="206" spans="1:17" s="121" customFormat="1" ht="18" customHeight="1" x14ac:dyDescent="0.15">
      <c r="A206" s="218" t="s">
        <v>0</v>
      </c>
      <c r="B206" s="838" t="s">
        <v>1031</v>
      </c>
      <c r="C206" s="839"/>
      <c r="D206" s="839"/>
      <c r="E206" s="839"/>
      <c r="F206" s="839"/>
      <c r="G206" s="839"/>
      <c r="H206" s="839"/>
      <c r="I206" s="839"/>
      <c r="J206" s="839"/>
      <c r="K206" s="839"/>
      <c r="L206" s="839"/>
      <c r="M206" s="839"/>
      <c r="N206" s="839"/>
      <c r="O206" s="216" t="s">
        <v>73</v>
      </c>
      <c r="P206" s="795" t="s">
        <v>5</v>
      </c>
      <c r="Q206" s="796"/>
    </row>
    <row r="207" spans="1:17" x14ac:dyDescent="0.15">
      <c r="A207" s="790"/>
      <c r="B207" s="791"/>
      <c r="C207" s="791"/>
      <c r="D207" s="791"/>
      <c r="E207" s="791"/>
      <c r="F207" s="791"/>
      <c r="G207" s="791"/>
      <c r="H207" s="791"/>
      <c r="I207" s="791"/>
      <c r="J207" s="791"/>
      <c r="K207" s="791"/>
      <c r="L207" s="791"/>
      <c r="M207" s="791"/>
      <c r="N207" s="791"/>
      <c r="O207" s="791"/>
      <c r="P207" s="791"/>
      <c r="Q207" s="792"/>
    </row>
    <row r="208" spans="1:17" s="126" customFormat="1" ht="12.75" customHeight="1" x14ac:dyDescent="0.15">
      <c r="A208" s="822" t="s">
        <v>150</v>
      </c>
      <c r="B208" s="823" t="s">
        <v>151</v>
      </c>
      <c r="C208" s="823"/>
      <c r="D208" s="832" t="s">
        <v>241</v>
      </c>
      <c r="E208" s="823" t="s">
        <v>152</v>
      </c>
      <c r="F208" s="823"/>
      <c r="G208" s="823"/>
      <c r="H208" s="802" t="s">
        <v>153</v>
      </c>
      <c r="I208" s="802" t="s">
        <v>159</v>
      </c>
      <c r="J208" s="804" t="s">
        <v>73</v>
      </c>
      <c r="K208" s="216" t="s">
        <v>154</v>
      </c>
      <c r="L208" s="123"/>
      <c r="M208" s="124"/>
      <c r="N208" s="124"/>
      <c r="O208" s="124"/>
      <c r="P208" s="124"/>
      <c r="Q208" s="125"/>
    </row>
    <row r="209" spans="1:17" s="130" customFormat="1" x14ac:dyDescent="0.15">
      <c r="A209" s="822"/>
      <c r="B209" s="823"/>
      <c r="C209" s="823"/>
      <c r="D209" s="833"/>
      <c r="E209" s="217" t="s">
        <v>155</v>
      </c>
      <c r="F209" s="217" t="s">
        <v>156</v>
      </c>
      <c r="G209" s="217" t="s">
        <v>157</v>
      </c>
      <c r="H209" s="803"/>
      <c r="I209" s="803"/>
      <c r="J209" s="805"/>
      <c r="K209" s="216" t="s">
        <v>158</v>
      </c>
      <c r="L209" s="127"/>
      <c r="M209" s="128"/>
      <c r="N209" s="128"/>
      <c r="O209" s="128"/>
      <c r="P209" s="128"/>
      <c r="Q209" s="129"/>
    </row>
    <row r="210" spans="1:17" ht="29.25" customHeight="1" x14ac:dyDescent="0.15">
      <c r="A210" s="148"/>
      <c r="B210" s="788" t="s">
        <v>1405</v>
      </c>
      <c r="C210" s="789"/>
      <c r="D210" s="143">
        <v>0</v>
      </c>
      <c r="E210" s="143">
        <v>2.8</v>
      </c>
      <c r="F210" s="143">
        <v>2.8</v>
      </c>
      <c r="G210" s="143">
        <v>0</v>
      </c>
      <c r="H210" s="143">
        <v>1</v>
      </c>
      <c r="I210" s="143">
        <f>F210*E210</f>
        <v>7.839999999999999</v>
      </c>
      <c r="J210" s="133" t="s">
        <v>5</v>
      </c>
      <c r="K210" s="143">
        <f>I210*H210</f>
        <v>7.839999999999999</v>
      </c>
      <c r="L210" s="127"/>
      <c r="M210" s="128"/>
      <c r="N210" s="128"/>
      <c r="O210" s="128"/>
      <c r="P210" s="128"/>
      <c r="Q210" s="129"/>
    </row>
    <row r="211" spans="1:17" ht="14" x14ac:dyDescent="0.15">
      <c r="A211" s="795" t="s">
        <v>149</v>
      </c>
      <c r="B211" s="817"/>
      <c r="C211" s="817"/>
      <c r="D211" s="817"/>
      <c r="E211" s="817"/>
      <c r="F211" s="817"/>
      <c r="G211" s="817"/>
      <c r="H211" s="817"/>
      <c r="I211" s="817"/>
      <c r="J211" s="796"/>
      <c r="K211" s="416">
        <f>SUM(K210:K210)</f>
        <v>7.839999999999999</v>
      </c>
      <c r="L211" s="134"/>
      <c r="M211" s="135"/>
      <c r="N211" s="135"/>
      <c r="O211" s="135"/>
      <c r="P211" s="135"/>
      <c r="Q211" s="136"/>
    </row>
    <row r="212" spans="1:17" x14ac:dyDescent="0.15">
      <c r="A212" s="790"/>
      <c r="B212" s="791"/>
      <c r="C212" s="791"/>
      <c r="D212" s="791"/>
      <c r="E212" s="791"/>
      <c r="F212" s="791"/>
      <c r="G212" s="791"/>
      <c r="H212" s="791"/>
      <c r="I212" s="791"/>
      <c r="J212" s="791"/>
      <c r="K212" s="791"/>
      <c r="L212" s="791"/>
      <c r="M212" s="791"/>
      <c r="N212" s="791"/>
      <c r="O212" s="791"/>
      <c r="P212" s="791"/>
      <c r="Q212" s="792"/>
    </row>
    <row r="213" spans="1:17" s="121" customFormat="1" ht="18" customHeight="1" x14ac:dyDescent="0.15">
      <c r="A213" s="218" t="s">
        <v>0</v>
      </c>
      <c r="B213" s="838" t="s">
        <v>1033</v>
      </c>
      <c r="C213" s="839"/>
      <c r="D213" s="839"/>
      <c r="E213" s="839"/>
      <c r="F213" s="839"/>
      <c r="G213" s="839"/>
      <c r="H213" s="839"/>
      <c r="I213" s="839"/>
      <c r="J213" s="839"/>
      <c r="K213" s="839"/>
      <c r="L213" s="839"/>
      <c r="M213" s="839"/>
      <c r="N213" s="839"/>
      <c r="O213" s="216" t="s">
        <v>73</v>
      </c>
      <c r="P213" s="795" t="s">
        <v>5</v>
      </c>
      <c r="Q213" s="796"/>
    </row>
    <row r="214" spans="1:17" x14ac:dyDescent="0.15">
      <c r="A214" s="790"/>
      <c r="B214" s="791"/>
      <c r="C214" s="791"/>
      <c r="D214" s="791"/>
      <c r="E214" s="791"/>
      <c r="F214" s="791"/>
      <c r="G214" s="791"/>
      <c r="H214" s="791"/>
      <c r="I214" s="791"/>
      <c r="J214" s="791"/>
      <c r="K214" s="791"/>
      <c r="L214" s="791"/>
      <c r="M214" s="791"/>
      <c r="N214" s="791"/>
      <c r="O214" s="791"/>
      <c r="P214" s="791"/>
      <c r="Q214" s="792"/>
    </row>
    <row r="215" spans="1:17" s="126" customFormat="1" x14ac:dyDescent="0.15">
      <c r="A215" s="822" t="s">
        <v>150</v>
      </c>
      <c r="B215" s="823" t="s">
        <v>151</v>
      </c>
      <c r="C215" s="823"/>
      <c r="D215" s="832" t="s">
        <v>264</v>
      </c>
      <c r="E215" s="823" t="s">
        <v>152</v>
      </c>
      <c r="F215" s="823"/>
      <c r="G215" s="823"/>
      <c r="H215" s="802" t="s">
        <v>153</v>
      </c>
      <c r="I215" s="802" t="s">
        <v>159</v>
      </c>
      <c r="J215" s="804" t="s">
        <v>73</v>
      </c>
      <c r="K215" s="216" t="s">
        <v>154</v>
      </c>
      <c r="L215" s="123"/>
      <c r="M215" s="124"/>
      <c r="N215" s="124"/>
      <c r="O215" s="124"/>
      <c r="P215" s="124"/>
      <c r="Q215" s="125"/>
    </row>
    <row r="216" spans="1:17" s="130" customFormat="1" x14ac:dyDescent="0.15">
      <c r="A216" s="822"/>
      <c r="B216" s="823"/>
      <c r="C216" s="823"/>
      <c r="D216" s="833"/>
      <c r="E216" s="217" t="s">
        <v>155</v>
      </c>
      <c r="F216" s="217" t="s">
        <v>156</v>
      </c>
      <c r="G216" s="217" t="s">
        <v>157</v>
      </c>
      <c r="H216" s="803"/>
      <c r="I216" s="803"/>
      <c r="J216" s="805"/>
      <c r="K216" s="216" t="s">
        <v>158</v>
      </c>
      <c r="L216" s="127"/>
      <c r="M216" s="128"/>
      <c r="N216" s="128"/>
      <c r="O216" s="128"/>
      <c r="P216" s="128"/>
      <c r="Q216" s="129"/>
    </row>
    <row r="217" spans="1:17" ht="27" customHeight="1" x14ac:dyDescent="0.15">
      <c r="A217" s="148"/>
      <c r="B217" s="788" t="s">
        <v>1405</v>
      </c>
      <c r="C217" s="789"/>
      <c r="D217" s="143">
        <v>7.57</v>
      </c>
      <c r="E217" s="143">
        <v>0</v>
      </c>
      <c r="F217" s="143">
        <v>0</v>
      </c>
      <c r="G217" s="143">
        <v>0</v>
      </c>
      <c r="H217" s="143">
        <v>1</v>
      </c>
      <c r="I217" s="143">
        <f>D217</f>
        <v>7.57</v>
      </c>
      <c r="J217" s="133" t="s">
        <v>5</v>
      </c>
      <c r="K217" s="143">
        <f>I217*H217</f>
        <v>7.57</v>
      </c>
      <c r="L217" s="127"/>
      <c r="M217" s="128"/>
      <c r="N217" s="128"/>
      <c r="O217" s="128"/>
      <c r="P217" s="128"/>
      <c r="Q217" s="129"/>
    </row>
    <row r="218" spans="1:17" ht="14" x14ac:dyDescent="0.15">
      <c r="A218" s="795" t="s">
        <v>149</v>
      </c>
      <c r="B218" s="817"/>
      <c r="C218" s="817"/>
      <c r="D218" s="817"/>
      <c r="E218" s="817"/>
      <c r="F218" s="817"/>
      <c r="G218" s="817"/>
      <c r="H218" s="817"/>
      <c r="I218" s="817"/>
      <c r="J218" s="796"/>
      <c r="K218" s="416">
        <f>SUM(K217:K217)</f>
        <v>7.57</v>
      </c>
      <c r="L218" s="134"/>
      <c r="M218" s="135"/>
      <c r="N218" s="135"/>
      <c r="O218" s="135"/>
      <c r="P218" s="135"/>
      <c r="Q218" s="136"/>
    </row>
    <row r="219" spans="1:17" x14ac:dyDescent="0.15">
      <c r="A219" s="790"/>
      <c r="B219" s="791"/>
      <c r="C219" s="791"/>
      <c r="D219" s="791"/>
      <c r="E219" s="791"/>
      <c r="F219" s="791"/>
      <c r="G219" s="791"/>
      <c r="H219" s="791"/>
      <c r="I219" s="791"/>
      <c r="J219" s="791"/>
      <c r="K219" s="791"/>
      <c r="L219" s="791"/>
      <c r="M219" s="791"/>
      <c r="N219" s="791"/>
      <c r="O219" s="791"/>
      <c r="P219" s="791"/>
      <c r="Q219" s="792"/>
    </row>
    <row r="220" spans="1:17" s="121" customFormat="1" ht="18" customHeight="1" x14ac:dyDescent="0.15">
      <c r="A220" s="218" t="s">
        <v>0</v>
      </c>
      <c r="B220" s="838" t="s">
        <v>1151</v>
      </c>
      <c r="C220" s="839"/>
      <c r="D220" s="839"/>
      <c r="E220" s="839"/>
      <c r="F220" s="839"/>
      <c r="G220" s="839"/>
      <c r="H220" s="839"/>
      <c r="I220" s="839"/>
      <c r="J220" s="839"/>
      <c r="K220" s="839"/>
      <c r="L220" s="839"/>
      <c r="M220" s="839"/>
      <c r="N220" s="839"/>
      <c r="O220" s="216" t="s">
        <v>73</v>
      </c>
      <c r="P220" s="795" t="s">
        <v>193</v>
      </c>
      <c r="Q220" s="796"/>
    </row>
    <row r="221" spans="1:17" x14ac:dyDescent="0.15">
      <c r="A221" s="790"/>
      <c r="B221" s="791"/>
      <c r="C221" s="791"/>
      <c r="D221" s="791"/>
      <c r="E221" s="791"/>
      <c r="F221" s="791"/>
      <c r="G221" s="791"/>
      <c r="H221" s="791"/>
      <c r="I221" s="791"/>
      <c r="J221" s="791"/>
      <c r="K221" s="791"/>
      <c r="L221" s="791"/>
      <c r="M221" s="791"/>
      <c r="N221" s="791"/>
      <c r="O221" s="791"/>
      <c r="P221" s="791"/>
      <c r="Q221" s="792"/>
    </row>
    <row r="222" spans="1:17" s="126" customFormat="1" x14ac:dyDescent="0.15">
      <c r="A222" s="822" t="s">
        <v>150</v>
      </c>
      <c r="B222" s="823" t="s">
        <v>151</v>
      </c>
      <c r="C222" s="823"/>
      <c r="D222" s="832" t="s">
        <v>264</v>
      </c>
      <c r="E222" s="823" t="s">
        <v>152</v>
      </c>
      <c r="F222" s="823"/>
      <c r="G222" s="823"/>
      <c r="H222" s="802" t="s">
        <v>153</v>
      </c>
      <c r="I222" s="802" t="s">
        <v>242</v>
      </c>
      <c r="J222" s="804" t="s">
        <v>73</v>
      </c>
      <c r="K222" s="216" t="s">
        <v>154</v>
      </c>
      <c r="L222" s="123"/>
      <c r="M222" s="124"/>
      <c r="N222" s="124"/>
      <c r="O222" s="124"/>
      <c r="P222" s="124"/>
      <c r="Q222" s="125"/>
    </row>
    <row r="223" spans="1:17" s="130" customFormat="1" x14ac:dyDescent="0.15">
      <c r="A223" s="822"/>
      <c r="B223" s="823"/>
      <c r="C223" s="823"/>
      <c r="D223" s="833"/>
      <c r="E223" s="217" t="s">
        <v>155</v>
      </c>
      <c r="F223" s="217" t="s">
        <v>156</v>
      </c>
      <c r="G223" s="217" t="s">
        <v>157</v>
      </c>
      <c r="H223" s="803"/>
      <c r="I223" s="803"/>
      <c r="J223" s="805"/>
      <c r="K223" s="216" t="s">
        <v>158</v>
      </c>
      <c r="L223" s="127"/>
      <c r="M223" s="128"/>
      <c r="N223" s="128"/>
      <c r="O223" s="128"/>
      <c r="P223" s="128"/>
      <c r="Q223" s="129"/>
    </row>
    <row r="224" spans="1:17" ht="30" customHeight="1" x14ac:dyDescent="0.15">
      <c r="A224" s="148"/>
      <c r="B224" s="788" t="s">
        <v>1405</v>
      </c>
      <c r="C224" s="789"/>
      <c r="D224" s="143">
        <v>0</v>
      </c>
      <c r="E224" s="143">
        <v>10.32</v>
      </c>
      <c r="F224" s="143">
        <v>0</v>
      </c>
      <c r="G224" s="143">
        <v>0.1</v>
      </c>
      <c r="H224" s="143">
        <v>1</v>
      </c>
      <c r="I224" s="143">
        <f>E224</f>
        <v>10.32</v>
      </c>
      <c r="J224" s="133" t="s">
        <v>193</v>
      </c>
      <c r="K224" s="143">
        <f t="shared" ref="K224" si="32">(I224*H224)-D224</f>
        <v>10.32</v>
      </c>
      <c r="L224" s="127"/>
      <c r="M224" s="128"/>
      <c r="N224" s="128"/>
      <c r="O224" s="128"/>
      <c r="P224" s="128"/>
      <c r="Q224" s="129"/>
    </row>
    <row r="225" spans="1:17" ht="14" x14ac:dyDescent="0.15">
      <c r="A225" s="795" t="s">
        <v>149</v>
      </c>
      <c r="B225" s="817"/>
      <c r="C225" s="817"/>
      <c r="D225" s="817"/>
      <c r="E225" s="817"/>
      <c r="F225" s="817"/>
      <c r="G225" s="817"/>
      <c r="H225" s="817"/>
      <c r="I225" s="817"/>
      <c r="J225" s="796"/>
      <c r="K225" s="416">
        <f>SUM(K224:K224)</f>
        <v>10.32</v>
      </c>
      <c r="L225" s="134"/>
      <c r="M225" s="135"/>
      <c r="N225" s="135"/>
      <c r="O225" s="135"/>
      <c r="P225" s="135"/>
      <c r="Q225" s="136"/>
    </row>
    <row r="226" spans="1:17" x14ac:dyDescent="0.15">
      <c r="A226" s="790"/>
      <c r="B226" s="791"/>
      <c r="C226" s="791"/>
      <c r="D226" s="791"/>
      <c r="E226" s="791"/>
      <c r="F226" s="791"/>
      <c r="G226" s="791"/>
      <c r="H226" s="791"/>
      <c r="I226" s="791"/>
      <c r="J226" s="791"/>
      <c r="K226" s="791"/>
      <c r="L226" s="791"/>
      <c r="M226" s="791"/>
      <c r="N226" s="791"/>
      <c r="O226" s="791"/>
      <c r="P226" s="791"/>
      <c r="Q226" s="792"/>
    </row>
    <row r="227" spans="1:17" s="121" customFormat="1" ht="18" customHeight="1" x14ac:dyDescent="0.15">
      <c r="A227" s="218" t="s">
        <v>0</v>
      </c>
      <c r="B227" s="843" t="s">
        <v>1296</v>
      </c>
      <c r="C227" s="844"/>
      <c r="D227" s="844"/>
      <c r="E227" s="844"/>
      <c r="F227" s="844"/>
      <c r="G227" s="844"/>
      <c r="H227" s="844"/>
      <c r="I227" s="844"/>
      <c r="J227" s="844"/>
      <c r="K227" s="844"/>
      <c r="L227" s="844"/>
      <c r="M227" s="844"/>
      <c r="N227" s="844"/>
      <c r="O227" s="216" t="s">
        <v>73</v>
      </c>
      <c r="P227" s="795" t="s">
        <v>319</v>
      </c>
      <c r="Q227" s="796"/>
    </row>
    <row r="228" spans="1:17" x14ac:dyDescent="0.15">
      <c r="A228" s="790"/>
      <c r="B228" s="791"/>
      <c r="C228" s="791"/>
      <c r="D228" s="791"/>
      <c r="E228" s="791"/>
      <c r="F228" s="791"/>
      <c r="G228" s="791"/>
      <c r="H228" s="791"/>
      <c r="I228" s="791"/>
      <c r="J228" s="791"/>
      <c r="K228" s="791"/>
      <c r="L228" s="791"/>
      <c r="M228" s="791"/>
      <c r="N228" s="791"/>
      <c r="O228" s="791"/>
      <c r="P228" s="791"/>
      <c r="Q228" s="792"/>
    </row>
    <row r="229" spans="1:17" s="126" customFormat="1" ht="12.75" customHeight="1" x14ac:dyDescent="0.15">
      <c r="A229" s="822" t="s">
        <v>150</v>
      </c>
      <c r="B229" s="823" t="s">
        <v>151</v>
      </c>
      <c r="C229" s="823"/>
      <c r="D229" s="802"/>
      <c r="E229" s="823" t="s">
        <v>152</v>
      </c>
      <c r="F229" s="823"/>
      <c r="G229" s="823"/>
      <c r="H229" s="802" t="s">
        <v>153</v>
      </c>
      <c r="I229" s="802" t="s">
        <v>479</v>
      </c>
      <c r="J229" s="804" t="s">
        <v>73</v>
      </c>
      <c r="K229" s="216" t="s">
        <v>154</v>
      </c>
      <c r="L229" s="123"/>
      <c r="M229" s="124"/>
      <c r="N229" s="124"/>
      <c r="O229" s="124"/>
      <c r="P229" s="124"/>
      <c r="Q229" s="125"/>
    </row>
    <row r="230" spans="1:17" s="130" customFormat="1" x14ac:dyDescent="0.15">
      <c r="A230" s="822"/>
      <c r="B230" s="823"/>
      <c r="C230" s="823"/>
      <c r="D230" s="803"/>
      <c r="E230" s="217" t="s">
        <v>155</v>
      </c>
      <c r="F230" s="217" t="s">
        <v>156</v>
      </c>
      <c r="G230" s="217" t="s">
        <v>157</v>
      </c>
      <c r="H230" s="803"/>
      <c r="I230" s="803"/>
      <c r="J230" s="805"/>
      <c r="K230" s="216" t="s">
        <v>158</v>
      </c>
      <c r="L230" s="127"/>
      <c r="M230" s="128"/>
      <c r="N230" s="128"/>
      <c r="O230" s="128"/>
      <c r="P230" s="128"/>
      <c r="Q230" s="129"/>
    </row>
    <row r="231" spans="1:17" ht="21" customHeight="1" x14ac:dyDescent="0.15">
      <c r="A231" s="148"/>
      <c r="B231" s="788" t="s">
        <v>1038</v>
      </c>
      <c r="C231" s="789"/>
      <c r="D231" s="143"/>
      <c r="E231" s="143">
        <v>0</v>
      </c>
      <c r="F231" s="143">
        <v>0</v>
      </c>
      <c r="G231" s="143">
        <v>0</v>
      </c>
      <c r="H231" s="143">
        <v>1</v>
      </c>
      <c r="I231" s="143">
        <v>1</v>
      </c>
      <c r="J231" s="133" t="s">
        <v>319</v>
      </c>
      <c r="K231" s="143">
        <f>I231*H231</f>
        <v>1</v>
      </c>
      <c r="L231" s="127"/>
      <c r="M231" s="128"/>
      <c r="N231" s="128"/>
      <c r="O231" s="128"/>
      <c r="P231" s="128"/>
      <c r="Q231" s="129"/>
    </row>
    <row r="232" spans="1:17" ht="14" x14ac:dyDescent="0.15">
      <c r="A232" s="795" t="s">
        <v>149</v>
      </c>
      <c r="B232" s="817"/>
      <c r="C232" s="817"/>
      <c r="D232" s="817"/>
      <c r="E232" s="817"/>
      <c r="F232" s="817"/>
      <c r="G232" s="817"/>
      <c r="H232" s="817"/>
      <c r="I232" s="817"/>
      <c r="J232" s="796"/>
      <c r="K232" s="416">
        <f>SUM(K231:K231)</f>
        <v>1</v>
      </c>
      <c r="L232" s="134"/>
      <c r="M232" s="135"/>
      <c r="N232" s="135"/>
      <c r="O232" s="135"/>
      <c r="P232" s="135"/>
      <c r="Q232" s="136"/>
    </row>
    <row r="233" spans="1:17" x14ac:dyDescent="0.15">
      <c r="A233" s="790"/>
      <c r="B233" s="791"/>
      <c r="C233" s="791"/>
      <c r="D233" s="791"/>
      <c r="E233" s="791"/>
      <c r="F233" s="791"/>
      <c r="G233" s="791"/>
      <c r="H233" s="791"/>
      <c r="I233" s="791"/>
      <c r="J233" s="791"/>
      <c r="K233" s="791"/>
      <c r="L233" s="791"/>
      <c r="M233" s="791"/>
      <c r="N233" s="791"/>
      <c r="O233" s="791"/>
      <c r="P233" s="791"/>
      <c r="Q233" s="792"/>
    </row>
    <row r="234" spans="1:17" s="121" customFormat="1" x14ac:dyDescent="0.15">
      <c r="A234" s="218" t="s">
        <v>0</v>
      </c>
      <c r="B234" s="841" t="s">
        <v>1331</v>
      </c>
      <c r="C234" s="842"/>
      <c r="D234" s="842"/>
      <c r="E234" s="842"/>
      <c r="F234" s="842"/>
      <c r="G234" s="842"/>
      <c r="H234" s="842"/>
      <c r="I234" s="842"/>
      <c r="J234" s="842"/>
      <c r="K234" s="842"/>
      <c r="L234" s="842"/>
      <c r="M234" s="842"/>
      <c r="N234" s="842"/>
      <c r="O234" s="216" t="s">
        <v>73</v>
      </c>
      <c r="P234" s="795" t="s">
        <v>319</v>
      </c>
      <c r="Q234" s="796"/>
    </row>
    <row r="235" spans="1:17" x14ac:dyDescent="0.15">
      <c r="A235" s="790"/>
      <c r="B235" s="791"/>
      <c r="C235" s="791"/>
      <c r="D235" s="791"/>
      <c r="E235" s="791"/>
      <c r="F235" s="791"/>
      <c r="G235" s="791"/>
      <c r="H235" s="791"/>
      <c r="I235" s="791"/>
      <c r="J235" s="791"/>
      <c r="K235" s="791"/>
      <c r="L235" s="791"/>
      <c r="M235" s="791"/>
      <c r="N235" s="791"/>
      <c r="O235" s="791"/>
      <c r="P235" s="791"/>
      <c r="Q235" s="792"/>
    </row>
    <row r="236" spans="1:17" s="126" customFormat="1" x14ac:dyDescent="0.15">
      <c r="A236" s="822" t="s">
        <v>150</v>
      </c>
      <c r="B236" s="823" t="s">
        <v>151</v>
      </c>
      <c r="C236" s="823"/>
      <c r="D236" s="802" t="s">
        <v>165</v>
      </c>
      <c r="E236" s="823" t="s">
        <v>152</v>
      </c>
      <c r="F236" s="823"/>
      <c r="G236" s="823"/>
      <c r="H236" s="802" t="s">
        <v>153</v>
      </c>
      <c r="I236" s="802" t="s">
        <v>479</v>
      </c>
      <c r="J236" s="804" t="s">
        <v>73</v>
      </c>
      <c r="K236" s="216" t="s">
        <v>154</v>
      </c>
      <c r="L236" s="123"/>
      <c r="M236" s="124"/>
      <c r="N236" s="124"/>
      <c r="O236" s="124"/>
      <c r="P236" s="124"/>
      <c r="Q236" s="125"/>
    </row>
    <row r="237" spans="1:17" s="130" customFormat="1" x14ac:dyDescent="0.15">
      <c r="A237" s="822"/>
      <c r="B237" s="823"/>
      <c r="C237" s="823"/>
      <c r="D237" s="803"/>
      <c r="E237" s="217" t="s">
        <v>155</v>
      </c>
      <c r="F237" s="217" t="s">
        <v>156</v>
      </c>
      <c r="G237" s="217" t="s">
        <v>157</v>
      </c>
      <c r="H237" s="803"/>
      <c r="I237" s="803"/>
      <c r="J237" s="805"/>
      <c r="K237" s="216" t="s">
        <v>158</v>
      </c>
      <c r="L237" s="127"/>
      <c r="M237" s="128"/>
      <c r="N237" s="128"/>
      <c r="O237" s="128"/>
      <c r="P237" s="128"/>
      <c r="Q237" s="129"/>
    </row>
    <row r="238" spans="1:17" ht="14" x14ac:dyDescent="0.15">
      <c r="A238" s="148"/>
      <c r="B238" s="788" t="s">
        <v>1298</v>
      </c>
      <c r="C238" s="789"/>
      <c r="D238" s="143" t="s">
        <v>1299</v>
      </c>
      <c r="E238" s="143">
        <v>0</v>
      </c>
      <c r="F238" s="143">
        <v>0</v>
      </c>
      <c r="G238" s="143">
        <v>0</v>
      </c>
      <c r="H238" s="143">
        <v>4</v>
      </c>
      <c r="I238" s="143">
        <v>1</v>
      </c>
      <c r="J238" s="133" t="s">
        <v>319</v>
      </c>
      <c r="K238" s="143">
        <f>I238*H238</f>
        <v>4</v>
      </c>
      <c r="L238" s="127"/>
      <c r="M238" s="128"/>
      <c r="N238" s="128"/>
      <c r="O238" s="128"/>
      <c r="P238" s="128"/>
      <c r="Q238" s="129"/>
    </row>
    <row r="239" spans="1:17" ht="14" x14ac:dyDescent="0.15">
      <c r="A239" s="795" t="s">
        <v>149</v>
      </c>
      <c r="B239" s="817"/>
      <c r="C239" s="817"/>
      <c r="D239" s="817"/>
      <c r="E239" s="817"/>
      <c r="F239" s="817"/>
      <c r="G239" s="817"/>
      <c r="H239" s="817"/>
      <c r="I239" s="817"/>
      <c r="J239" s="796"/>
      <c r="K239" s="416">
        <f>SUM(K238:K238)</f>
        <v>4</v>
      </c>
      <c r="L239" s="134"/>
      <c r="M239" s="135"/>
      <c r="N239" s="135"/>
      <c r="O239" s="135"/>
      <c r="P239" s="135"/>
      <c r="Q239" s="136"/>
    </row>
    <row r="240" spans="1:17" x14ac:dyDescent="0.15">
      <c r="A240" s="790"/>
      <c r="B240" s="791"/>
      <c r="C240" s="791"/>
      <c r="D240" s="791"/>
      <c r="E240" s="791"/>
      <c r="F240" s="791"/>
      <c r="G240" s="791"/>
      <c r="H240" s="791"/>
      <c r="I240" s="791"/>
      <c r="J240" s="791"/>
      <c r="K240" s="791"/>
      <c r="L240" s="791"/>
      <c r="M240" s="791"/>
      <c r="N240" s="791"/>
      <c r="O240" s="791"/>
      <c r="P240" s="791"/>
      <c r="Q240" s="792"/>
    </row>
    <row r="241" spans="1:17" s="121" customFormat="1" ht="18" customHeight="1" x14ac:dyDescent="0.15">
      <c r="A241" s="218" t="s">
        <v>0</v>
      </c>
      <c r="B241" s="841" t="s">
        <v>1327</v>
      </c>
      <c r="C241" s="842"/>
      <c r="D241" s="842"/>
      <c r="E241" s="842"/>
      <c r="F241" s="842"/>
      <c r="G241" s="842"/>
      <c r="H241" s="842"/>
      <c r="I241" s="842"/>
      <c r="J241" s="842"/>
      <c r="K241" s="842"/>
      <c r="L241" s="842"/>
      <c r="M241" s="842"/>
      <c r="N241" s="842"/>
      <c r="O241" s="216" t="s">
        <v>73</v>
      </c>
      <c r="P241" s="795" t="s">
        <v>193</v>
      </c>
      <c r="Q241" s="796"/>
    </row>
    <row r="242" spans="1:17" x14ac:dyDescent="0.15">
      <c r="A242" s="790"/>
      <c r="B242" s="791"/>
      <c r="C242" s="791"/>
      <c r="D242" s="791"/>
      <c r="E242" s="791"/>
      <c r="F242" s="791"/>
      <c r="G242" s="791"/>
      <c r="H242" s="791"/>
      <c r="I242" s="791"/>
      <c r="J242" s="791"/>
      <c r="K242" s="791"/>
      <c r="L242" s="791"/>
      <c r="M242" s="791"/>
      <c r="N242" s="791"/>
      <c r="O242" s="791"/>
      <c r="P242" s="791"/>
      <c r="Q242" s="792"/>
    </row>
    <row r="243" spans="1:17" s="126" customFormat="1" x14ac:dyDescent="0.15">
      <c r="A243" s="822" t="s">
        <v>150</v>
      </c>
      <c r="B243" s="823" t="s">
        <v>151</v>
      </c>
      <c r="C243" s="823"/>
      <c r="D243" s="802" t="s">
        <v>165</v>
      </c>
      <c r="E243" s="823" t="s">
        <v>152</v>
      </c>
      <c r="F243" s="823"/>
      <c r="G243" s="823"/>
      <c r="H243" s="802" t="s">
        <v>153</v>
      </c>
      <c r="I243" s="802" t="s">
        <v>242</v>
      </c>
      <c r="J243" s="804" t="s">
        <v>73</v>
      </c>
      <c r="K243" s="216" t="s">
        <v>154</v>
      </c>
      <c r="L243" s="123"/>
      <c r="M243" s="124"/>
      <c r="N243" s="124"/>
      <c r="O243" s="124"/>
      <c r="P243" s="124"/>
      <c r="Q243" s="125"/>
    </row>
    <row r="244" spans="1:17" s="130" customFormat="1" x14ac:dyDescent="0.15">
      <c r="A244" s="822"/>
      <c r="B244" s="823"/>
      <c r="C244" s="823"/>
      <c r="D244" s="803"/>
      <c r="E244" s="217" t="s">
        <v>155</v>
      </c>
      <c r="F244" s="217" t="s">
        <v>156</v>
      </c>
      <c r="G244" s="217" t="s">
        <v>157</v>
      </c>
      <c r="H244" s="803"/>
      <c r="I244" s="803"/>
      <c r="J244" s="805"/>
      <c r="K244" s="216" t="s">
        <v>158</v>
      </c>
      <c r="L244" s="127"/>
      <c r="M244" s="128"/>
      <c r="N244" s="128"/>
      <c r="O244" s="128"/>
      <c r="P244" s="128"/>
      <c r="Q244" s="129"/>
    </row>
    <row r="245" spans="1:17" ht="28.5" customHeight="1" x14ac:dyDescent="0.15">
      <c r="A245" s="148"/>
      <c r="B245" s="788" t="s">
        <v>1302</v>
      </c>
      <c r="C245" s="789"/>
      <c r="D245" s="143" t="s">
        <v>1299</v>
      </c>
      <c r="E245" s="143">
        <v>9</v>
      </c>
      <c r="F245" s="143">
        <v>0</v>
      </c>
      <c r="G245" s="143">
        <v>0</v>
      </c>
      <c r="H245" s="143">
        <v>4</v>
      </c>
      <c r="I245" s="143">
        <f>E245</f>
        <v>9</v>
      </c>
      <c r="J245" s="133" t="s">
        <v>193</v>
      </c>
      <c r="K245" s="143">
        <f>I245*H245</f>
        <v>36</v>
      </c>
      <c r="L245" s="127"/>
      <c r="M245" s="128"/>
      <c r="N245" s="128"/>
      <c r="O245" s="128"/>
      <c r="P245" s="128"/>
      <c r="Q245" s="129"/>
    </row>
    <row r="246" spans="1:17" ht="14" x14ac:dyDescent="0.15">
      <c r="A246" s="795" t="s">
        <v>149</v>
      </c>
      <c r="B246" s="817"/>
      <c r="C246" s="817"/>
      <c r="D246" s="817"/>
      <c r="E246" s="817"/>
      <c r="F246" s="817"/>
      <c r="G246" s="817"/>
      <c r="H246" s="817"/>
      <c r="I246" s="817"/>
      <c r="J246" s="796"/>
      <c r="K246" s="416">
        <f>SUM(K245:K245)</f>
        <v>36</v>
      </c>
      <c r="L246" s="134"/>
      <c r="M246" s="135"/>
      <c r="N246" s="135"/>
      <c r="O246" s="135"/>
      <c r="P246" s="135"/>
      <c r="Q246" s="136"/>
    </row>
    <row r="247" spans="1:17" x14ac:dyDescent="0.15">
      <c r="A247" s="790"/>
      <c r="B247" s="791"/>
      <c r="C247" s="791"/>
      <c r="D247" s="791"/>
      <c r="E247" s="791"/>
      <c r="F247" s="791"/>
      <c r="G247" s="791"/>
      <c r="H247" s="791"/>
      <c r="I247" s="791"/>
      <c r="J247" s="791"/>
      <c r="K247" s="791"/>
      <c r="L247" s="791"/>
      <c r="M247" s="791"/>
      <c r="N247" s="791"/>
      <c r="O247" s="791"/>
      <c r="P247" s="791"/>
      <c r="Q247" s="792"/>
    </row>
    <row r="248" spans="1:17" s="121" customFormat="1" ht="18" customHeight="1" x14ac:dyDescent="0.15">
      <c r="A248" s="218" t="s">
        <v>0</v>
      </c>
      <c r="B248" s="841" t="s">
        <v>1407</v>
      </c>
      <c r="C248" s="842"/>
      <c r="D248" s="842"/>
      <c r="E248" s="842"/>
      <c r="F248" s="842"/>
      <c r="G248" s="842"/>
      <c r="H248" s="842"/>
      <c r="I248" s="842"/>
      <c r="J248" s="842"/>
      <c r="K248" s="842"/>
      <c r="L248" s="842"/>
      <c r="M248" s="842"/>
      <c r="N248" s="842"/>
      <c r="O248" s="216" t="s">
        <v>73</v>
      </c>
      <c r="P248" s="795" t="s">
        <v>319</v>
      </c>
      <c r="Q248" s="796"/>
    </row>
    <row r="249" spans="1:17" x14ac:dyDescent="0.15">
      <c r="A249" s="790"/>
      <c r="B249" s="791"/>
      <c r="C249" s="791"/>
      <c r="D249" s="791"/>
      <c r="E249" s="791"/>
      <c r="F249" s="791"/>
      <c r="G249" s="791"/>
      <c r="H249" s="791"/>
      <c r="I249" s="791"/>
      <c r="J249" s="791"/>
      <c r="K249" s="791"/>
      <c r="L249" s="791"/>
      <c r="M249" s="791"/>
      <c r="N249" s="791"/>
      <c r="O249" s="791"/>
      <c r="P249" s="791"/>
      <c r="Q249" s="792"/>
    </row>
    <row r="250" spans="1:17" s="126" customFormat="1" x14ac:dyDescent="0.15">
      <c r="A250" s="822" t="s">
        <v>150</v>
      </c>
      <c r="B250" s="823" t="s">
        <v>151</v>
      </c>
      <c r="C250" s="823"/>
      <c r="D250" s="802"/>
      <c r="E250" s="823" t="s">
        <v>152</v>
      </c>
      <c r="F250" s="823"/>
      <c r="G250" s="823"/>
      <c r="H250" s="802" t="s">
        <v>153</v>
      </c>
      <c r="I250" s="802" t="s">
        <v>479</v>
      </c>
      <c r="J250" s="804" t="s">
        <v>73</v>
      </c>
      <c r="K250" s="216" t="s">
        <v>154</v>
      </c>
      <c r="L250" s="123"/>
      <c r="M250" s="124"/>
      <c r="N250" s="124"/>
      <c r="O250" s="124"/>
      <c r="P250" s="124"/>
      <c r="Q250" s="125"/>
    </row>
    <row r="251" spans="1:17" s="130" customFormat="1" x14ac:dyDescent="0.15">
      <c r="A251" s="822"/>
      <c r="B251" s="823"/>
      <c r="C251" s="823"/>
      <c r="D251" s="803"/>
      <c r="E251" s="217" t="s">
        <v>155</v>
      </c>
      <c r="F251" s="217" t="s">
        <v>156</v>
      </c>
      <c r="G251" s="217" t="s">
        <v>157</v>
      </c>
      <c r="H251" s="803"/>
      <c r="I251" s="803"/>
      <c r="J251" s="805"/>
      <c r="K251" s="216" t="s">
        <v>158</v>
      </c>
      <c r="L251" s="127"/>
      <c r="M251" s="128"/>
      <c r="N251" s="128"/>
      <c r="O251" s="128"/>
      <c r="P251" s="128"/>
      <c r="Q251" s="129"/>
    </row>
    <row r="252" spans="1:17" ht="30" customHeight="1" x14ac:dyDescent="0.15">
      <c r="A252" s="148"/>
      <c r="B252" s="788" t="s">
        <v>1347</v>
      </c>
      <c r="C252" s="789"/>
      <c r="D252" s="149"/>
      <c r="E252" s="143">
        <v>0.6</v>
      </c>
      <c r="F252" s="143">
        <v>0.6</v>
      </c>
      <c r="G252" s="143">
        <v>0.3</v>
      </c>
      <c r="H252" s="143">
        <v>4</v>
      </c>
      <c r="I252" s="143">
        <v>1</v>
      </c>
      <c r="J252" s="133" t="s">
        <v>319</v>
      </c>
      <c r="K252" s="143">
        <f>I252*H252</f>
        <v>4</v>
      </c>
      <c r="L252" s="127"/>
      <c r="M252" s="128"/>
      <c r="N252" s="128"/>
      <c r="O252" s="128"/>
      <c r="P252" s="128"/>
      <c r="Q252" s="129"/>
    </row>
    <row r="253" spans="1:17" ht="14" x14ac:dyDescent="0.15">
      <c r="A253" s="795" t="s">
        <v>149</v>
      </c>
      <c r="B253" s="817"/>
      <c r="C253" s="817"/>
      <c r="D253" s="817"/>
      <c r="E253" s="817"/>
      <c r="F253" s="817"/>
      <c r="G253" s="817"/>
      <c r="H253" s="817"/>
      <c r="I253" s="817"/>
      <c r="J253" s="796"/>
      <c r="K253" s="416">
        <f>SUM(K252:K252)</f>
        <v>4</v>
      </c>
      <c r="L253" s="134"/>
      <c r="M253" s="135"/>
      <c r="N253" s="135"/>
      <c r="O253" s="135"/>
      <c r="P253" s="135"/>
      <c r="Q253" s="136"/>
    </row>
    <row r="254" spans="1:17" x14ac:dyDescent="0.15">
      <c r="A254" s="790"/>
      <c r="B254" s="791"/>
      <c r="C254" s="791"/>
      <c r="D254" s="791"/>
      <c r="E254" s="791"/>
      <c r="F254" s="791"/>
      <c r="G254" s="791"/>
      <c r="H254" s="791"/>
      <c r="I254" s="791"/>
      <c r="J254" s="791"/>
      <c r="K254" s="791"/>
      <c r="L254" s="791"/>
      <c r="M254" s="791"/>
      <c r="N254" s="791"/>
      <c r="O254" s="791"/>
      <c r="P254" s="791"/>
      <c r="Q254" s="792"/>
    </row>
    <row r="255" spans="1:17" s="121" customFormat="1" ht="18" customHeight="1" x14ac:dyDescent="0.15">
      <c r="A255" s="218" t="s">
        <v>0</v>
      </c>
      <c r="B255" s="845" t="s">
        <v>1052</v>
      </c>
      <c r="C255" s="846"/>
      <c r="D255" s="846"/>
      <c r="E255" s="846"/>
      <c r="F255" s="846"/>
      <c r="G255" s="846"/>
      <c r="H255" s="846"/>
      <c r="I255" s="846"/>
      <c r="J255" s="846"/>
      <c r="K255" s="846"/>
      <c r="L255" s="846"/>
      <c r="M255" s="846"/>
      <c r="N255" s="847"/>
      <c r="O255" s="216" t="s">
        <v>73</v>
      </c>
      <c r="P255" s="795" t="s">
        <v>319</v>
      </c>
      <c r="Q255" s="796"/>
    </row>
    <row r="256" spans="1:17" x14ac:dyDescent="0.15">
      <c r="A256" s="790"/>
      <c r="B256" s="791"/>
      <c r="C256" s="791"/>
      <c r="D256" s="791"/>
      <c r="E256" s="791"/>
      <c r="F256" s="791"/>
      <c r="G256" s="791"/>
      <c r="H256" s="791"/>
      <c r="I256" s="791"/>
      <c r="J256" s="791"/>
      <c r="K256" s="791"/>
      <c r="L256" s="791"/>
      <c r="M256" s="791"/>
      <c r="N256" s="791"/>
      <c r="O256" s="791"/>
      <c r="P256" s="791"/>
      <c r="Q256" s="792"/>
    </row>
    <row r="257" spans="1:17" s="126" customFormat="1" x14ac:dyDescent="0.15">
      <c r="A257" s="822" t="s">
        <v>150</v>
      </c>
      <c r="B257" s="823" t="s">
        <v>151</v>
      </c>
      <c r="C257" s="823"/>
      <c r="D257" s="802"/>
      <c r="E257" s="823" t="s">
        <v>152</v>
      </c>
      <c r="F257" s="823"/>
      <c r="G257" s="823"/>
      <c r="H257" s="802" t="s">
        <v>153</v>
      </c>
      <c r="I257" s="802" t="s">
        <v>479</v>
      </c>
      <c r="J257" s="804" t="s">
        <v>73</v>
      </c>
      <c r="K257" s="216" t="s">
        <v>154</v>
      </c>
      <c r="L257" s="123"/>
      <c r="M257" s="124"/>
      <c r="N257" s="124"/>
      <c r="O257" s="124"/>
      <c r="P257" s="124"/>
      <c r="Q257" s="125"/>
    </row>
    <row r="258" spans="1:17" s="130" customFormat="1" x14ac:dyDescent="0.15">
      <c r="A258" s="822"/>
      <c r="B258" s="823"/>
      <c r="C258" s="823"/>
      <c r="D258" s="803"/>
      <c r="E258" s="217" t="s">
        <v>155</v>
      </c>
      <c r="F258" s="217" t="s">
        <v>156</v>
      </c>
      <c r="G258" s="217" t="s">
        <v>157</v>
      </c>
      <c r="H258" s="803"/>
      <c r="I258" s="803"/>
      <c r="J258" s="805"/>
      <c r="K258" s="216" t="s">
        <v>158</v>
      </c>
      <c r="L258" s="127"/>
      <c r="M258" s="128"/>
      <c r="N258" s="128"/>
      <c r="O258" s="128"/>
      <c r="P258" s="128"/>
      <c r="Q258" s="129"/>
    </row>
    <row r="259" spans="1:17" ht="28.5" customHeight="1" x14ac:dyDescent="0.15">
      <c r="A259" s="148"/>
      <c r="B259" s="788" t="s">
        <v>1049</v>
      </c>
      <c r="C259" s="789"/>
      <c r="D259" s="149"/>
      <c r="E259" s="143">
        <v>0</v>
      </c>
      <c r="F259" s="143">
        <v>0</v>
      </c>
      <c r="G259" s="143">
        <v>0</v>
      </c>
      <c r="H259" s="143">
        <v>2</v>
      </c>
      <c r="I259" s="143">
        <f t="shared" ref="I259" si="33">H259</f>
        <v>2</v>
      </c>
      <c r="J259" s="133" t="s">
        <v>319</v>
      </c>
      <c r="K259" s="143">
        <f t="shared" ref="K259" si="34">I259</f>
        <v>2</v>
      </c>
      <c r="L259" s="127"/>
      <c r="M259" s="128"/>
      <c r="N259" s="128"/>
      <c r="O259" s="128"/>
      <c r="P259" s="128"/>
      <c r="Q259" s="129"/>
    </row>
    <row r="260" spans="1:17" ht="14" x14ac:dyDescent="0.15">
      <c r="A260" s="795" t="s">
        <v>149</v>
      </c>
      <c r="B260" s="817"/>
      <c r="C260" s="817"/>
      <c r="D260" s="817"/>
      <c r="E260" s="817"/>
      <c r="F260" s="817"/>
      <c r="G260" s="817"/>
      <c r="H260" s="817"/>
      <c r="I260" s="817"/>
      <c r="J260" s="796"/>
      <c r="K260" s="416">
        <f>SUM(K259:K259)</f>
        <v>2</v>
      </c>
      <c r="L260" s="134"/>
      <c r="M260" s="135"/>
      <c r="N260" s="135"/>
      <c r="O260" s="135"/>
      <c r="P260" s="135"/>
      <c r="Q260" s="136"/>
    </row>
    <row r="261" spans="1:17" x14ac:dyDescent="0.15">
      <c r="A261" s="790"/>
      <c r="B261" s="791"/>
      <c r="C261" s="791"/>
      <c r="D261" s="791"/>
      <c r="E261" s="791"/>
      <c r="F261" s="791"/>
      <c r="G261" s="791"/>
      <c r="H261" s="791"/>
      <c r="I261" s="791"/>
      <c r="J261" s="791"/>
      <c r="K261" s="791"/>
      <c r="L261" s="791"/>
      <c r="M261" s="791"/>
      <c r="N261" s="791"/>
      <c r="O261" s="791"/>
      <c r="P261" s="791"/>
      <c r="Q261" s="792"/>
    </row>
    <row r="262" spans="1:17" s="121" customFormat="1" ht="18" customHeight="1" x14ac:dyDescent="0.15">
      <c r="A262" s="218" t="s">
        <v>0</v>
      </c>
      <c r="B262" s="845" t="s">
        <v>1053</v>
      </c>
      <c r="C262" s="846"/>
      <c r="D262" s="846"/>
      <c r="E262" s="846"/>
      <c r="F262" s="846"/>
      <c r="G262" s="846"/>
      <c r="H262" s="846"/>
      <c r="I262" s="846"/>
      <c r="J262" s="846"/>
      <c r="K262" s="846"/>
      <c r="L262" s="846"/>
      <c r="M262" s="846"/>
      <c r="N262" s="847"/>
      <c r="O262" s="216" t="s">
        <v>73</v>
      </c>
      <c r="P262" s="795" t="s">
        <v>319</v>
      </c>
      <c r="Q262" s="796"/>
    </row>
    <row r="263" spans="1:17" x14ac:dyDescent="0.15">
      <c r="A263" s="790"/>
      <c r="B263" s="791"/>
      <c r="C263" s="791"/>
      <c r="D263" s="791"/>
      <c r="E263" s="791"/>
      <c r="F263" s="791"/>
      <c r="G263" s="791"/>
      <c r="H263" s="791"/>
      <c r="I263" s="791"/>
      <c r="J263" s="791"/>
      <c r="K263" s="791"/>
      <c r="L263" s="791"/>
      <c r="M263" s="791"/>
      <c r="N263" s="791"/>
      <c r="O263" s="791"/>
      <c r="P263" s="791"/>
      <c r="Q263" s="792"/>
    </row>
    <row r="264" spans="1:17" s="126" customFormat="1" x14ac:dyDescent="0.15">
      <c r="A264" s="822" t="s">
        <v>150</v>
      </c>
      <c r="B264" s="823" t="s">
        <v>151</v>
      </c>
      <c r="C264" s="823"/>
      <c r="D264" s="802"/>
      <c r="E264" s="823" t="s">
        <v>152</v>
      </c>
      <c r="F264" s="823"/>
      <c r="G264" s="823"/>
      <c r="H264" s="802" t="s">
        <v>153</v>
      </c>
      <c r="I264" s="802" t="s">
        <v>479</v>
      </c>
      <c r="J264" s="804" t="s">
        <v>73</v>
      </c>
      <c r="K264" s="216" t="s">
        <v>154</v>
      </c>
      <c r="L264" s="123"/>
      <c r="M264" s="124"/>
      <c r="N264" s="124"/>
      <c r="O264" s="124"/>
      <c r="P264" s="124"/>
      <c r="Q264" s="125"/>
    </row>
    <row r="265" spans="1:17" s="130" customFormat="1" x14ac:dyDescent="0.15">
      <c r="A265" s="822"/>
      <c r="B265" s="823"/>
      <c r="C265" s="823"/>
      <c r="D265" s="803"/>
      <c r="E265" s="217" t="s">
        <v>155</v>
      </c>
      <c r="F265" s="217" t="s">
        <v>156</v>
      </c>
      <c r="G265" s="217" t="s">
        <v>157</v>
      </c>
      <c r="H265" s="803"/>
      <c r="I265" s="803"/>
      <c r="J265" s="805"/>
      <c r="K265" s="216" t="s">
        <v>158</v>
      </c>
      <c r="L265" s="127"/>
      <c r="M265" s="128"/>
      <c r="N265" s="128"/>
      <c r="O265" s="128"/>
      <c r="P265" s="128"/>
      <c r="Q265" s="129"/>
    </row>
    <row r="266" spans="1:17" ht="24" customHeight="1" x14ac:dyDescent="0.15">
      <c r="A266" s="148"/>
      <c r="B266" s="788" t="s">
        <v>943</v>
      </c>
      <c r="C266" s="789"/>
      <c r="D266" s="149"/>
      <c r="E266" s="143">
        <v>0</v>
      </c>
      <c r="F266" s="143">
        <v>0</v>
      </c>
      <c r="G266" s="143">
        <v>0</v>
      </c>
      <c r="H266" s="143">
        <v>1</v>
      </c>
      <c r="I266" s="143">
        <f>H266</f>
        <v>1</v>
      </c>
      <c r="J266" s="133" t="s">
        <v>319</v>
      </c>
      <c r="K266" s="143">
        <f>I266</f>
        <v>1</v>
      </c>
      <c r="L266" s="127"/>
      <c r="M266" s="128"/>
      <c r="N266" s="128"/>
      <c r="O266" s="128"/>
      <c r="P266" s="128"/>
      <c r="Q266" s="129"/>
    </row>
    <row r="267" spans="1:17" ht="14" x14ac:dyDescent="0.15">
      <c r="A267" s="795" t="s">
        <v>149</v>
      </c>
      <c r="B267" s="817"/>
      <c r="C267" s="817"/>
      <c r="D267" s="817"/>
      <c r="E267" s="817"/>
      <c r="F267" s="817"/>
      <c r="G267" s="817"/>
      <c r="H267" s="817"/>
      <c r="I267" s="817"/>
      <c r="J267" s="796"/>
      <c r="K267" s="416">
        <f>SUM(K266:K266)</f>
        <v>1</v>
      </c>
      <c r="L267" s="134"/>
      <c r="M267" s="135"/>
      <c r="N267" s="135"/>
      <c r="O267" s="135"/>
      <c r="P267" s="135"/>
      <c r="Q267" s="136"/>
    </row>
    <row r="268" spans="1:17" x14ac:dyDescent="0.15">
      <c r="A268" s="790"/>
      <c r="B268" s="791"/>
      <c r="C268" s="791"/>
      <c r="D268" s="791"/>
      <c r="E268" s="791"/>
      <c r="F268" s="791"/>
      <c r="G268" s="791"/>
      <c r="H268" s="791"/>
      <c r="I268" s="791"/>
      <c r="J268" s="791"/>
      <c r="K268" s="791"/>
      <c r="L268" s="791"/>
      <c r="M268" s="791"/>
      <c r="N268" s="791"/>
      <c r="O268" s="791"/>
      <c r="P268" s="791"/>
      <c r="Q268" s="792"/>
    </row>
    <row r="269" spans="1:17" s="121" customFormat="1" ht="18" customHeight="1" x14ac:dyDescent="0.15">
      <c r="A269" s="218" t="s">
        <v>0</v>
      </c>
      <c r="B269" s="845" t="s">
        <v>1054</v>
      </c>
      <c r="C269" s="846"/>
      <c r="D269" s="846"/>
      <c r="E269" s="846"/>
      <c r="F269" s="846"/>
      <c r="G269" s="846"/>
      <c r="H269" s="846"/>
      <c r="I269" s="846"/>
      <c r="J269" s="846"/>
      <c r="K269" s="846"/>
      <c r="L269" s="846"/>
      <c r="M269" s="846"/>
      <c r="N269" s="847"/>
      <c r="O269" s="216" t="s">
        <v>73</v>
      </c>
      <c r="P269" s="795" t="s">
        <v>319</v>
      </c>
      <c r="Q269" s="796"/>
    </row>
    <row r="270" spans="1:17" x14ac:dyDescent="0.15">
      <c r="A270" s="790"/>
      <c r="B270" s="791"/>
      <c r="C270" s="791"/>
      <c r="D270" s="791"/>
      <c r="E270" s="791"/>
      <c r="F270" s="791"/>
      <c r="G270" s="791"/>
      <c r="H270" s="791"/>
      <c r="I270" s="791"/>
      <c r="J270" s="791"/>
      <c r="K270" s="791"/>
      <c r="L270" s="791"/>
      <c r="M270" s="791"/>
      <c r="N270" s="791"/>
      <c r="O270" s="791"/>
      <c r="P270" s="791"/>
      <c r="Q270" s="792"/>
    </row>
    <row r="271" spans="1:17" s="126" customFormat="1" x14ac:dyDescent="0.15">
      <c r="A271" s="822" t="s">
        <v>150</v>
      </c>
      <c r="B271" s="823" t="s">
        <v>151</v>
      </c>
      <c r="C271" s="823"/>
      <c r="D271" s="802"/>
      <c r="E271" s="823" t="s">
        <v>152</v>
      </c>
      <c r="F271" s="823"/>
      <c r="G271" s="823"/>
      <c r="H271" s="802" t="s">
        <v>153</v>
      </c>
      <c r="I271" s="802" t="s">
        <v>479</v>
      </c>
      <c r="J271" s="804" t="s">
        <v>73</v>
      </c>
      <c r="K271" s="216" t="s">
        <v>154</v>
      </c>
      <c r="L271" s="123"/>
      <c r="M271" s="124"/>
      <c r="N271" s="124"/>
      <c r="O271" s="124"/>
      <c r="P271" s="124"/>
      <c r="Q271" s="125"/>
    </row>
    <row r="272" spans="1:17" s="130" customFormat="1" x14ac:dyDescent="0.15">
      <c r="A272" s="822"/>
      <c r="B272" s="823"/>
      <c r="C272" s="823"/>
      <c r="D272" s="803"/>
      <c r="E272" s="217" t="s">
        <v>155</v>
      </c>
      <c r="F272" s="217" t="s">
        <v>156</v>
      </c>
      <c r="G272" s="217" t="s">
        <v>157</v>
      </c>
      <c r="H272" s="803"/>
      <c r="I272" s="803"/>
      <c r="J272" s="805"/>
      <c r="K272" s="216" t="s">
        <v>158</v>
      </c>
      <c r="L272" s="127"/>
      <c r="M272" s="128"/>
      <c r="N272" s="128"/>
      <c r="O272" s="128"/>
      <c r="P272" s="128"/>
      <c r="Q272" s="129"/>
    </row>
    <row r="273" spans="1:17" ht="30" customHeight="1" x14ac:dyDescent="0.15">
      <c r="A273" s="148"/>
      <c r="B273" s="788" t="s">
        <v>1051</v>
      </c>
      <c r="C273" s="789"/>
      <c r="D273" s="149"/>
      <c r="E273" s="143">
        <v>0</v>
      </c>
      <c r="F273" s="143">
        <v>0</v>
      </c>
      <c r="G273" s="143">
        <v>0</v>
      </c>
      <c r="H273" s="143">
        <v>2</v>
      </c>
      <c r="I273" s="143">
        <f t="shared" ref="I273" si="35">H273</f>
        <v>2</v>
      </c>
      <c r="J273" s="133" t="s">
        <v>319</v>
      </c>
      <c r="K273" s="143">
        <f t="shared" ref="K273" si="36">I273</f>
        <v>2</v>
      </c>
      <c r="L273" s="127"/>
      <c r="M273" s="128"/>
      <c r="N273" s="128"/>
      <c r="O273" s="128"/>
      <c r="P273" s="128"/>
      <c r="Q273" s="129"/>
    </row>
    <row r="274" spans="1:17" ht="14" x14ac:dyDescent="0.15">
      <c r="A274" s="795" t="s">
        <v>149</v>
      </c>
      <c r="B274" s="817"/>
      <c r="C274" s="817"/>
      <c r="D274" s="817"/>
      <c r="E274" s="817"/>
      <c r="F274" s="817"/>
      <c r="G274" s="817"/>
      <c r="H274" s="817"/>
      <c r="I274" s="817"/>
      <c r="J274" s="796"/>
      <c r="K274" s="416">
        <f>SUM(K273:K273)</f>
        <v>2</v>
      </c>
      <c r="L274" s="134"/>
      <c r="M274" s="135"/>
      <c r="N274" s="135"/>
      <c r="O274" s="135"/>
      <c r="P274" s="135"/>
      <c r="Q274" s="136"/>
    </row>
    <row r="275" spans="1:17" x14ac:dyDescent="0.15">
      <c r="A275" s="790"/>
      <c r="B275" s="791"/>
      <c r="C275" s="791"/>
      <c r="D275" s="791"/>
      <c r="E275" s="791"/>
      <c r="F275" s="791"/>
      <c r="G275" s="791"/>
      <c r="H275" s="791"/>
      <c r="I275" s="791"/>
      <c r="J275" s="791"/>
      <c r="K275" s="791"/>
      <c r="L275" s="791"/>
      <c r="M275" s="791"/>
      <c r="N275" s="791"/>
      <c r="O275" s="791"/>
      <c r="P275" s="791"/>
      <c r="Q275" s="792"/>
    </row>
    <row r="276" spans="1:17" s="121" customFormat="1" x14ac:dyDescent="0.15">
      <c r="A276" s="218" t="s">
        <v>0</v>
      </c>
      <c r="B276" s="852" t="s">
        <v>1372</v>
      </c>
      <c r="C276" s="853"/>
      <c r="D276" s="853"/>
      <c r="E276" s="853"/>
      <c r="F276" s="853"/>
      <c r="G276" s="853"/>
      <c r="H276" s="853"/>
      <c r="I276" s="853"/>
      <c r="J276" s="853"/>
      <c r="K276" s="853"/>
      <c r="L276" s="853"/>
      <c r="M276" s="853"/>
      <c r="N276" s="854"/>
      <c r="O276" s="216" t="s">
        <v>73</v>
      </c>
      <c r="P276" s="795" t="s">
        <v>319</v>
      </c>
      <c r="Q276" s="796"/>
    </row>
    <row r="277" spans="1:17" x14ac:dyDescent="0.15">
      <c r="A277" s="790"/>
      <c r="B277" s="791"/>
      <c r="C277" s="791"/>
      <c r="D277" s="791"/>
      <c r="E277" s="791"/>
      <c r="F277" s="791"/>
      <c r="G277" s="791"/>
      <c r="H277" s="791"/>
      <c r="I277" s="791"/>
      <c r="J277" s="791"/>
      <c r="K277" s="791"/>
      <c r="L277" s="791"/>
      <c r="M277" s="791"/>
      <c r="N277" s="791"/>
      <c r="O277" s="791"/>
      <c r="P277" s="791"/>
      <c r="Q277" s="792"/>
    </row>
    <row r="278" spans="1:17" s="126" customFormat="1" x14ac:dyDescent="0.15">
      <c r="A278" s="822" t="s">
        <v>150</v>
      </c>
      <c r="B278" s="823" t="s">
        <v>151</v>
      </c>
      <c r="C278" s="823"/>
      <c r="D278" s="802"/>
      <c r="E278" s="823" t="s">
        <v>152</v>
      </c>
      <c r="F278" s="823"/>
      <c r="G278" s="823"/>
      <c r="H278" s="802" t="s">
        <v>153</v>
      </c>
      <c r="I278" s="802" t="s">
        <v>479</v>
      </c>
      <c r="J278" s="804" t="s">
        <v>73</v>
      </c>
      <c r="K278" s="216" t="s">
        <v>154</v>
      </c>
      <c r="L278" s="123"/>
      <c r="M278" s="124"/>
      <c r="N278" s="124"/>
      <c r="O278" s="124"/>
      <c r="P278" s="124"/>
      <c r="Q278" s="125"/>
    </row>
    <row r="279" spans="1:17" s="130" customFormat="1" x14ac:dyDescent="0.15">
      <c r="A279" s="822"/>
      <c r="B279" s="823"/>
      <c r="C279" s="823"/>
      <c r="D279" s="803"/>
      <c r="E279" s="217" t="s">
        <v>155</v>
      </c>
      <c r="F279" s="217" t="s">
        <v>156</v>
      </c>
      <c r="G279" s="217" t="s">
        <v>157</v>
      </c>
      <c r="H279" s="803"/>
      <c r="I279" s="803"/>
      <c r="J279" s="805"/>
      <c r="K279" s="216" t="s">
        <v>158</v>
      </c>
      <c r="L279" s="127"/>
      <c r="M279" s="128"/>
      <c r="N279" s="128"/>
      <c r="O279" s="128"/>
      <c r="P279" s="128"/>
      <c r="Q279" s="129"/>
    </row>
    <row r="280" spans="1:17" ht="25.5" customHeight="1" x14ac:dyDescent="0.15">
      <c r="A280" s="148"/>
      <c r="B280" s="788" t="s">
        <v>1592</v>
      </c>
      <c r="C280" s="789"/>
      <c r="D280" s="149"/>
      <c r="E280" s="143">
        <v>0</v>
      </c>
      <c r="F280" s="143">
        <v>0</v>
      </c>
      <c r="G280" s="143">
        <v>0</v>
      </c>
      <c r="H280" s="143">
        <v>8</v>
      </c>
      <c r="I280" s="143">
        <f t="shared" ref="I280" si="37">H280</f>
        <v>8</v>
      </c>
      <c r="J280" s="133" t="s">
        <v>319</v>
      </c>
      <c r="K280" s="143">
        <f t="shared" ref="K280" si="38">I280</f>
        <v>8</v>
      </c>
      <c r="L280" s="127"/>
      <c r="M280" s="128"/>
      <c r="N280" s="128"/>
      <c r="O280" s="128"/>
      <c r="P280" s="128"/>
      <c r="Q280" s="129"/>
    </row>
    <row r="281" spans="1:17" ht="14" x14ac:dyDescent="0.15">
      <c r="A281" s="148"/>
      <c r="B281" s="788" t="s">
        <v>1365</v>
      </c>
      <c r="C281" s="789"/>
      <c r="D281" s="149"/>
      <c r="E281" s="143">
        <v>0</v>
      </c>
      <c r="F281" s="143">
        <v>0</v>
      </c>
      <c r="G281" s="143">
        <v>0</v>
      </c>
      <c r="H281" s="143">
        <f>K274</f>
        <v>2</v>
      </c>
      <c r="I281" s="143">
        <f t="shared" ref="I281:I283" si="39">H281</f>
        <v>2</v>
      </c>
      <c r="J281" s="133" t="s">
        <v>319</v>
      </c>
      <c r="K281" s="143">
        <f t="shared" ref="K281:K283" si="40">I281</f>
        <v>2</v>
      </c>
      <c r="L281" s="127"/>
      <c r="M281" s="128"/>
      <c r="N281" s="128"/>
      <c r="O281" s="128"/>
      <c r="P281" s="128"/>
      <c r="Q281" s="129"/>
    </row>
    <row r="282" spans="1:17" ht="14" x14ac:dyDescent="0.15">
      <c r="A282" s="148"/>
      <c r="B282" s="788" t="s">
        <v>1049</v>
      </c>
      <c r="C282" s="789"/>
      <c r="D282" s="149"/>
      <c r="E282" s="143">
        <v>0</v>
      </c>
      <c r="F282" s="143">
        <v>0</v>
      </c>
      <c r="G282" s="143">
        <v>0</v>
      </c>
      <c r="H282" s="143">
        <f>K260</f>
        <v>2</v>
      </c>
      <c r="I282" s="143">
        <f t="shared" si="39"/>
        <v>2</v>
      </c>
      <c r="J282" s="133" t="s">
        <v>319</v>
      </c>
      <c r="K282" s="143">
        <f t="shared" si="40"/>
        <v>2</v>
      </c>
      <c r="L282" s="127"/>
      <c r="M282" s="128"/>
      <c r="N282" s="128"/>
      <c r="O282" s="128"/>
      <c r="P282" s="128"/>
      <c r="Q282" s="129"/>
    </row>
    <row r="283" spans="1:17" ht="14" x14ac:dyDescent="0.15">
      <c r="A283" s="148"/>
      <c r="B283" s="788" t="s">
        <v>1367</v>
      </c>
      <c r="C283" s="789"/>
      <c r="D283" s="149"/>
      <c r="E283" s="143">
        <v>0</v>
      </c>
      <c r="F283" s="143">
        <v>0</v>
      </c>
      <c r="G283" s="143">
        <v>0</v>
      </c>
      <c r="H283" s="143">
        <f>K267</f>
        <v>1</v>
      </c>
      <c r="I283" s="143">
        <f t="shared" si="39"/>
        <v>1</v>
      </c>
      <c r="J283" s="133" t="s">
        <v>319</v>
      </c>
      <c r="K283" s="143">
        <f t="shared" si="40"/>
        <v>1</v>
      </c>
      <c r="L283" s="127"/>
      <c r="M283" s="128"/>
      <c r="N283" s="128"/>
      <c r="O283" s="128"/>
      <c r="P283" s="128"/>
      <c r="Q283" s="129"/>
    </row>
    <row r="284" spans="1:17" ht="14" x14ac:dyDescent="0.15">
      <c r="A284" s="795" t="s">
        <v>149</v>
      </c>
      <c r="B284" s="817"/>
      <c r="C284" s="817"/>
      <c r="D284" s="817"/>
      <c r="E284" s="817"/>
      <c r="F284" s="817"/>
      <c r="G284" s="817"/>
      <c r="H284" s="817"/>
      <c r="I284" s="817"/>
      <c r="J284" s="796"/>
      <c r="K284" s="416">
        <f>SUM(K281:K283)</f>
        <v>5</v>
      </c>
      <c r="L284" s="134"/>
      <c r="M284" s="135"/>
      <c r="N284" s="135"/>
      <c r="O284" s="135"/>
      <c r="P284" s="135"/>
      <c r="Q284" s="136"/>
    </row>
    <row r="285" spans="1:17" x14ac:dyDescent="0.15">
      <c r="A285" s="790"/>
      <c r="B285" s="791"/>
      <c r="C285" s="791"/>
      <c r="D285" s="791"/>
      <c r="E285" s="791"/>
      <c r="F285" s="791"/>
      <c r="G285" s="791"/>
      <c r="H285" s="791"/>
      <c r="I285" s="791"/>
      <c r="J285" s="791"/>
      <c r="K285" s="791"/>
      <c r="L285" s="791"/>
      <c r="M285" s="791"/>
      <c r="N285" s="791"/>
      <c r="O285" s="791"/>
      <c r="P285" s="791"/>
      <c r="Q285" s="792"/>
    </row>
    <row r="286" spans="1:17" s="121" customFormat="1" x14ac:dyDescent="0.15">
      <c r="A286" s="218" t="s">
        <v>0</v>
      </c>
      <c r="B286" s="852" t="s">
        <v>1373</v>
      </c>
      <c r="C286" s="853"/>
      <c r="D286" s="853"/>
      <c r="E286" s="853"/>
      <c r="F286" s="853"/>
      <c r="G286" s="853"/>
      <c r="H286" s="853"/>
      <c r="I286" s="853"/>
      <c r="J286" s="853"/>
      <c r="K286" s="853"/>
      <c r="L286" s="853"/>
      <c r="M286" s="853"/>
      <c r="N286" s="854"/>
      <c r="O286" s="216" t="s">
        <v>73</v>
      </c>
      <c r="P286" s="795" t="s">
        <v>319</v>
      </c>
      <c r="Q286" s="796"/>
    </row>
    <row r="287" spans="1:17" x14ac:dyDescent="0.15">
      <c r="A287" s="790"/>
      <c r="B287" s="791"/>
      <c r="C287" s="791"/>
      <c r="D287" s="791"/>
      <c r="E287" s="791"/>
      <c r="F287" s="791"/>
      <c r="G287" s="791"/>
      <c r="H287" s="791"/>
      <c r="I287" s="791"/>
      <c r="J287" s="791"/>
      <c r="K287" s="791"/>
      <c r="L287" s="791"/>
      <c r="M287" s="791"/>
      <c r="N287" s="791"/>
      <c r="O287" s="791"/>
      <c r="P287" s="791"/>
      <c r="Q287" s="792"/>
    </row>
    <row r="288" spans="1:17" s="126" customFormat="1" x14ac:dyDescent="0.15">
      <c r="A288" s="822" t="s">
        <v>150</v>
      </c>
      <c r="B288" s="823" t="s">
        <v>151</v>
      </c>
      <c r="C288" s="823"/>
      <c r="D288" s="802"/>
      <c r="E288" s="823" t="s">
        <v>152</v>
      </c>
      <c r="F288" s="823"/>
      <c r="G288" s="823"/>
      <c r="H288" s="802" t="s">
        <v>153</v>
      </c>
      <c r="I288" s="802" t="s">
        <v>479</v>
      </c>
      <c r="J288" s="804" t="s">
        <v>73</v>
      </c>
      <c r="K288" s="216" t="s">
        <v>154</v>
      </c>
      <c r="L288" s="123"/>
      <c r="M288" s="124"/>
      <c r="N288" s="124"/>
      <c r="O288" s="124"/>
      <c r="P288" s="124"/>
      <c r="Q288" s="125"/>
    </row>
    <row r="289" spans="1:17" s="130" customFormat="1" x14ac:dyDescent="0.15">
      <c r="A289" s="822"/>
      <c r="B289" s="823"/>
      <c r="C289" s="823"/>
      <c r="D289" s="803"/>
      <c r="E289" s="217" t="s">
        <v>155</v>
      </c>
      <c r="F289" s="217" t="s">
        <v>156</v>
      </c>
      <c r="G289" s="217" t="s">
        <v>157</v>
      </c>
      <c r="H289" s="803"/>
      <c r="I289" s="803"/>
      <c r="J289" s="805"/>
      <c r="K289" s="216" t="s">
        <v>158</v>
      </c>
      <c r="L289" s="127"/>
      <c r="M289" s="128"/>
      <c r="N289" s="128"/>
      <c r="O289" s="128"/>
      <c r="P289" s="128"/>
      <c r="Q289" s="129"/>
    </row>
    <row r="290" spans="1:17" ht="16.5" customHeight="1" x14ac:dyDescent="0.15">
      <c r="A290" s="148"/>
      <c r="B290" s="788" t="s">
        <v>1355</v>
      </c>
      <c r="C290" s="789"/>
      <c r="D290" s="149"/>
      <c r="E290" s="143">
        <v>0</v>
      </c>
      <c r="F290" s="143">
        <v>0</v>
      </c>
      <c r="G290" s="143">
        <v>0</v>
      </c>
      <c r="H290" s="143">
        <v>1</v>
      </c>
      <c r="I290" s="143">
        <f t="shared" ref="I290" si="41">H290</f>
        <v>1</v>
      </c>
      <c r="J290" s="133" t="s">
        <v>319</v>
      </c>
      <c r="K290" s="143">
        <f t="shared" ref="K290" si="42">I290</f>
        <v>1</v>
      </c>
      <c r="L290" s="127"/>
      <c r="M290" s="128"/>
      <c r="N290" s="128"/>
      <c r="O290" s="128"/>
      <c r="P290" s="128"/>
      <c r="Q290" s="129"/>
    </row>
    <row r="291" spans="1:17" ht="14" x14ac:dyDescent="0.15">
      <c r="A291" s="795" t="s">
        <v>149</v>
      </c>
      <c r="B291" s="817"/>
      <c r="C291" s="817"/>
      <c r="D291" s="817"/>
      <c r="E291" s="817"/>
      <c r="F291" s="817"/>
      <c r="G291" s="817"/>
      <c r="H291" s="817"/>
      <c r="I291" s="817"/>
      <c r="J291" s="796"/>
      <c r="K291" s="416">
        <f>SUM(K290:K290)</f>
        <v>1</v>
      </c>
      <c r="L291" s="134"/>
      <c r="M291" s="135"/>
      <c r="N291" s="135"/>
      <c r="O291" s="135"/>
      <c r="P291" s="135"/>
      <c r="Q291" s="136"/>
    </row>
    <row r="292" spans="1:17" x14ac:dyDescent="0.15">
      <c r="A292" s="790"/>
      <c r="B292" s="791"/>
      <c r="C292" s="791"/>
      <c r="D292" s="791"/>
      <c r="E292" s="791"/>
      <c r="F292" s="791"/>
      <c r="G292" s="791"/>
      <c r="H292" s="791"/>
      <c r="I292" s="791"/>
      <c r="J292" s="791"/>
      <c r="K292" s="791"/>
      <c r="L292" s="791"/>
      <c r="M292" s="791"/>
      <c r="N292" s="791"/>
      <c r="O292" s="791"/>
      <c r="P292" s="791"/>
      <c r="Q292" s="792"/>
    </row>
    <row r="293" spans="1:17" s="121" customFormat="1" x14ac:dyDescent="0.15">
      <c r="A293" s="218" t="s">
        <v>0</v>
      </c>
      <c r="B293" s="852" t="s">
        <v>1374</v>
      </c>
      <c r="C293" s="853"/>
      <c r="D293" s="853"/>
      <c r="E293" s="853"/>
      <c r="F293" s="853"/>
      <c r="G293" s="853"/>
      <c r="H293" s="853"/>
      <c r="I293" s="853"/>
      <c r="J293" s="853"/>
      <c r="K293" s="853"/>
      <c r="L293" s="853"/>
      <c r="M293" s="853"/>
      <c r="N293" s="854"/>
      <c r="O293" s="216" t="s">
        <v>73</v>
      </c>
      <c r="P293" s="795" t="s">
        <v>319</v>
      </c>
      <c r="Q293" s="796"/>
    </row>
    <row r="294" spans="1:17" x14ac:dyDescent="0.15">
      <c r="A294" s="790"/>
      <c r="B294" s="791"/>
      <c r="C294" s="791"/>
      <c r="D294" s="791"/>
      <c r="E294" s="791"/>
      <c r="F294" s="791"/>
      <c r="G294" s="791"/>
      <c r="H294" s="791"/>
      <c r="I294" s="791"/>
      <c r="J294" s="791"/>
      <c r="K294" s="791"/>
      <c r="L294" s="791"/>
      <c r="M294" s="791"/>
      <c r="N294" s="791"/>
      <c r="O294" s="791"/>
      <c r="P294" s="791"/>
      <c r="Q294" s="792"/>
    </row>
    <row r="295" spans="1:17" s="126" customFormat="1" x14ac:dyDescent="0.15">
      <c r="A295" s="822" t="s">
        <v>150</v>
      </c>
      <c r="B295" s="823" t="s">
        <v>151</v>
      </c>
      <c r="C295" s="823"/>
      <c r="D295" s="802"/>
      <c r="E295" s="823" t="s">
        <v>152</v>
      </c>
      <c r="F295" s="823"/>
      <c r="G295" s="823"/>
      <c r="H295" s="802" t="s">
        <v>153</v>
      </c>
      <c r="I295" s="802" t="s">
        <v>479</v>
      </c>
      <c r="J295" s="804" t="s">
        <v>73</v>
      </c>
      <c r="K295" s="216" t="s">
        <v>154</v>
      </c>
      <c r="L295" s="123"/>
      <c r="M295" s="124"/>
      <c r="N295" s="124"/>
      <c r="O295" s="124"/>
      <c r="P295" s="124"/>
      <c r="Q295" s="125"/>
    </row>
    <row r="296" spans="1:17" s="130" customFormat="1" x14ac:dyDescent="0.15">
      <c r="A296" s="822"/>
      <c r="B296" s="823"/>
      <c r="C296" s="823"/>
      <c r="D296" s="803"/>
      <c r="E296" s="217" t="s">
        <v>155</v>
      </c>
      <c r="F296" s="217" t="s">
        <v>156</v>
      </c>
      <c r="G296" s="217" t="s">
        <v>157</v>
      </c>
      <c r="H296" s="803"/>
      <c r="I296" s="803"/>
      <c r="J296" s="805"/>
      <c r="K296" s="216" t="s">
        <v>158</v>
      </c>
      <c r="L296" s="127"/>
      <c r="M296" s="128"/>
      <c r="N296" s="128"/>
      <c r="O296" s="128"/>
      <c r="P296" s="128"/>
      <c r="Q296" s="129"/>
    </row>
    <row r="297" spans="1:17" ht="16.5" customHeight="1" x14ac:dyDescent="0.15">
      <c r="A297" s="148"/>
      <c r="B297" s="788" t="s">
        <v>1355</v>
      </c>
      <c r="C297" s="789"/>
      <c r="D297" s="149"/>
      <c r="E297" s="143">
        <v>0</v>
      </c>
      <c r="F297" s="143">
        <v>0</v>
      </c>
      <c r="G297" s="143">
        <v>0</v>
      </c>
      <c r="H297" s="143">
        <f>H290</f>
        <v>1</v>
      </c>
      <c r="I297" s="143">
        <f>H297</f>
        <v>1</v>
      </c>
      <c r="J297" s="133" t="s">
        <v>319</v>
      </c>
      <c r="K297" s="143">
        <f>I297</f>
        <v>1</v>
      </c>
      <c r="L297" s="127"/>
      <c r="M297" s="128"/>
      <c r="N297" s="128"/>
      <c r="O297" s="128"/>
      <c r="P297" s="128"/>
      <c r="Q297" s="129"/>
    </row>
    <row r="298" spans="1:17" ht="14" x14ac:dyDescent="0.15">
      <c r="A298" s="795" t="s">
        <v>149</v>
      </c>
      <c r="B298" s="817"/>
      <c r="C298" s="817"/>
      <c r="D298" s="817"/>
      <c r="E298" s="817"/>
      <c r="F298" s="817"/>
      <c r="G298" s="817"/>
      <c r="H298" s="817"/>
      <c r="I298" s="817"/>
      <c r="J298" s="796"/>
      <c r="K298" s="416">
        <f>SUM(K297:K297)</f>
        <v>1</v>
      </c>
      <c r="L298" s="134"/>
      <c r="M298" s="135"/>
      <c r="N298" s="135"/>
      <c r="O298" s="135"/>
      <c r="P298" s="135"/>
      <c r="Q298" s="136"/>
    </row>
    <row r="299" spans="1:17" x14ac:dyDescent="0.15">
      <c r="A299" s="790"/>
      <c r="B299" s="791"/>
      <c r="C299" s="791"/>
      <c r="D299" s="791"/>
      <c r="E299" s="791"/>
      <c r="F299" s="791"/>
      <c r="G299" s="791"/>
      <c r="H299" s="791"/>
      <c r="I299" s="791"/>
      <c r="J299" s="791"/>
      <c r="K299" s="791"/>
      <c r="L299" s="791"/>
      <c r="M299" s="791"/>
      <c r="N299" s="791"/>
      <c r="O299" s="791"/>
      <c r="P299" s="791"/>
      <c r="Q299" s="792"/>
    </row>
    <row r="300" spans="1:17" s="121" customFormat="1" x14ac:dyDescent="0.15">
      <c r="A300" s="218" t="s">
        <v>0</v>
      </c>
      <c r="B300" s="852" t="s">
        <v>1368</v>
      </c>
      <c r="C300" s="853"/>
      <c r="D300" s="853"/>
      <c r="E300" s="853"/>
      <c r="F300" s="853"/>
      <c r="G300" s="853"/>
      <c r="H300" s="853"/>
      <c r="I300" s="853"/>
      <c r="J300" s="853"/>
      <c r="K300" s="853"/>
      <c r="L300" s="853"/>
      <c r="M300" s="853"/>
      <c r="N300" s="854"/>
      <c r="O300" s="216" t="s">
        <v>73</v>
      </c>
      <c r="P300" s="795" t="s">
        <v>319</v>
      </c>
      <c r="Q300" s="796"/>
    </row>
    <row r="301" spans="1:17" x14ac:dyDescent="0.15">
      <c r="A301" s="790"/>
      <c r="B301" s="791"/>
      <c r="C301" s="791"/>
      <c r="D301" s="791"/>
      <c r="E301" s="791"/>
      <c r="F301" s="791"/>
      <c r="G301" s="791"/>
      <c r="H301" s="791"/>
      <c r="I301" s="791"/>
      <c r="J301" s="791"/>
      <c r="K301" s="791"/>
      <c r="L301" s="791"/>
      <c r="M301" s="791"/>
      <c r="N301" s="791"/>
      <c r="O301" s="791"/>
      <c r="P301" s="791"/>
      <c r="Q301" s="792"/>
    </row>
    <row r="302" spans="1:17" s="126" customFormat="1" x14ac:dyDescent="0.15">
      <c r="A302" s="822" t="s">
        <v>150</v>
      </c>
      <c r="B302" s="823" t="s">
        <v>151</v>
      </c>
      <c r="C302" s="823"/>
      <c r="D302" s="802"/>
      <c r="E302" s="823" t="s">
        <v>152</v>
      </c>
      <c r="F302" s="823"/>
      <c r="G302" s="823"/>
      <c r="H302" s="802" t="s">
        <v>153</v>
      </c>
      <c r="I302" s="802" t="s">
        <v>479</v>
      </c>
      <c r="J302" s="804" t="s">
        <v>73</v>
      </c>
      <c r="K302" s="216" t="s">
        <v>154</v>
      </c>
      <c r="L302" s="123"/>
      <c r="M302" s="124"/>
      <c r="N302" s="124"/>
      <c r="O302" s="124"/>
      <c r="P302" s="124"/>
      <c r="Q302" s="125"/>
    </row>
    <row r="303" spans="1:17" s="130" customFormat="1" x14ac:dyDescent="0.15">
      <c r="A303" s="822"/>
      <c r="B303" s="823"/>
      <c r="C303" s="823"/>
      <c r="D303" s="803"/>
      <c r="E303" s="217" t="s">
        <v>155</v>
      </c>
      <c r="F303" s="217" t="s">
        <v>156</v>
      </c>
      <c r="G303" s="217" t="s">
        <v>157</v>
      </c>
      <c r="H303" s="803"/>
      <c r="I303" s="803"/>
      <c r="J303" s="805"/>
      <c r="K303" s="216" t="s">
        <v>158</v>
      </c>
      <c r="L303" s="127"/>
      <c r="M303" s="128"/>
      <c r="N303" s="128"/>
      <c r="O303" s="128"/>
      <c r="P303" s="128"/>
      <c r="Q303" s="129"/>
    </row>
    <row r="304" spans="1:17" ht="14" x14ac:dyDescent="0.15">
      <c r="A304" s="148"/>
      <c r="B304" s="788" t="s">
        <v>1369</v>
      </c>
      <c r="C304" s="789"/>
      <c r="D304" s="149"/>
      <c r="E304" s="143">
        <v>0</v>
      </c>
      <c r="F304" s="143">
        <v>0</v>
      </c>
      <c r="G304" s="143">
        <v>0</v>
      </c>
      <c r="H304" s="143">
        <f>H290</f>
        <v>1</v>
      </c>
      <c r="I304" s="143">
        <f t="shared" ref="I304" si="43">H304</f>
        <v>1</v>
      </c>
      <c r="J304" s="133" t="s">
        <v>319</v>
      </c>
      <c r="K304" s="143">
        <f t="shared" ref="K304" si="44">I304</f>
        <v>1</v>
      </c>
      <c r="L304" s="127"/>
      <c r="M304" s="128"/>
      <c r="N304" s="128"/>
      <c r="O304" s="128"/>
      <c r="P304" s="128"/>
      <c r="Q304" s="129"/>
    </row>
    <row r="305" spans="1:17" ht="14" x14ac:dyDescent="0.15">
      <c r="A305" s="795" t="s">
        <v>149</v>
      </c>
      <c r="B305" s="817"/>
      <c r="C305" s="817"/>
      <c r="D305" s="817"/>
      <c r="E305" s="817"/>
      <c r="F305" s="817"/>
      <c r="G305" s="817"/>
      <c r="H305" s="817"/>
      <c r="I305" s="817"/>
      <c r="J305" s="796"/>
      <c r="K305" s="416">
        <f>SUM(K304:K304)</f>
        <v>1</v>
      </c>
      <c r="L305" s="134"/>
      <c r="M305" s="135"/>
      <c r="N305" s="135"/>
      <c r="O305" s="135"/>
      <c r="P305" s="135"/>
      <c r="Q305" s="136"/>
    </row>
    <row r="306" spans="1:17" x14ac:dyDescent="0.15">
      <c r="A306" s="790"/>
      <c r="B306" s="791"/>
      <c r="C306" s="791"/>
      <c r="D306" s="791"/>
      <c r="E306" s="791"/>
      <c r="F306" s="791"/>
      <c r="G306" s="791"/>
      <c r="H306" s="791"/>
      <c r="I306" s="791"/>
      <c r="J306" s="791"/>
      <c r="K306" s="791"/>
      <c r="L306" s="791"/>
      <c r="M306" s="791"/>
      <c r="N306" s="791"/>
      <c r="O306" s="791"/>
      <c r="P306" s="791"/>
      <c r="Q306" s="792"/>
    </row>
    <row r="307" spans="1:17" s="121" customFormat="1" x14ac:dyDescent="0.15">
      <c r="A307" s="218" t="s">
        <v>0</v>
      </c>
      <c r="B307" s="852" t="s">
        <v>1598</v>
      </c>
      <c r="C307" s="853"/>
      <c r="D307" s="853"/>
      <c r="E307" s="853"/>
      <c r="F307" s="853"/>
      <c r="G307" s="853"/>
      <c r="H307" s="853"/>
      <c r="I307" s="853"/>
      <c r="J307" s="853"/>
      <c r="K307" s="853"/>
      <c r="L307" s="853"/>
      <c r="M307" s="853"/>
      <c r="N307" s="854"/>
      <c r="O307" s="216" t="s">
        <v>73</v>
      </c>
      <c r="P307" s="795" t="s">
        <v>319</v>
      </c>
      <c r="Q307" s="796"/>
    </row>
    <row r="308" spans="1:17" x14ac:dyDescent="0.15">
      <c r="A308" s="790"/>
      <c r="B308" s="791"/>
      <c r="C308" s="791"/>
      <c r="D308" s="791"/>
      <c r="E308" s="791"/>
      <c r="F308" s="791"/>
      <c r="G308" s="791"/>
      <c r="H308" s="791"/>
      <c r="I308" s="791"/>
      <c r="J308" s="791"/>
      <c r="K308" s="791"/>
      <c r="L308" s="791"/>
      <c r="M308" s="791"/>
      <c r="N308" s="791"/>
      <c r="O308" s="791"/>
      <c r="P308" s="791"/>
      <c r="Q308" s="792"/>
    </row>
    <row r="309" spans="1:17" s="126" customFormat="1" x14ac:dyDescent="0.15">
      <c r="A309" s="822" t="s">
        <v>150</v>
      </c>
      <c r="B309" s="823" t="s">
        <v>151</v>
      </c>
      <c r="C309" s="823"/>
      <c r="D309" s="802"/>
      <c r="E309" s="823" t="s">
        <v>152</v>
      </c>
      <c r="F309" s="823"/>
      <c r="G309" s="823"/>
      <c r="H309" s="802" t="s">
        <v>153</v>
      </c>
      <c r="I309" s="802" t="s">
        <v>479</v>
      </c>
      <c r="J309" s="804" t="s">
        <v>73</v>
      </c>
      <c r="K309" s="216" t="s">
        <v>154</v>
      </c>
      <c r="L309" s="123"/>
      <c r="M309" s="124"/>
      <c r="N309" s="124"/>
      <c r="O309" s="124"/>
      <c r="P309" s="124"/>
      <c r="Q309" s="125"/>
    </row>
    <row r="310" spans="1:17" s="130" customFormat="1" x14ac:dyDescent="0.15">
      <c r="A310" s="822"/>
      <c r="B310" s="823"/>
      <c r="C310" s="823"/>
      <c r="D310" s="803"/>
      <c r="E310" s="217" t="s">
        <v>155</v>
      </c>
      <c r="F310" s="217" t="s">
        <v>156</v>
      </c>
      <c r="G310" s="217" t="s">
        <v>157</v>
      </c>
      <c r="H310" s="803"/>
      <c r="I310" s="803"/>
      <c r="J310" s="805"/>
      <c r="K310" s="216" t="s">
        <v>158</v>
      </c>
      <c r="L310" s="127"/>
      <c r="M310" s="128"/>
      <c r="N310" s="128"/>
      <c r="O310" s="128"/>
      <c r="P310" s="128"/>
      <c r="Q310" s="129"/>
    </row>
    <row r="311" spans="1:17" ht="14" x14ac:dyDescent="0.15">
      <c r="A311" s="148"/>
      <c r="B311" s="788" t="s">
        <v>1597</v>
      </c>
      <c r="C311" s="789"/>
      <c r="D311" s="149"/>
      <c r="E311" s="143">
        <v>0</v>
      </c>
      <c r="F311" s="143">
        <v>0</v>
      </c>
      <c r="G311" s="143">
        <v>0</v>
      </c>
      <c r="H311" s="143">
        <v>8</v>
      </c>
      <c r="I311" s="143">
        <f t="shared" ref="I311" si="45">H311</f>
        <v>8</v>
      </c>
      <c r="J311" s="133" t="s">
        <v>319</v>
      </c>
      <c r="K311" s="143">
        <f t="shared" ref="K311" si="46">I311</f>
        <v>8</v>
      </c>
      <c r="L311" s="127"/>
      <c r="M311" s="128"/>
      <c r="N311" s="128"/>
      <c r="O311" s="128"/>
      <c r="P311" s="128"/>
      <c r="Q311" s="129"/>
    </row>
    <row r="312" spans="1:17" ht="14" x14ac:dyDescent="0.15">
      <c r="A312" s="795" t="s">
        <v>149</v>
      </c>
      <c r="B312" s="817"/>
      <c r="C312" s="817"/>
      <c r="D312" s="817"/>
      <c r="E312" s="817"/>
      <c r="F312" s="817"/>
      <c r="G312" s="817"/>
      <c r="H312" s="817"/>
      <c r="I312" s="817"/>
      <c r="J312" s="796"/>
      <c r="K312" s="416">
        <f>SUM(K311:K311)</f>
        <v>8</v>
      </c>
      <c r="L312" s="134"/>
      <c r="M312" s="135"/>
      <c r="N312" s="135"/>
      <c r="O312" s="135"/>
      <c r="P312" s="135"/>
      <c r="Q312" s="136"/>
    </row>
    <row r="313" spans="1:17" x14ac:dyDescent="0.15">
      <c r="A313" s="790"/>
      <c r="B313" s="791"/>
      <c r="C313" s="791"/>
      <c r="D313" s="791"/>
      <c r="E313" s="791"/>
      <c r="F313" s="791"/>
      <c r="G313" s="791"/>
      <c r="H313" s="791"/>
      <c r="I313" s="791"/>
      <c r="J313" s="791"/>
      <c r="K313" s="791"/>
      <c r="L313" s="791"/>
      <c r="M313" s="791"/>
      <c r="N313" s="791"/>
      <c r="O313" s="791"/>
      <c r="P313" s="791"/>
      <c r="Q313" s="792"/>
    </row>
    <row r="314" spans="1:17" s="121" customFormat="1" ht="18" customHeight="1" x14ac:dyDescent="0.15">
      <c r="A314" s="218" t="s">
        <v>0</v>
      </c>
      <c r="B314" s="793" t="s">
        <v>1058</v>
      </c>
      <c r="C314" s="794"/>
      <c r="D314" s="794"/>
      <c r="E314" s="794"/>
      <c r="F314" s="794"/>
      <c r="G314" s="794"/>
      <c r="H314" s="794"/>
      <c r="I314" s="794"/>
      <c r="J314" s="794"/>
      <c r="K314" s="794"/>
      <c r="L314" s="794"/>
      <c r="M314" s="794"/>
      <c r="N314" s="821"/>
      <c r="O314" s="216" t="s">
        <v>73</v>
      </c>
      <c r="P314" s="795" t="s">
        <v>5</v>
      </c>
      <c r="Q314" s="796"/>
    </row>
    <row r="315" spans="1:17" x14ac:dyDescent="0.15">
      <c r="A315" s="790"/>
      <c r="B315" s="791"/>
      <c r="C315" s="791"/>
      <c r="D315" s="791"/>
      <c r="E315" s="791"/>
      <c r="F315" s="791"/>
      <c r="G315" s="791"/>
      <c r="H315" s="791"/>
      <c r="I315" s="791"/>
      <c r="J315" s="791"/>
      <c r="K315" s="791"/>
      <c r="L315" s="791"/>
      <c r="M315" s="791"/>
      <c r="N315" s="791"/>
      <c r="O315" s="791"/>
      <c r="P315" s="791"/>
      <c r="Q315" s="122"/>
    </row>
    <row r="316" spans="1:17" s="126" customFormat="1" ht="12.75" customHeight="1" x14ac:dyDescent="0.15">
      <c r="A316" s="822" t="s">
        <v>150</v>
      </c>
      <c r="B316" s="823" t="s">
        <v>151</v>
      </c>
      <c r="C316" s="823"/>
      <c r="D316" s="802"/>
      <c r="E316" s="823" t="s">
        <v>152</v>
      </c>
      <c r="F316" s="823"/>
      <c r="G316" s="823"/>
      <c r="H316" s="802" t="s">
        <v>153</v>
      </c>
      <c r="I316" s="802" t="s">
        <v>159</v>
      </c>
      <c r="J316" s="804" t="s">
        <v>73</v>
      </c>
      <c r="K316" s="216" t="s">
        <v>154</v>
      </c>
      <c r="L316" s="123"/>
      <c r="M316" s="124"/>
      <c r="N316" s="124"/>
      <c r="O316" s="124"/>
      <c r="P316" s="124"/>
      <c r="Q316" s="125"/>
    </row>
    <row r="317" spans="1:17" s="130" customFormat="1" ht="14" x14ac:dyDescent="0.15">
      <c r="A317" s="822"/>
      <c r="B317" s="823"/>
      <c r="C317" s="823"/>
      <c r="D317" s="803"/>
      <c r="E317" s="217" t="s">
        <v>155</v>
      </c>
      <c r="F317" s="220" t="s">
        <v>572</v>
      </c>
      <c r="G317" s="217" t="s">
        <v>157</v>
      </c>
      <c r="H317" s="803"/>
      <c r="I317" s="803"/>
      <c r="J317" s="805"/>
      <c r="K317" s="216" t="s">
        <v>158</v>
      </c>
      <c r="L317" s="127"/>
      <c r="M317" s="128"/>
      <c r="N317" s="128"/>
      <c r="O317" s="128"/>
      <c r="P317" s="128"/>
      <c r="Q317" s="129"/>
    </row>
    <row r="318" spans="1:17" ht="18" customHeight="1" x14ac:dyDescent="0.15">
      <c r="A318" s="148"/>
      <c r="B318" s="815" t="s">
        <v>1059</v>
      </c>
      <c r="C318" s="816"/>
      <c r="D318" s="219">
        <v>0</v>
      </c>
      <c r="E318" s="132">
        <v>12.4</v>
      </c>
      <c r="F318" s="144">
        <v>7.8</v>
      </c>
      <c r="G318" s="144">
        <v>0</v>
      </c>
      <c r="H318" s="132">
        <v>1</v>
      </c>
      <c r="I318" s="132">
        <f>E318*F318</f>
        <v>96.72</v>
      </c>
      <c r="J318" s="133" t="s">
        <v>5</v>
      </c>
      <c r="K318" s="143">
        <f>I318*H318</f>
        <v>96.72</v>
      </c>
      <c r="L318" s="127"/>
      <c r="M318" s="128"/>
      <c r="N318" s="128"/>
      <c r="O318" s="128"/>
      <c r="P318" s="128"/>
      <c r="Q318" s="129"/>
    </row>
    <row r="319" spans="1:17" ht="14" x14ac:dyDescent="0.15">
      <c r="A319" s="795" t="s">
        <v>149</v>
      </c>
      <c r="B319" s="817"/>
      <c r="C319" s="817"/>
      <c r="D319" s="817"/>
      <c r="E319" s="817"/>
      <c r="F319" s="817"/>
      <c r="G319" s="817"/>
      <c r="H319" s="817"/>
      <c r="I319" s="817"/>
      <c r="J319" s="796"/>
      <c r="K319" s="416">
        <f>SUM(K318:K318)</f>
        <v>96.72</v>
      </c>
      <c r="L319" s="134"/>
      <c r="M319" s="135"/>
      <c r="N319" s="135"/>
      <c r="O319" s="135"/>
      <c r="P319" s="135"/>
      <c r="Q319" s="136"/>
    </row>
    <row r="320" spans="1:17" x14ac:dyDescent="0.15">
      <c r="A320" s="790"/>
      <c r="B320" s="791"/>
      <c r="C320" s="791"/>
      <c r="D320" s="791"/>
      <c r="E320" s="791"/>
      <c r="F320" s="791"/>
      <c r="G320" s="791"/>
      <c r="H320" s="791"/>
      <c r="I320" s="791"/>
      <c r="J320" s="791"/>
      <c r="K320" s="791"/>
      <c r="L320" s="791"/>
      <c r="M320" s="791"/>
      <c r="N320" s="791"/>
      <c r="O320" s="791"/>
      <c r="P320" s="791"/>
      <c r="Q320" s="792"/>
    </row>
    <row r="321" spans="1:17" s="121" customFormat="1" ht="18" customHeight="1" x14ac:dyDescent="0.15">
      <c r="A321" s="218" t="s">
        <v>0</v>
      </c>
      <c r="B321" s="793" t="s">
        <v>1382</v>
      </c>
      <c r="C321" s="794"/>
      <c r="D321" s="794"/>
      <c r="E321" s="794"/>
      <c r="F321" s="794"/>
      <c r="G321" s="794"/>
      <c r="H321" s="794"/>
      <c r="I321" s="794"/>
      <c r="J321" s="794"/>
      <c r="K321" s="794"/>
      <c r="L321" s="794"/>
      <c r="M321" s="794"/>
      <c r="N321" s="821"/>
      <c r="O321" s="216" t="s">
        <v>73</v>
      </c>
      <c r="P321" s="795" t="s">
        <v>5</v>
      </c>
      <c r="Q321" s="796"/>
    </row>
    <row r="322" spans="1:17" x14ac:dyDescent="0.15">
      <c r="A322" s="790"/>
      <c r="B322" s="791"/>
      <c r="C322" s="791"/>
      <c r="D322" s="791"/>
      <c r="E322" s="791"/>
      <c r="F322" s="791"/>
      <c r="G322" s="791"/>
      <c r="H322" s="791"/>
      <c r="I322" s="791"/>
      <c r="J322" s="791"/>
      <c r="K322" s="791"/>
      <c r="L322" s="791"/>
      <c r="M322" s="791"/>
      <c r="N322" s="791"/>
      <c r="O322" s="791"/>
      <c r="P322" s="791"/>
      <c r="Q322" s="122"/>
    </row>
    <row r="323" spans="1:17" s="126" customFormat="1" ht="12.75" customHeight="1" x14ac:dyDescent="0.15">
      <c r="A323" s="822" t="s">
        <v>150</v>
      </c>
      <c r="B323" s="823" t="s">
        <v>151</v>
      </c>
      <c r="C323" s="823"/>
      <c r="D323" s="832" t="s">
        <v>241</v>
      </c>
      <c r="E323" s="823" t="s">
        <v>152</v>
      </c>
      <c r="F323" s="823"/>
      <c r="G323" s="823"/>
      <c r="H323" s="802" t="s">
        <v>153</v>
      </c>
      <c r="I323" s="802" t="s">
        <v>159</v>
      </c>
      <c r="J323" s="804" t="s">
        <v>73</v>
      </c>
      <c r="K323" s="216" t="s">
        <v>154</v>
      </c>
      <c r="L323" s="123"/>
      <c r="M323" s="124"/>
      <c r="N323" s="124"/>
      <c r="O323" s="124"/>
      <c r="P323" s="124"/>
      <c r="Q323" s="125"/>
    </row>
    <row r="324" spans="1:17" s="130" customFormat="1" ht="14" x14ac:dyDescent="0.15">
      <c r="A324" s="822"/>
      <c r="B324" s="823"/>
      <c r="C324" s="823"/>
      <c r="D324" s="833"/>
      <c r="E324" s="217" t="s">
        <v>155</v>
      </c>
      <c r="F324" s="220" t="s">
        <v>572</v>
      </c>
      <c r="G324" s="217" t="s">
        <v>157</v>
      </c>
      <c r="H324" s="803"/>
      <c r="I324" s="803"/>
      <c r="J324" s="805"/>
      <c r="K324" s="216" t="s">
        <v>158</v>
      </c>
      <c r="L324" s="127"/>
      <c r="M324" s="128"/>
      <c r="N324" s="128"/>
      <c r="O324" s="128"/>
      <c r="P324" s="128"/>
      <c r="Q324" s="129"/>
    </row>
    <row r="325" spans="1:17" ht="24" customHeight="1" x14ac:dyDescent="0.15">
      <c r="A325" s="148"/>
      <c r="B325" s="788" t="s">
        <v>1418</v>
      </c>
      <c r="C325" s="789"/>
      <c r="D325" s="149"/>
      <c r="E325" s="143">
        <v>3.2</v>
      </c>
      <c r="F325" s="143">
        <v>3.24</v>
      </c>
      <c r="G325" s="143">
        <v>0</v>
      </c>
      <c r="H325" s="143">
        <v>1</v>
      </c>
      <c r="I325" s="143">
        <f>F325*E325</f>
        <v>10.368000000000002</v>
      </c>
      <c r="J325" s="133" t="s">
        <v>5</v>
      </c>
      <c r="K325" s="143">
        <f t="shared" ref="K325" si="47">I325*H325</f>
        <v>10.368000000000002</v>
      </c>
      <c r="L325" s="127"/>
      <c r="M325" s="128"/>
      <c r="N325" s="128"/>
      <c r="O325" s="128"/>
      <c r="P325" s="128"/>
      <c r="Q325" s="129"/>
    </row>
    <row r="326" spans="1:17" ht="14" x14ac:dyDescent="0.15">
      <c r="A326" s="795" t="s">
        <v>149</v>
      </c>
      <c r="B326" s="817"/>
      <c r="C326" s="817"/>
      <c r="D326" s="817"/>
      <c r="E326" s="817"/>
      <c r="F326" s="817"/>
      <c r="G326" s="817"/>
      <c r="H326" s="817"/>
      <c r="I326" s="817"/>
      <c r="J326" s="796"/>
      <c r="K326" s="416">
        <f>SUM(K325:K325)</f>
        <v>10.368000000000002</v>
      </c>
      <c r="L326" s="134"/>
      <c r="M326" s="135"/>
      <c r="N326" s="135"/>
      <c r="O326" s="135"/>
      <c r="P326" s="135"/>
      <c r="Q326" s="136"/>
    </row>
    <row r="327" spans="1:17" x14ac:dyDescent="0.15">
      <c r="A327" s="790"/>
      <c r="B327" s="791"/>
      <c r="C327" s="791"/>
      <c r="D327" s="791"/>
      <c r="E327" s="791"/>
      <c r="F327" s="791"/>
      <c r="G327" s="791"/>
      <c r="H327" s="791"/>
      <c r="I327" s="791"/>
      <c r="J327" s="791"/>
      <c r="K327" s="791"/>
      <c r="L327" s="791"/>
      <c r="M327" s="791"/>
      <c r="N327" s="791"/>
      <c r="O327" s="791"/>
      <c r="P327" s="791"/>
      <c r="Q327" s="792"/>
    </row>
    <row r="328" spans="1:17" s="121" customFormat="1" ht="30" customHeight="1" x14ac:dyDescent="0.15">
      <c r="A328" s="218" t="s">
        <v>0</v>
      </c>
      <c r="B328" s="835" t="s">
        <v>1419</v>
      </c>
      <c r="C328" s="836"/>
      <c r="D328" s="836"/>
      <c r="E328" s="836"/>
      <c r="F328" s="836"/>
      <c r="G328" s="836"/>
      <c r="H328" s="836"/>
      <c r="I328" s="836"/>
      <c r="J328" s="836"/>
      <c r="K328" s="836"/>
      <c r="L328" s="836"/>
      <c r="M328" s="836"/>
      <c r="N328" s="837"/>
      <c r="O328" s="216" t="s">
        <v>73</v>
      </c>
      <c r="P328" s="795" t="s">
        <v>193</v>
      </c>
      <c r="Q328" s="796"/>
    </row>
    <row r="329" spans="1:17" x14ac:dyDescent="0.15">
      <c r="A329" s="790"/>
      <c r="B329" s="791"/>
      <c r="C329" s="791"/>
      <c r="D329" s="791"/>
      <c r="E329" s="791"/>
      <c r="F329" s="791"/>
      <c r="G329" s="791"/>
      <c r="H329" s="791"/>
      <c r="I329" s="791"/>
      <c r="J329" s="791"/>
      <c r="K329" s="791"/>
      <c r="L329" s="791"/>
      <c r="M329" s="791"/>
      <c r="N329" s="791"/>
      <c r="O329" s="791"/>
      <c r="P329" s="791"/>
      <c r="Q329" s="792"/>
    </row>
    <row r="330" spans="1:17" s="126" customFormat="1" ht="12.75" customHeight="1" x14ac:dyDescent="0.15">
      <c r="A330" s="822" t="s">
        <v>150</v>
      </c>
      <c r="B330" s="823" t="s">
        <v>151</v>
      </c>
      <c r="C330" s="823"/>
      <c r="D330" s="825" t="s">
        <v>152</v>
      </c>
      <c r="E330" s="826"/>
      <c r="F330" s="826"/>
      <c r="G330" s="834"/>
      <c r="H330" s="802" t="s">
        <v>153</v>
      </c>
      <c r="I330" s="802" t="s">
        <v>242</v>
      </c>
      <c r="J330" s="804" t="s">
        <v>73</v>
      </c>
      <c r="K330" s="216" t="s">
        <v>154</v>
      </c>
      <c r="L330" s="123"/>
      <c r="M330" s="124"/>
      <c r="N330" s="124"/>
      <c r="O330" s="124"/>
      <c r="P330" s="124"/>
      <c r="Q330" s="125"/>
    </row>
    <row r="331" spans="1:17" s="130" customFormat="1" x14ac:dyDescent="0.15">
      <c r="A331" s="822"/>
      <c r="B331" s="823"/>
      <c r="C331" s="823"/>
      <c r="D331" s="220"/>
      <c r="E331" s="217" t="s">
        <v>155</v>
      </c>
      <c r="F331" s="217" t="s">
        <v>156</v>
      </c>
      <c r="G331" s="217" t="s">
        <v>269</v>
      </c>
      <c r="H331" s="803"/>
      <c r="I331" s="803"/>
      <c r="J331" s="805"/>
      <c r="K331" s="216" t="s">
        <v>158</v>
      </c>
      <c r="L331" s="127"/>
      <c r="M331" s="128"/>
      <c r="N331" s="128"/>
      <c r="O331" s="128"/>
      <c r="P331" s="128"/>
      <c r="Q331" s="129"/>
    </row>
    <row r="332" spans="1:17" ht="21" customHeight="1" x14ac:dyDescent="0.15">
      <c r="A332" s="148"/>
      <c r="B332" s="815" t="s">
        <v>1420</v>
      </c>
      <c r="C332" s="816"/>
      <c r="D332" s="219">
        <v>0</v>
      </c>
      <c r="E332" s="132">
        <f>8.2+2.7</f>
        <v>10.899999999999999</v>
      </c>
      <c r="F332" s="144">
        <v>0</v>
      </c>
      <c r="G332" s="144">
        <v>0</v>
      </c>
      <c r="H332" s="132">
        <v>4</v>
      </c>
      <c r="I332" s="143">
        <f>E332</f>
        <v>10.899999999999999</v>
      </c>
      <c r="J332" s="133" t="s">
        <v>193</v>
      </c>
      <c r="K332" s="143">
        <f>I332*H332</f>
        <v>43.599999999999994</v>
      </c>
      <c r="L332" s="127"/>
      <c r="M332" s="128"/>
      <c r="N332" s="128"/>
      <c r="O332" s="128"/>
      <c r="P332" s="128"/>
      <c r="Q332" s="129"/>
    </row>
    <row r="333" spans="1:17" ht="14" x14ac:dyDescent="0.15">
      <c r="A333" s="795" t="s">
        <v>149</v>
      </c>
      <c r="B333" s="817"/>
      <c r="C333" s="817"/>
      <c r="D333" s="817"/>
      <c r="E333" s="817"/>
      <c r="F333" s="817"/>
      <c r="G333" s="817"/>
      <c r="H333" s="817"/>
      <c r="I333" s="817"/>
      <c r="J333" s="796"/>
      <c r="K333" s="416">
        <f>SUM(K332:K332)</f>
        <v>43.599999999999994</v>
      </c>
      <c r="L333" s="134"/>
      <c r="M333" s="135"/>
      <c r="N333" s="135"/>
      <c r="O333" s="135"/>
      <c r="P333" s="135"/>
      <c r="Q333" s="136"/>
    </row>
    <row r="334" spans="1:17" x14ac:dyDescent="0.15">
      <c r="A334" s="790"/>
      <c r="B334" s="791"/>
      <c r="C334" s="791"/>
      <c r="D334" s="791"/>
      <c r="E334" s="791"/>
      <c r="F334" s="791"/>
      <c r="G334" s="791"/>
      <c r="H334" s="791"/>
      <c r="I334" s="791"/>
      <c r="J334" s="791"/>
      <c r="K334" s="791"/>
      <c r="L334" s="791"/>
      <c r="M334" s="791"/>
      <c r="N334" s="791"/>
      <c r="O334" s="791"/>
      <c r="P334" s="791"/>
      <c r="Q334" s="792"/>
    </row>
    <row r="335" spans="1:17" s="121" customFormat="1" ht="30" customHeight="1" x14ac:dyDescent="0.15">
      <c r="A335" s="218" t="s">
        <v>0</v>
      </c>
      <c r="B335" s="835" t="s">
        <v>1421</v>
      </c>
      <c r="C335" s="836"/>
      <c r="D335" s="836"/>
      <c r="E335" s="836"/>
      <c r="F335" s="836"/>
      <c r="G335" s="836"/>
      <c r="H335" s="836"/>
      <c r="I335" s="836"/>
      <c r="J335" s="836"/>
      <c r="K335" s="836"/>
      <c r="L335" s="836"/>
      <c r="M335" s="836"/>
      <c r="N335" s="837"/>
      <c r="O335" s="216" t="s">
        <v>73</v>
      </c>
      <c r="P335" s="795" t="s">
        <v>193</v>
      </c>
      <c r="Q335" s="796"/>
    </row>
    <row r="336" spans="1:17" x14ac:dyDescent="0.15">
      <c r="A336" s="790"/>
      <c r="B336" s="791"/>
      <c r="C336" s="791"/>
      <c r="D336" s="791"/>
      <c r="E336" s="791"/>
      <c r="F336" s="791"/>
      <c r="G336" s="791"/>
      <c r="H336" s="791"/>
      <c r="I336" s="791"/>
      <c r="J336" s="791"/>
      <c r="K336" s="791"/>
      <c r="L336" s="791"/>
      <c r="M336" s="791"/>
      <c r="N336" s="791"/>
      <c r="O336" s="791"/>
      <c r="P336" s="791"/>
      <c r="Q336" s="792"/>
    </row>
    <row r="337" spans="1:17" s="126" customFormat="1" ht="12.75" customHeight="1" x14ac:dyDescent="0.15">
      <c r="A337" s="822" t="s">
        <v>150</v>
      </c>
      <c r="B337" s="823" t="s">
        <v>151</v>
      </c>
      <c r="C337" s="823"/>
      <c r="D337" s="825" t="s">
        <v>152</v>
      </c>
      <c r="E337" s="826"/>
      <c r="F337" s="826"/>
      <c r="G337" s="834"/>
      <c r="H337" s="802" t="s">
        <v>153</v>
      </c>
      <c r="I337" s="802" t="s">
        <v>242</v>
      </c>
      <c r="J337" s="804" t="s">
        <v>73</v>
      </c>
      <c r="K337" s="216" t="s">
        <v>154</v>
      </c>
      <c r="L337" s="123"/>
      <c r="M337" s="124"/>
      <c r="N337" s="124"/>
      <c r="O337" s="124"/>
      <c r="P337" s="124"/>
      <c r="Q337" s="125"/>
    </row>
    <row r="338" spans="1:17" s="130" customFormat="1" x14ac:dyDescent="0.15">
      <c r="A338" s="822"/>
      <c r="B338" s="823"/>
      <c r="C338" s="823"/>
      <c r="D338" s="220"/>
      <c r="E338" s="217" t="s">
        <v>155</v>
      </c>
      <c r="F338" s="217" t="s">
        <v>156</v>
      </c>
      <c r="G338" s="217" t="s">
        <v>269</v>
      </c>
      <c r="H338" s="803"/>
      <c r="I338" s="803"/>
      <c r="J338" s="805"/>
      <c r="K338" s="216" t="s">
        <v>158</v>
      </c>
      <c r="L338" s="127"/>
      <c r="M338" s="128"/>
      <c r="N338" s="128"/>
      <c r="O338" s="128"/>
      <c r="P338" s="128"/>
      <c r="Q338" s="129"/>
    </row>
    <row r="339" spans="1:17" ht="21" customHeight="1" x14ac:dyDescent="0.15">
      <c r="A339" s="148"/>
      <c r="B339" s="815" t="s">
        <v>1423</v>
      </c>
      <c r="C339" s="816"/>
      <c r="D339" s="219">
        <v>0</v>
      </c>
      <c r="E339" s="132">
        <v>12.4</v>
      </c>
      <c r="F339" s="144">
        <v>0</v>
      </c>
      <c r="G339" s="144">
        <v>0</v>
      </c>
      <c r="H339" s="132">
        <v>8</v>
      </c>
      <c r="I339" s="143">
        <f>E339</f>
        <v>12.4</v>
      </c>
      <c r="J339" s="133" t="s">
        <v>193</v>
      </c>
      <c r="K339" s="143">
        <f>I339*H339</f>
        <v>99.2</v>
      </c>
      <c r="L339" s="127"/>
      <c r="M339" s="128"/>
      <c r="N339" s="128"/>
      <c r="O339" s="128"/>
      <c r="P339" s="128"/>
      <c r="Q339" s="129"/>
    </row>
    <row r="340" spans="1:17" ht="14" x14ac:dyDescent="0.15">
      <c r="A340" s="795" t="s">
        <v>149</v>
      </c>
      <c r="B340" s="817"/>
      <c r="C340" s="817"/>
      <c r="D340" s="817"/>
      <c r="E340" s="817"/>
      <c r="F340" s="817"/>
      <c r="G340" s="817"/>
      <c r="H340" s="817"/>
      <c r="I340" s="817"/>
      <c r="J340" s="796"/>
      <c r="K340" s="416">
        <f>SUM(K339:K339)</f>
        <v>99.2</v>
      </c>
      <c r="L340" s="134"/>
      <c r="M340" s="135"/>
      <c r="N340" s="135"/>
      <c r="O340" s="135"/>
      <c r="P340" s="135"/>
      <c r="Q340" s="136"/>
    </row>
    <row r="341" spans="1:17" x14ac:dyDescent="0.15">
      <c r="A341" s="790"/>
      <c r="B341" s="791"/>
      <c r="C341" s="791"/>
      <c r="D341" s="791"/>
      <c r="E341" s="791"/>
      <c r="F341" s="791"/>
      <c r="G341" s="791"/>
      <c r="H341" s="791"/>
      <c r="I341" s="791"/>
      <c r="J341" s="791"/>
      <c r="K341" s="791"/>
      <c r="L341" s="791"/>
      <c r="M341" s="791"/>
      <c r="N341" s="791"/>
      <c r="O341" s="791"/>
      <c r="P341" s="791"/>
      <c r="Q341" s="792"/>
    </row>
    <row r="342" spans="1:17" s="121" customFormat="1" ht="30" customHeight="1" x14ac:dyDescent="0.15">
      <c r="A342" s="218" t="s">
        <v>0</v>
      </c>
      <c r="B342" s="835" t="s">
        <v>1422</v>
      </c>
      <c r="C342" s="836"/>
      <c r="D342" s="836"/>
      <c r="E342" s="836"/>
      <c r="F342" s="836"/>
      <c r="G342" s="836"/>
      <c r="H342" s="836"/>
      <c r="I342" s="836"/>
      <c r="J342" s="836"/>
      <c r="K342" s="836"/>
      <c r="L342" s="836"/>
      <c r="M342" s="836"/>
      <c r="N342" s="837"/>
      <c r="O342" s="216" t="s">
        <v>73</v>
      </c>
      <c r="P342" s="795" t="s">
        <v>193</v>
      </c>
      <c r="Q342" s="796"/>
    </row>
    <row r="343" spans="1:17" x14ac:dyDescent="0.15">
      <c r="A343" s="790"/>
      <c r="B343" s="791"/>
      <c r="C343" s="791"/>
      <c r="D343" s="791"/>
      <c r="E343" s="791"/>
      <c r="F343" s="791"/>
      <c r="G343" s="791"/>
      <c r="H343" s="791"/>
      <c r="I343" s="791"/>
      <c r="J343" s="791"/>
      <c r="K343" s="791"/>
      <c r="L343" s="791"/>
      <c r="M343" s="791"/>
      <c r="N343" s="791"/>
      <c r="O343" s="791"/>
      <c r="P343" s="791"/>
      <c r="Q343" s="792"/>
    </row>
    <row r="344" spans="1:17" s="126" customFormat="1" ht="12.75" customHeight="1" x14ac:dyDescent="0.15">
      <c r="A344" s="822" t="s">
        <v>150</v>
      </c>
      <c r="B344" s="823" t="s">
        <v>151</v>
      </c>
      <c r="C344" s="823"/>
      <c r="D344" s="825" t="s">
        <v>152</v>
      </c>
      <c r="E344" s="826"/>
      <c r="F344" s="826"/>
      <c r="G344" s="834"/>
      <c r="H344" s="802" t="s">
        <v>153</v>
      </c>
      <c r="I344" s="802" t="s">
        <v>242</v>
      </c>
      <c r="J344" s="804" t="s">
        <v>73</v>
      </c>
      <c r="K344" s="216" t="s">
        <v>154</v>
      </c>
      <c r="L344" s="123"/>
      <c r="M344" s="124"/>
      <c r="N344" s="124"/>
      <c r="O344" s="124"/>
      <c r="P344" s="124"/>
      <c r="Q344" s="125"/>
    </row>
    <row r="345" spans="1:17" s="130" customFormat="1" x14ac:dyDescent="0.15">
      <c r="A345" s="822"/>
      <c r="B345" s="823"/>
      <c r="C345" s="823"/>
      <c r="D345" s="220"/>
      <c r="E345" s="217" t="s">
        <v>155</v>
      </c>
      <c r="F345" s="217" t="s">
        <v>156</v>
      </c>
      <c r="G345" s="217" t="s">
        <v>269</v>
      </c>
      <c r="H345" s="803"/>
      <c r="I345" s="803"/>
      <c r="J345" s="805"/>
      <c r="K345" s="216" t="s">
        <v>158</v>
      </c>
      <c r="L345" s="127"/>
      <c r="M345" s="128"/>
      <c r="N345" s="128"/>
      <c r="O345" s="128"/>
      <c r="P345" s="128"/>
      <c r="Q345" s="129"/>
    </row>
    <row r="346" spans="1:17" ht="21" customHeight="1" x14ac:dyDescent="0.15">
      <c r="A346" s="148"/>
      <c r="B346" s="815" t="s">
        <v>1424</v>
      </c>
      <c r="C346" s="816"/>
      <c r="D346" s="219">
        <v>0</v>
      </c>
      <c r="E346" s="132">
        <v>11.44</v>
      </c>
      <c r="F346" s="144">
        <v>0</v>
      </c>
      <c r="G346" s="144">
        <v>0</v>
      </c>
      <c r="H346" s="132">
        <v>2</v>
      </c>
      <c r="I346" s="143">
        <f>E346</f>
        <v>11.44</v>
      </c>
      <c r="J346" s="133" t="s">
        <v>193</v>
      </c>
      <c r="K346" s="143">
        <f>I346*H346</f>
        <v>22.88</v>
      </c>
      <c r="L346" s="127"/>
      <c r="M346" s="128"/>
      <c r="N346" s="128"/>
      <c r="O346" s="128"/>
      <c r="P346" s="128"/>
      <c r="Q346" s="129"/>
    </row>
    <row r="347" spans="1:17" ht="21" customHeight="1" x14ac:dyDescent="0.15">
      <c r="A347" s="148"/>
      <c r="B347" s="815" t="s">
        <v>1424</v>
      </c>
      <c r="C347" s="816"/>
      <c r="D347" s="219">
        <v>0</v>
      </c>
      <c r="E347" s="132">
        <v>3.6</v>
      </c>
      <c r="F347" s="144">
        <v>0</v>
      </c>
      <c r="G347" s="144">
        <v>0</v>
      </c>
      <c r="H347" s="132">
        <v>5</v>
      </c>
      <c r="I347" s="143">
        <f>E347</f>
        <v>3.6</v>
      </c>
      <c r="J347" s="133" t="s">
        <v>193</v>
      </c>
      <c r="K347" s="143">
        <f>I347*H347</f>
        <v>18</v>
      </c>
      <c r="L347" s="127"/>
      <c r="M347" s="128"/>
      <c r="N347" s="128"/>
      <c r="O347" s="128"/>
      <c r="P347" s="128"/>
      <c r="Q347" s="129"/>
    </row>
    <row r="348" spans="1:17" ht="14" x14ac:dyDescent="0.15">
      <c r="A348" s="795" t="s">
        <v>149</v>
      </c>
      <c r="B348" s="817"/>
      <c r="C348" s="817"/>
      <c r="D348" s="817"/>
      <c r="E348" s="817"/>
      <c r="F348" s="817"/>
      <c r="G348" s="817"/>
      <c r="H348" s="817"/>
      <c r="I348" s="817"/>
      <c r="J348" s="796"/>
      <c r="K348" s="416">
        <f>SUM(K346:K347)</f>
        <v>40.879999999999995</v>
      </c>
      <c r="L348" s="134"/>
      <c r="M348" s="135"/>
      <c r="N348" s="135"/>
      <c r="O348" s="135"/>
      <c r="P348" s="135"/>
      <c r="Q348" s="136"/>
    </row>
    <row r="349" spans="1:17" x14ac:dyDescent="0.15">
      <c r="A349" s="790"/>
      <c r="B349" s="791"/>
      <c r="C349" s="791"/>
      <c r="D349" s="791"/>
      <c r="E349" s="791"/>
      <c r="F349" s="791"/>
      <c r="G349" s="791"/>
      <c r="H349" s="791"/>
      <c r="I349" s="791"/>
      <c r="J349" s="791"/>
      <c r="K349" s="791"/>
      <c r="L349" s="791"/>
      <c r="M349" s="791"/>
      <c r="N349" s="791"/>
      <c r="O349" s="791"/>
      <c r="P349" s="791"/>
      <c r="Q349" s="792"/>
    </row>
    <row r="350" spans="1:17" s="121" customFormat="1" ht="19.5" customHeight="1" x14ac:dyDescent="0.15">
      <c r="A350" s="218" t="s">
        <v>0</v>
      </c>
      <c r="B350" s="835" t="s">
        <v>1432</v>
      </c>
      <c r="C350" s="836"/>
      <c r="D350" s="836"/>
      <c r="E350" s="836"/>
      <c r="F350" s="836"/>
      <c r="G350" s="836"/>
      <c r="H350" s="836"/>
      <c r="I350" s="836"/>
      <c r="J350" s="836"/>
      <c r="K350" s="836"/>
      <c r="L350" s="836"/>
      <c r="M350" s="836"/>
      <c r="N350" s="837"/>
      <c r="O350" s="216" t="s">
        <v>73</v>
      </c>
      <c r="P350" s="795" t="s">
        <v>193</v>
      </c>
      <c r="Q350" s="796"/>
    </row>
    <row r="351" spans="1:17" x14ac:dyDescent="0.15">
      <c r="A351" s="790"/>
      <c r="B351" s="791"/>
      <c r="C351" s="791"/>
      <c r="D351" s="791"/>
      <c r="E351" s="791"/>
      <c r="F351" s="791"/>
      <c r="G351" s="791"/>
      <c r="H351" s="791"/>
      <c r="I351" s="791"/>
      <c r="J351" s="791"/>
      <c r="K351" s="791"/>
      <c r="L351" s="791"/>
      <c r="M351" s="791"/>
      <c r="N351" s="791"/>
      <c r="O351" s="791"/>
      <c r="P351" s="791"/>
      <c r="Q351" s="792"/>
    </row>
    <row r="352" spans="1:17" s="126" customFormat="1" ht="12.75" customHeight="1" x14ac:dyDescent="0.15">
      <c r="A352" s="822" t="s">
        <v>150</v>
      </c>
      <c r="B352" s="823" t="s">
        <v>151</v>
      </c>
      <c r="C352" s="823"/>
      <c r="D352" s="825" t="s">
        <v>152</v>
      </c>
      <c r="E352" s="826"/>
      <c r="F352" s="826"/>
      <c r="G352" s="834"/>
      <c r="H352" s="802" t="s">
        <v>153</v>
      </c>
      <c r="I352" s="802" t="s">
        <v>242</v>
      </c>
      <c r="J352" s="804" t="s">
        <v>73</v>
      </c>
      <c r="K352" s="216" t="s">
        <v>154</v>
      </c>
      <c r="L352" s="123"/>
      <c r="M352" s="124"/>
      <c r="N352" s="124"/>
      <c r="O352" s="124"/>
      <c r="P352" s="124"/>
      <c r="Q352" s="125"/>
    </row>
    <row r="353" spans="1:17" s="130" customFormat="1" x14ac:dyDescent="0.15">
      <c r="A353" s="822"/>
      <c r="B353" s="823"/>
      <c r="C353" s="823"/>
      <c r="D353" s="220"/>
      <c r="E353" s="217" t="s">
        <v>155</v>
      </c>
      <c r="F353" s="217" t="s">
        <v>156</v>
      </c>
      <c r="G353" s="217" t="s">
        <v>269</v>
      </c>
      <c r="H353" s="803"/>
      <c r="I353" s="803"/>
      <c r="J353" s="805"/>
      <c r="K353" s="216" t="s">
        <v>158</v>
      </c>
      <c r="L353" s="127"/>
      <c r="M353" s="128"/>
      <c r="N353" s="128"/>
      <c r="O353" s="128"/>
      <c r="P353" s="128"/>
      <c r="Q353" s="129"/>
    </row>
    <row r="354" spans="1:17" ht="21" customHeight="1" x14ac:dyDescent="0.15">
      <c r="A354" s="148"/>
      <c r="B354" s="815" t="s">
        <v>1506</v>
      </c>
      <c r="C354" s="816"/>
      <c r="D354" s="219">
        <v>0</v>
      </c>
      <c r="E354" s="132">
        <v>12.6</v>
      </c>
      <c r="F354" s="144">
        <v>0</v>
      </c>
      <c r="G354" s="144">
        <v>0</v>
      </c>
      <c r="H354" s="132">
        <v>2</v>
      </c>
      <c r="I354" s="143">
        <f>E354</f>
        <v>12.6</v>
      </c>
      <c r="J354" s="133" t="s">
        <v>193</v>
      </c>
      <c r="K354" s="143">
        <f>I354*H354</f>
        <v>25.2</v>
      </c>
      <c r="L354" s="127"/>
      <c r="M354" s="128"/>
      <c r="N354" s="128"/>
      <c r="O354" s="128"/>
      <c r="P354" s="128"/>
      <c r="Q354" s="129"/>
    </row>
    <row r="355" spans="1:17" ht="14" x14ac:dyDescent="0.15">
      <c r="A355" s="795" t="s">
        <v>149</v>
      </c>
      <c r="B355" s="817"/>
      <c r="C355" s="817"/>
      <c r="D355" s="817"/>
      <c r="E355" s="817"/>
      <c r="F355" s="817"/>
      <c r="G355" s="817"/>
      <c r="H355" s="817"/>
      <c r="I355" s="817"/>
      <c r="J355" s="796"/>
      <c r="K355" s="416">
        <f>SUM(K354:K354)</f>
        <v>25.2</v>
      </c>
      <c r="L355" s="134"/>
      <c r="M355" s="135"/>
      <c r="N355" s="135"/>
      <c r="O355" s="135"/>
      <c r="P355" s="135"/>
      <c r="Q355" s="136"/>
    </row>
    <row r="356" spans="1:17" x14ac:dyDescent="0.15">
      <c r="A356" s="790"/>
      <c r="B356" s="791"/>
      <c r="C356" s="791"/>
      <c r="D356" s="791"/>
      <c r="E356" s="791"/>
      <c r="F356" s="791"/>
      <c r="G356" s="791"/>
      <c r="H356" s="791"/>
      <c r="I356" s="791"/>
      <c r="J356" s="791"/>
      <c r="K356" s="791"/>
      <c r="L356" s="791"/>
      <c r="M356" s="791"/>
      <c r="N356" s="791"/>
      <c r="O356" s="791"/>
      <c r="P356" s="791"/>
      <c r="Q356" s="792"/>
    </row>
    <row r="357" spans="1:17" s="121" customFormat="1" ht="18" customHeight="1" x14ac:dyDescent="0.15">
      <c r="A357" s="218" t="s">
        <v>0</v>
      </c>
      <c r="B357" s="838" t="s">
        <v>1220</v>
      </c>
      <c r="C357" s="839"/>
      <c r="D357" s="839"/>
      <c r="E357" s="839"/>
      <c r="F357" s="839"/>
      <c r="G357" s="839"/>
      <c r="H357" s="839"/>
      <c r="I357" s="839"/>
      <c r="J357" s="839"/>
      <c r="K357" s="839"/>
      <c r="L357" s="839"/>
      <c r="M357" s="839"/>
      <c r="N357" s="839"/>
      <c r="O357" s="216" t="s">
        <v>73</v>
      </c>
      <c r="P357" s="795" t="s">
        <v>5</v>
      </c>
      <c r="Q357" s="796"/>
    </row>
    <row r="358" spans="1:17" x14ac:dyDescent="0.15">
      <c r="A358" s="790"/>
      <c r="B358" s="791"/>
      <c r="C358" s="791"/>
      <c r="D358" s="791"/>
      <c r="E358" s="791"/>
      <c r="F358" s="791"/>
      <c r="G358" s="791"/>
      <c r="H358" s="791"/>
      <c r="I358" s="791"/>
      <c r="J358" s="791"/>
      <c r="K358" s="791"/>
      <c r="L358" s="791"/>
      <c r="M358" s="791"/>
      <c r="N358" s="791"/>
      <c r="O358" s="791"/>
      <c r="P358" s="791"/>
      <c r="Q358" s="792"/>
    </row>
    <row r="359" spans="1:17" s="126" customFormat="1" ht="12.75" customHeight="1" x14ac:dyDescent="0.15">
      <c r="A359" s="802" t="s">
        <v>150</v>
      </c>
      <c r="B359" s="848" t="s">
        <v>151</v>
      </c>
      <c r="C359" s="849"/>
      <c r="D359" s="802"/>
      <c r="E359" s="825" t="s">
        <v>152</v>
      </c>
      <c r="F359" s="826"/>
      <c r="G359" s="834"/>
      <c r="H359" s="802" t="s">
        <v>153</v>
      </c>
      <c r="I359" s="802" t="s">
        <v>159</v>
      </c>
      <c r="J359" s="804" t="s">
        <v>73</v>
      </c>
      <c r="K359" s="216" t="s">
        <v>154</v>
      </c>
      <c r="L359" s="123"/>
      <c r="M359" s="124"/>
      <c r="N359" s="124"/>
      <c r="O359" s="124"/>
      <c r="P359" s="124"/>
      <c r="Q359" s="125"/>
    </row>
    <row r="360" spans="1:17" s="130" customFormat="1" x14ac:dyDescent="0.15">
      <c r="A360" s="803"/>
      <c r="B360" s="850"/>
      <c r="C360" s="851"/>
      <c r="D360" s="803"/>
      <c r="E360" s="217" t="s">
        <v>155</v>
      </c>
      <c r="F360" s="217" t="s">
        <v>156</v>
      </c>
      <c r="G360" s="217" t="s">
        <v>157</v>
      </c>
      <c r="H360" s="803"/>
      <c r="I360" s="803"/>
      <c r="J360" s="805"/>
      <c r="K360" s="216" t="s">
        <v>158</v>
      </c>
      <c r="L360" s="127"/>
      <c r="M360" s="128"/>
      <c r="N360" s="128"/>
      <c r="O360" s="128"/>
      <c r="P360" s="128"/>
      <c r="Q360" s="129"/>
    </row>
    <row r="361" spans="1:17" ht="17.25" customHeight="1" x14ac:dyDescent="0.15">
      <c r="A361" s="148"/>
      <c r="B361" s="788" t="s">
        <v>1119</v>
      </c>
      <c r="C361" s="789"/>
      <c r="D361" s="149"/>
      <c r="E361" s="143">
        <v>0.9</v>
      </c>
      <c r="F361" s="143">
        <v>0</v>
      </c>
      <c r="G361" s="143">
        <v>2.25</v>
      </c>
      <c r="H361" s="143">
        <v>1</v>
      </c>
      <c r="I361" s="143">
        <f>E361*G361</f>
        <v>2.0249999999999999</v>
      </c>
      <c r="J361" s="133" t="s">
        <v>5</v>
      </c>
      <c r="K361" s="143">
        <f>I361*H361</f>
        <v>2.0249999999999999</v>
      </c>
      <c r="L361" s="127"/>
      <c r="M361" s="128"/>
      <c r="N361" s="128"/>
      <c r="O361" s="128"/>
      <c r="P361" s="128"/>
      <c r="Q361" s="129"/>
    </row>
    <row r="362" spans="1:17" ht="14" x14ac:dyDescent="0.15">
      <c r="A362" s="795" t="s">
        <v>149</v>
      </c>
      <c r="B362" s="817"/>
      <c r="C362" s="817"/>
      <c r="D362" s="817"/>
      <c r="E362" s="817"/>
      <c r="F362" s="817"/>
      <c r="G362" s="817"/>
      <c r="H362" s="817"/>
      <c r="I362" s="817"/>
      <c r="J362" s="796"/>
      <c r="K362" s="416">
        <f>SUM(K361:K361)</f>
        <v>2.0249999999999999</v>
      </c>
      <c r="L362" s="134"/>
      <c r="M362" s="135"/>
      <c r="N362" s="135"/>
      <c r="O362" s="135"/>
      <c r="P362" s="135"/>
      <c r="Q362" s="136"/>
    </row>
    <row r="363" spans="1:17" x14ac:dyDescent="0.15">
      <c r="A363" s="790"/>
      <c r="B363" s="791"/>
      <c r="C363" s="791"/>
      <c r="D363" s="791"/>
      <c r="E363" s="791"/>
      <c r="F363" s="791"/>
      <c r="G363" s="791"/>
      <c r="H363" s="791"/>
      <c r="I363" s="791"/>
      <c r="J363" s="791"/>
      <c r="K363" s="791"/>
      <c r="L363" s="791"/>
      <c r="M363" s="791"/>
      <c r="N363" s="791"/>
      <c r="O363" s="791"/>
      <c r="P363" s="791"/>
      <c r="Q363" s="792"/>
    </row>
    <row r="364" spans="1:17" s="121" customFormat="1" ht="18" customHeight="1" x14ac:dyDescent="0.15">
      <c r="A364" s="218" t="s">
        <v>0</v>
      </c>
      <c r="B364" s="838" t="s">
        <v>1429</v>
      </c>
      <c r="C364" s="839"/>
      <c r="D364" s="839"/>
      <c r="E364" s="839"/>
      <c r="F364" s="839"/>
      <c r="G364" s="839"/>
      <c r="H364" s="839"/>
      <c r="I364" s="839"/>
      <c r="J364" s="839"/>
      <c r="K364" s="839"/>
      <c r="L364" s="839"/>
      <c r="M364" s="839"/>
      <c r="N364" s="839"/>
      <c r="O364" s="216" t="s">
        <v>73</v>
      </c>
      <c r="P364" s="795" t="s">
        <v>5</v>
      </c>
      <c r="Q364" s="796"/>
    </row>
    <row r="365" spans="1:17" x14ac:dyDescent="0.15">
      <c r="A365" s="790"/>
      <c r="B365" s="791"/>
      <c r="C365" s="791"/>
      <c r="D365" s="791"/>
      <c r="E365" s="791"/>
      <c r="F365" s="791"/>
      <c r="G365" s="791"/>
      <c r="H365" s="791"/>
      <c r="I365" s="791"/>
      <c r="J365" s="791"/>
      <c r="K365" s="791"/>
      <c r="L365" s="791"/>
      <c r="M365" s="791"/>
      <c r="N365" s="791"/>
      <c r="O365" s="791"/>
      <c r="P365" s="791"/>
      <c r="Q365" s="792"/>
    </row>
    <row r="366" spans="1:17" s="126" customFormat="1" x14ac:dyDescent="0.15">
      <c r="A366" s="822" t="s">
        <v>150</v>
      </c>
      <c r="B366" s="823" t="s">
        <v>151</v>
      </c>
      <c r="C366" s="823"/>
      <c r="D366" s="832" t="s">
        <v>246</v>
      </c>
      <c r="E366" s="823" t="s">
        <v>152</v>
      </c>
      <c r="F366" s="823"/>
      <c r="G366" s="823"/>
      <c r="H366" s="802" t="s">
        <v>153</v>
      </c>
      <c r="I366" s="802" t="s">
        <v>159</v>
      </c>
      <c r="J366" s="804" t="s">
        <v>73</v>
      </c>
      <c r="K366" s="216" t="s">
        <v>154</v>
      </c>
      <c r="L366" s="123"/>
      <c r="M366" s="124"/>
      <c r="N366" s="124"/>
      <c r="O366" s="124"/>
      <c r="P366" s="124"/>
      <c r="Q366" s="125"/>
    </row>
    <row r="367" spans="1:17" s="130" customFormat="1" x14ac:dyDescent="0.15">
      <c r="A367" s="822"/>
      <c r="B367" s="823"/>
      <c r="C367" s="823"/>
      <c r="D367" s="833"/>
      <c r="E367" s="217" t="s">
        <v>155</v>
      </c>
      <c r="F367" s="217" t="s">
        <v>156</v>
      </c>
      <c r="G367" s="217" t="s">
        <v>157</v>
      </c>
      <c r="H367" s="803"/>
      <c r="I367" s="803"/>
      <c r="J367" s="805"/>
      <c r="K367" s="216" t="s">
        <v>158</v>
      </c>
      <c r="L367" s="127"/>
      <c r="M367" s="128"/>
      <c r="N367" s="128"/>
      <c r="O367" s="128"/>
      <c r="P367" s="128"/>
      <c r="Q367" s="129"/>
    </row>
    <row r="368" spans="1:17" ht="21.75" customHeight="1" x14ac:dyDescent="0.15">
      <c r="A368" s="148"/>
      <c r="B368" s="788" t="s">
        <v>1507</v>
      </c>
      <c r="C368" s="789"/>
      <c r="D368" s="149"/>
      <c r="E368" s="143">
        <v>2.5</v>
      </c>
      <c r="F368" s="143">
        <v>0</v>
      </c>
      <c r="G368" s="143">
        <v>1.2</v>
      </c>
      <c r="H368" s="143">
        <v>4</v>
      </c>
      <c r="I368" s="143">
        <f>E368*G368</f>
        <v>3</v>
      </c>
      <c r="J368" s="133" t="s">
        <v>5</v>
      </c>
      <c r="K368" s="143">
        <f>I368*H368</f>
        <v>12</v>
      </c>
      <c r="L368" s="127"/>
      <c r="M368" s="128"/>
      <c r="N368" s="128"/>
      <c r="O368" s="128"/>
      <c r="P368" s="128"/>
      <c r="Q368" s="129"/>
    </row>
    <row r="369" spans="1:18" ht="14" x14ac:dyDescent="0.15">
      <c r="A369" s="795" t="s">
        <v>149</v>
      </c>
      <c r="B369" s="817"/>
      <c r="C369" s="817"/>
      <c r="D369" s="817"/>
      <c r="E369" s="817"/>
      <c r="F369" s="817"/>
      <c r="G369" s="817"/>
      <c r="H369" s="817"/>
      <c r="I369" s="817"/>
      <c r="J369" s="796"/>
      <c r="K369" s="416">
        <f>SUM(K368:K368)</f>
        <v>12</v>
      </c>
      <c r="L369" s="134"/>
      <c r="M369" s="135"/>
      <c r="N369" s="135"/>
      <c r="O369" s="135"/>
      <c r="P369" s="135"/>
      <c r="Q369" s="136"/>
    </row>
    <row r="370" spans="1:18" x14ac:dyDescent="0.15">
      <c r="A370" s="790"/>
      <c r="B370" s="791"/>
      <c r="C370" s="791"/>
      <c r="D370" s="791"/>
      <c r="E370" s="791"/>
      <c r="F370" s="791"/>
      <c r="G370" s="791"/>
      <c r="H370" s="791"/>
      <c r="I370" s="791"/>
      <c r="J370" s="791"/>
      <c r="K370" s="791"/>
      <c r="L370" s="791"/>
      <c r="M370" s="791"/>
      <c r="N370" s="791"/>
      <c r="O370" s="791"/>
      <c r="P370" s="791"/>
      <c r="Q370" s="792"/>
    </row>
    <row r="371" spans="1:18" s="121" customFormat="1" ht="18" customHeight="1" x14ac:dyDescent="0.15">
      <c r="A371" s="218" t="s">
        <v>0</v>
      </c>
      <c r="B371" s="830" t="s">
        <v>1063</v>
      </c>
      <c r="C371" s="831"/>
      <c r="D371" s="831"/>
      <c r="E371" s="831"/>
      <c r="F371" s="831"/>
      <c r="G371" s="831"/>
      <c r="H371" s="831"/>
      <c r="I371" s="831"/>
      <c r="J371" s="831"/>
      <c r="K371" s="831"/>
      <c r="L371" s="831"/>
      <c r="M371" s="831"/>
      <c r="N371" s="831"/>
      <c r="O371" s="216" t="s">
        <v>73</v>
      </c>
      <c r="P371" s="795" t="s">
        <v>319</v>
      </c>
      <c r="Q371" s="796"/>
    </row>
    <row r="372" spans="1:18" x14ac:dyDescent="0.15">
      <c r="A372" s="790"/>
      <c r="B372" s="791"/>
      <c r="C372" s="791"/>
      <c r="D372" s="791"/>
      <c r="E372" s="791"/>
      <c r="F372" s="791"/>
      <c r="G372" s="791"/>
      <c r="H372" s="791"/>
      <c r="I372" s="791"/>
      <c r="J372" s="791"/>
      <c r="K372" s="791"/>
      <c r="L372" s="791"/>
      <c r="M372" s="791"/>
      <c r="N372" s="791"/>
      <c r="O372" s="791"/>
      <c r="P372" s="791"/>
      <c r="Q372" s="792"/>
    </row>
    <row r="373" spans="1:18" s="126" customFormat="1" x14ac:dyDescent="0.15">
      <c r="A373" s="822" t="s">
        <v>150</v>
      </c>
      <c r="B373" s="823" t="s">
        <v>151</v>
      </c>
      <c r="C373" s="823"/>
      <c r="D373" s="802"/>
      <c r="E373" s="823" t="s">
        <v>152</v>
      </c>
      <c r="F373" s="823"/>
      <c r="G373" s="823"/>
      <c r="H373" s="802" t="s">
        <v>153</v>
      </c>
      <c r="I373" s="802" t="s">
        <v>479</v>
      </c>
      <c r="J373" s="804" t="s">
        <v>73</v>
      </c>
      <c r="K373" s="216" t="s">
        <v>154</v>
      </c>
      <c r="L373" s="123"/>
      <c r="M373" s="124"/>
      <c r="N373" s="124"/>
      <c r="O373" s="124"/>
      <c r="P373" s="124"/>
      <c r="Q373" s="125"/>
    </row>
    <row r="374" spans="1:18" s="130" customFormat="1" x14ac:dyDescent="0.15">
      <c r="A374" s="822"/>
      <c r="B374" s="823"/>
      <c r="C374" s="823"/>
      <c r="D374" s="803"/>
      <c r="E374" s="217" t="s">
        <v>155</v>
      </c>
      <c r="F374" s="217" t="s">
        <v>156</v>
      </c>
      <c r="G374" s="217" t="s">
        <v>157</v>
      </c>
      <c r="H374" s="803"/>
      <c r="I374" s="803"/>
      <c r="J374" s="805"/>
      <c r="K374" s="216" t="s">
        <v>158</v>
      </c>
      <c r="L374" s="127"/>
      <c r="M374" s="128"/>
      <c r="N374" s="128"/>
      <c r="O374" s="128"/>
      <c r="P374" s="128"/>
      <c r="Q374" s="129"/>
    </row>
    <row r="375" spans="1:18" ht="26.25" customHeight="1" x14ac:dyDescent="0.15">
      <c r="A375" s="148"/>
      <c r="B375" s="788" t="s">
        <v>1064</v>
      </c>
      <c r="C375" s="789"/>
      <c r="D375" s="143"/>
      <c r="E375" s="143">
        <v>0</v>
      </c>
      <c r="F375" s="143">
        <v>0</v>
      </c>
      <c r="G375" s="143">
        <v>0</v>
      </c>
      <c r="H375" s="143">
        <v>4</v>
      </c>
      <c r="I375" s="143">
        <v>2</v>
      </c>
      <c r="J375" s="133" t="s">
        <v>319</v>
      </c>
      <c r="K375" s="143">
        <f>I375*H375</f>
        <v>8</v>
      </c>
      <c r="L375" s="127"/>
      <c r="M375" s="128"/>
      <c r="N375" s="128"/>
      <c r="O375" s="128"/>
      <c r="P375" s="128"/>
      <c r="Q375" s="129"/>
    </row>
    <row r="376" spans="1:18" ht="14" x14ac:dyDescent="0.15">
      <c r="A376" s="795" t="s">
        <v>149</v>
      </c>
      <c r="B376" s="817"/>
      <c r="C376" s="817"/>
      <c r="D376" s="817"/>
      <c r="E376" s="817"/>
      <c r="F376" s="817"/>
      <c r="G376" s="817"/>
      <c r="H376" s="817"/>
      <c r="I376" s="817"/>
      <c r="J376" s="796"/>
      <c r="K376" s="416">
        <f>SUM(K375:K375)</f>
        <v>8</v>
      </c>
      <c r="L376" s="134"/>
      <c r="M376" s="135"/>
      <c r="N376" s="135"/>
      <c r="O376" s="135"/>
      <c r="P376" s="135"/>
      <c r="Q376" s="136"/>
    </row>
    <row r="377" spans="1:18" x14ac:dyDescent="0.15">
      <c r="A377" s="790"/>
      <c r="B377" s="791"/>
      <c r="C377" s="791"/>
      <c r="D377" s="791"/>
      <c r="E377" s="791"/>
      <c r="F377" s="791"/>
      <c r="G377" s="791"/>
      <c r="H377" s="791"/>
      <c r="I377" s="791"/>
      <c r="J377" s="791"/>
      <c r="K377" s="791"/>
      <c r="L377" s="791"/>
      <c r="M377" s="791"/>
      <c r="N377" s="791"/>
      <c r="O377" s="791"/>
      <c r="P377" s="791"/>
      <c r="Q377" s="792"/>
    </row>
    <row r="378" spans="1:18" s="121" customFormat="1" ht="18" customHeight="1" x14ac:dyDescent="0.15">
      <c r="A378" s="218" t="s">
        <v>0</v>
      </c>
      <c r="B378" s="841" t="s">
        <v>1066</v>
      </c>
      <c r="C378" s="842"/>
      <c r="D378" s="842"/>
      <c r="E378" s="842"/>
      <c r="F378" s="842"/>
      <c r="G378" s="842"/>
      <c r="H378" s="842"/>
      <c r="I378" s="842"/>
      <c r="J378" s="842"/>
      <c r="K378" s="842"/>
      <c r="L378" s="842"/>
      <c r="M378" s="842"/>
      <c r="N378" s="842"/>
      <c r="O378" s="216" t="s">
        <v>73</v>
      </c>
      <c r="P378" s="795" t="s">
        <v>19</v>
      </c>
      <c r="Q378" s="796"/>
    </row>
    <row r="379" spans="1:18" x14ac:dyDescent="0.15">
      <c r="A379" s="790"/>
      <c r="B379" s="791"/>
      <c r="C379" s="791"/>
      <c r="D379" s="791"/>
      <c r="E379" s="791"/>
      <c r="F379" s="791"/>
      <c r="G379" s="791"/>
      <c r="H379" s="791"/>
      <c r="I379" s="791"/>
      <c r="J379" s="791"/>
      <c r="K379" s="791"/>
      <c r="L379" s="791"/>
      <c r="M379" s="791"/>
      <c r="N379" s="791"/>
      <c r="O379" s="791"/>
      <c r="P379" s="791"/>
      <c r="Q379" s="792"/>
    </row>
    <row r="380" spans="1:18" s="126" customFormat="1" x14ac:dyDescent="0.15">
      <c r="A380" s="822" t="s">
        <v>150</v>
      </c>
      <c r="B380" s="823" t="s">
        <v>151</v>
      </c>
      <c r="C380" s="823"/>
      <c r="D380" s="802" t="s">
        <v>165</v>
      </c>
      <c r="E380" s="823" t="s">
        <v>152</v>
      </c>
      <c r="F380" s="823"/>
      <c r="G380" s="823"/>
      <c r="H380" s="802" t="s">
        <v>153</v>
      </c>
      <c r="I380" s="802" t="s">
        <v>479</v>
      </c>
      <c r="J380" s="804" t="s">
        <v>73</v>
      </c>
      <c r="K380" s="216" t="s">
        <v>154</v>
      </c>
      <c r="L380" s="123"/>
      <c r="M380" s="124"/>
      <c r="N380" s="124"/>
      <c r="O380" s="124"/>
      <c r="P380" s="124"/>
      <c r="Q380" s="125"/>
    </row>
    <row r="381" spans="1:18" s="130" customFormat="1" x14ac:dyDescent="0.15">
      <c r="A381" s="822"/>
      <c r="B381" s="823"/>
      <c r="C381" s="823"/>
      <c r="D381" s="803"/>
      <c r="E381" s="217" t="s">
        <v>155</v>
      </c>
      <c r="F381" s="217" t="s">
        <v>156</v>
      </c>
      <c r="G381" s="217" t="s">
        <v>157</v>
      </c>
      <c r="H381" s="803"/>
      <c r="I381" s="803"/>
      <c r="J381" s="805"/>
      <c r="K381" s="216" t="s">
        <v>158</v>
      </c>
      <c r="L381" s="127"/>
      <c r="M381" s="128"/>
      <c r="N381" s="128"/>
      <c r="O381" s="128"/>
      <c r="P381" s="128"/>
      <c r="Q381" s="129"/>
    </row>
    <row r="382" spans="1:18" ht="27.75" customHeight="1" x14ac:dyDescent="0.15">
      <c r="A382" s="148"/>
      <c r="B382" s="788" t="s">
        <v>1477</v>
      </c>
      <c r="C382" s="789"/>
      <c r="D382" s="143" t="s">
        <v>19</v>
      </c>
      <c r="E382" s="143">
        <v>0</v>
      </c>
      <c r="F382" s="143">
        <v>0</v>
      </c>
      <c r="G382" s="143">
        <v>0</v>
      </c>
      <c r="H382" s="143">
        <v>1</v>
      </c>
      <c r="I382" s="143">
        <v>1</v>
      </c>
      <c r="J382" s="133" t="s">
        <v>19</v>
      </c>
      <c r="K382" s="143">
        <f>I382*H382</f>
        <v>1</v>
      </c>
      <c r="L382" s="127"/>
      <c r="M382" s="128"/>
      <c r="N382" s="128"/>
      <c r="O382" s="128"/>
      <c r="P382" s="128"/>
      <c r="Q382" s="129"/>
    </row>
    <row r="383" spans="1:18" ht="14" x14ac:dyDescent="0.15">
      <c r="A383" s="795" t="s">
        <v>149</v>
      </c>
      <c r="B383" s="817"/>
      <c r="C383" s="817"/>
      <c r="D383" s="817"/>
      <c r="E383" s="817"/>
      <c r="F383" s="817"/>
      <c r="G383" s="817"/>
      <c r="H383" s="817"/>
      <c r="I383" s="817"/>
      <c r="J383" s="796"/>
      <c r="K383" s="416">
        <f>SUM(K382:K382)</f>
        <v>1</v>
      </c>
      <c r="L383" s="134"/>
      <c r="M383" s="135"/>
      <c r="N383" s="135"/>
      <c r="O383" s="135"/>
      <c r="P383" s="135"/>
      <c r="Q383" s="136"/>
    </row>
    <row r="384" spans="1:18" s="140" customFormat="1" x14ac:dyDescent="0.15">
      <c r="A384" s="855"/>
      <c r="B384" s="855"/>
      <c r="C384" s="855"/>
      <c r="D384" s="855"/>
      <c r="E384" s="855"/>
      <c r="F384" s="855"/>
      <c r="G384" s="855"/>
      <c r="H384" s="855"/>
      <c r="I384" s="855"/>
      <c r="J384" s="855"/>
      <c r="K384" s="855"/>
      <c r="L384" s="855"/>
      <c r="M384" s="855"/>
      <c r="N384" s="855"/>
      <c r="O384" s="855"/>
      <c r="P384" s="855"/>
      <c r="Q384" s="855"/>
      <c r="R384" s="120"/>
    </row>
    <row r="385" spans="1:18" s="140" customFormat="1" x14ac:dyDescent="0.15">
      <c r="A385" s="178"/>
      <c r="B385" s="178"/>
      <c r="C385" s="137"/>
      <c r="D385" s="137"/>
      <c r="E385" s="138"/>
      <c r="F385" s="139"/>
      <c r="J385" s="141"/>
      <c r="K385" s="138"/>
      <c r="L385" s="142"/>
      <c r="M385" s="142"/>
      <c r="N385" s="142"/>
      <c r="O385" s="142"/>
      <c r="P385" s="138"/>
      <c r="Q385" s="120"/>
      <c r="R385" s="120"/>
    </row>
    <row r="386" spans="1:18" x14ac:dyDescent="0.15">
      <c r="I386" s="120"/>
      <c r="J386" s="120"/>
    </row>
    <row r="387" spans="1:18" x14ac:dyDescent="0.15">
      <c r="I387" s="120"/>
      <c r="J387" s="120"/>
    </row>
    <row r="388" spans="1:18" x14ac:dyDescent="0.15">
      <c r="I388" s="120"/>
      <c r="J388" s="120"/>
    </row>
    <row r="389" spans="1:18" ht="14" x14ac:dyDescent="0.15">
      <c r="B389" s="102"/>
      <c r="I389" s="120"/>
      <c r="J389" s="120"/>
    </row>
    <row r="390" spans="1:18" ht="14" x14ac:dyDescent="0.15">
      <c r="B390" s="83"/>
      <c r="I390" s="120"/>
      <c r="J390" s="120"/>
    </row>
    <row r="391" spans="1:18" ht="18" x14ac:dyDescent="0.2">
      <c r="C391" s="150"/>
      <c r="D391" s="151"/>
      <c r="E391" s="150"/>
      <c r="I391" s="120"/>
      <c r="J391" s="120"/>
    </row>
    <row r="392" spans="1:18" ht="18" x14ac:dyDescent="0.2">
      <c r="C392" s="152"/>
      <c r="D392" s="153"/>
      <c r="E392" s="152"/>
      <c r="I392" s="120"/>
      <c r="J392" s="120"/>
    </row>
    <row r="393" spans="1:18" ht="18" x14ac:dyDescent="0.2">
      <c r="B393" s="83"/>
      <c r="C393" s="154"/>
      <c r="D393" s="154"/>
      <c r="E393" s="154"/>
      <c r="I393" s="120"/>
      <c r="J393" s="120"/>
    </row>
    <row r="394" spans="1:18" x14ac:dyDescent="0.15">
      <c r="I394" s="120"/>
      <c r="J394" s="120"/>
    </row>
    <row r="395" spans="1:18" x14ac:dyDescent="0.15">
      <c r="I395" s="120"/>
      <c r="J395" s="120"/>
    </row>
    <row r="396" spans="1:18" x14ac:dyDescent="0.15">
      <c r="I396" s="120"/>
      <c r="J396" s="120"/>
    </row>
    <row r="397" spans="1:18" x14ac:dyDescent="0.15">
      <c r="I397" s="120"/>
      <c r="J397" s="120"/>
    </row>
    <row r="398" spans="1:18" x14ac:dyDescent="0.15">
      <c r="I398" s="120"/>
      <c r="J398" s="120"/>
    </row>
    <row r="399" spans="1:18" x14ac:dyDescent="0.15">
      <c r="I399" s="120"/>
      <c r="J399" s="120"/>
    </row>
    <row r="400" spans="1:18" x14ac:dyDescent="0.15">
      <c r="I400" s="120"/>
      <c r="J400" s="120"/>
    </row>
    <row r="401" s="120" customFormat="1" x14ac:dyDescent="0.15"/>
    <row r="402" s="120" customFormat="1" x14ac:dyDescent="0.15"/>
    <row r="403" s="120" customFormat="1" x14ac:dyDescent="0.15"/>
    <row r="404" s="120" customFormat="1" x14ac:dyDescent="0.15"/>
    <row r="405" s="120" customFormat="1" x14ac:dyDescent="0.15"/>
    <row r="406" s="120" customFormat="1" x14ac:dyDescent="0.15"/>
    <row r="407" s="120" customFormat="1" x14ac:dyDescent="0.15"/>
    <row r="408" s="120" customFormat="1" x14ac:dyDescent="0.15"/>
    <row r="409" s="120" customFormat="1" x14ac:dyDescent="0.15"/>
    <row r="410" s="120" customFormat="1" x14ac:dyDescent="0.15"/>
    <row r="411" s="120" customFormat="1" x14ac:dyDescent="0.15"/>
    <row r="412" s="120" customFormat="1" x14ac:dyDescent="0.15"/>
    <row r="413" s="120" customFormat="1" x14ac:dyDescent="0.15"/>
    <row r="414" s="120" customFormat="1" x14ac:dyDescent="0.15"/>
    <row r="415" s="120" customFormat="1" x14ac:dyDescent="0.15"/>
    <row r="416" s="120" customFormat="1" x14ac:dyDescent="0.15"/>
    <row r="417" s="120" customFormat="1" x14ac:dyDescent="0.15"/>
    <row r="418" s="120" customFormat="1" x14ac:dyDescent="0.15"/>
    <row r="419" s="120" customFormat="1" x14ac:dyDescent="0.15"/>
    <row r="420" s="120" customFormat="1" x14ac:dyDescent="0.15"/>
    <row r="421" s="120" customFormat="1" x14ac:dyDescent="0.15"/>
    <row r="422" s="120" customFormat="1" x14ac:dyDescent="0.15"/>
    <row r="423" s="120" customFormat="1" x14ac:dyDescent="0.15"/>
    <row r="424" s="120" customFormat="1" x14ac:dyDescent="0.15"/>
    <row r="425" s="120" customFormat="1" x14ac:dyDescent="0.15"/>
    <row r="426" s="120" customFormat="1" x14ac:dyDescent="0.15"/>
    <row r="427" s="120" customFormat="1" x14ac:dyDescent="0.15"/>
    <row r="428" s="120" customFormat="1" x14ac:dyDescent="0.15"/>
    <row r="429" s="120" customFormat="1" x14ac:dyDescent="0.15"/>
    <row r="430" s="120" customFormat="1" x14ac:dyDescent="0.15"/>
    <row r="431" s="120" customFormat="1" x14ac:dyDescent="0.15"/>
    <row r="432" s="120" customFormat="1" x14ac:dyDescent="0.15"/>
    <row r="433" s="120" customFormat="1" x14ac:dyDescent="0.15"/>
    <row r="434" s="120" customFormat="1" x14ac:dyDescent="0.15"/>
    <row r="435" s="120" customFormat="1" x14ac:dyDescent="0.15"/>
    <row r="436" s="120" customFormat="1" x14ac:dyDescent="0.15"/>
    <row r="437" s="120" customFormat="1" x14ac:dyDescent="0.15"/>
    <row r="438" s="120" customFormat="1" x14ac:dyDescent="0.15"/>
    <row r="439" s="120" customFormat="1" x14ac:dyDescent="0.15"/>
    <row r="440" s="120" customFormat="1" x14ac:dyDescent="0.15"/>
    <row r="441" s="120" customFormat="1" x14ac:dyDescent="0.15"/>
    <row r="442" s="120" customFormat="1" x14ac:dyDescent="0.15"/>
    <row r="443" s="120" customFormat="1" x14ac:dyDescent="0.15"/>
    <row r="444" s="120" customFormat="1" x14ac:dyDescent="0.15"/>
    <row r="445" s="120" customFormat="1" x14ac:dyDescent="0.15"/>
    <row r="446" s="120" customFormat="1" x14ac:dyDescent="0.15"/>
    <row r="447" s="120" customFormat="1" x14ac:dyDescent="0.15"/>
    <row r="448" s="120" customFormat="1" x14ac:dyDescent="0.15"/>
    <row r="449" s="120" customFormat="1" x14ac:dyDescent="0.15"/>
    <row r="450" s="120" customFormat="1" x14ac:dyDescent="0.15"/>
    <row r="451" s="120" customFormat="1" x14ac:dyDescent="0.15"/>
    <row r="452" s="120" customFormat="1" x14ac:dyDescent="0.15"/>
    <row r="453" s="120" customFormat="1" x14ac:dyDescent="0.15"/>
    <row r="454" s="120" customFormat="1" x14ac:dyDescent="0.15"/>
    <row r="455" s="120" customFormat="1" x14ac:dyDescent="0.15"/>
    <row r="456" s="120" customFormat="1" x14ac:dyDescent="0.15"/>
    <row r="457" s="120" customFormat="1" x14ac:dyDescent="0.15"/>
    <row r="458" s="120" customFormat="1" x14ac:dyDescent="0.15"/>
    <row r="459" s="120" customFormat="1" x14ac:dyDescent="0.15"/>
    <row r="460" s="120" customFormat="1" x14ac:dyDescent="0.15"/>
    <row r="461" s="120" customFormat="1" x14ac:dyDescent="0.15"/>
    <row r="462" s="120" customFormat="1" x14ac:dyDescent="0.15"/>
    <row r="463" s="120" customFormat="1" x14ac:dyDescent="0.15"/>
    <row r="464" s="120" customFormat="1" x14ac:dyDescent="0.15"/>
    <row r="465" s="120" customFormat="1" x14ac:dyDescent="0.15"/>
    <row r="466" s="120" customFormat="1" x14ac:dyDescent="0.15"/>
    <row r="467" s="120" customFormat="1" x14ac:dyDescent="0.15"/>
    <row r="468" s="120" customFormat="1" x14ac:dyDescent="0.15"/>
    <row r="469" s="120" customFormat="1" x14ac:dyDescent="0.15"/>
    <row r="470" s="120" customFormat="1" x14ac:dyDescent="0.15"/>
    <row r="471" s="120" customFormat="1" x14ac:dyDescent="0.15"/>
    <row r="472" s="120" customFormat="1" x14ac:dyDescent="0.15"/>
    <row r="473" s="120" customFormat="1" x14ac:dyDescent="0.15"/>
    <row r="474" s="120" customFormat="1" x14ac:dyDescent="0.15"/>
    <row r="475" s="120" customFormat="1" x14ac:dyDescent="0.15"/>
    <row r="476" s="120" customFormat="1" x14ac:dyDescent="0.15"/>
    <row r="477" s="120" customFormat="1" x14ac:dyDescent="0.15"/>
    <row r="478" s="120" customFormat="1" x14ac:dyDescent="0.15"/>
    <row r="479" s="120" customFormat="1" x14ac:dyDescent="0.15"/>
    <row r="480" s="120" customFormat="1" x14ac:dyDescent="0.15"/>
    <row r="481" s="120" customFormat="1" x14ac:dyDescent="0.15"/>
    <row r="482" s="120" customFormat="1" x14ac:dyDescent="0.15"/>
    <row r="483" s="120" customFormat="1" x14ac:dyDescent="0.15"/>
    <row r="484" s="120" customFormat="1" x14ac:dyDescent="0.15"/>
    <row r="485" s="120" customFormat="1" x14ac:dyDescent="0.15"/>
    <row r="486" s="120" customFormat="1" x14ac:dyDescent="0.15"/>
    <row r="487" s="120" customFormat="1" x14ac:dyDescent="0.15"/>
    <row r="488" s="120" customFormat="1" x14ac:dyDescent="0.15"/>
    <row r="489" s="120" customFormat="1" x14ac:dyDescent="0.15"/>
    <row r="490" s="120" customFormat="1" x14ac:dyDescent="0.15"/>
    <row r="491" s="120" customFormat="1" x14ac:dyDescent="0.15"/>
    <row r="492" s="120" customFormat="1" x14ac:dyDescent="0.15"/>
    <row r="493" s="120" customFormat="1" x14ac:dyDescent="0.15"/>
    <row r="494" s="120" customFormat="1" x14ac:dyDescent="0.15"/>
    <row r="495" s="120" customFormat="1" x14ac:dyDescent="0.15"/>
    <row r="496" s="120" customFormat="1" x14ac:dyDescent="0.15"/>
    <row r="497" s="120" customFormat="1" x14ac:dyDescent="0.15"/>
    <row r="498" s="120" customFormat="1" x14ac:dyDescent="0.15"/>
    <row r="499" s="120" customFormat="1" x14ac:dyDescent="0.15"/>
    <row r="500" s="120" customFormat="1" x14ac:dyDescent="0.15"/>
    <row r="501" s="120" customFormat="1" x14ac:dyDescent="0.15"/>
    <row r="502" s="120" customFormat="1" x14ac:dyDescent="0.15"/>
    <row r="503" s="120" customFormat="1" x14ac:dyDescent="0.15"/>
    <row r="504" s="120" customFormat="1" x14ac:dyDescent="0.15"/>
    <row r="505" s="120" customFormat="1" x14ac:dyDescent="0.15"/>
    <row r="506" s="120" customFormat="1" x14ac:dyDescent="0.15"/>
    <row r="507" s="120" customFormat="1" x14ac:dyDescent="0.15"/>
    <row r="508" s="120" customFormat="1" x14ac:dyDescent="0.15"/>
    <row r="509" s="120" customFormat="1" x14ac:dyDescent="0.15"/>
    <row r="510" s="120" customFormat="1" x14ac:dyDescent="0.15"/>
    <row r="511" s="120" customFormat="1" x14ac:dyDescent="0.15"/>
    <row r="512" s="120" customFormat="1" x14ac:dyDescent="0.15"/>
    <row r="513" s="120" customFormat="1" x14ac:dyDescent="0.15"/>
    <row r="514" s="120" customFormat="1" x14ac:dyDescent="0.15"/>
    <row r="515" s="120" customFormat="1" x14ac:dyDescent="0.15"/>
    <row r="516" s="120" customFormat="1" x14ac:dyDescent="0.15"/>
    <row r="517" s="120" customFormat="1" x14ac:dyDescent="0.15"/>
    <row r="518" s="120" customFormat="1" x14ac:dyDescent="0.15"/>
    <row r="519" s="120" customFormat="1" x14ac:dyDescent="0.15"/>
    <row r="520" s="120" customFormat="1" x14ac:dyDescent="0.15"/>
    <row r="521" s="120" customFormat="1" x14ac:dyDescent="0.15"/>
    <row r="522" s="120" customFormat="1" x14ac:dyDescent="0.15"/>
    <row r="523" s="120" customFormat="1" x14ac:dyDescent="0.15"/>
    <row r="524" s="120" customFormat="1" x14ac:dyDescent="0.15"/>
    <row r="525" s="120" customFormat="1" x14ac:dyDescent="0.15"/>
    <row r="526" s="120" customFormat="1" x14ac:dyDescent="0.15"/>
    <row r="527" s="120" customFormat="1" x14ac:dyDescent="0.15"/>
    <row r="528" s="120" customFormat="1" x14ac:dyDescent="0.15"/>
    <row r="529" s="120" customFormat="1" x14ac:dyDescent="0.15"/>
    <row r="530" s="120" customFormat="1" x14ac:dyDescent="0.15"/>
    <row r="531" s="120" customFormat="1" x14ac:dyDescent="0.15"/>
    <row r="532" s="120" customFormat="1" x14ac:dyDescent="0.15"/>
    <row r="533" s="120" customFormat="1" x14ac:dyDescent="0.15"/>
    <row r="534" s="120" customFormat="1" x14ac:dyDescent="0.15"/>
    <row r="535" s="120" customFormat="1" x14ac:dyDescent="0.15"/>
    <row r="536" s="120" customFormat="1" x14ac:dyDescent="0.15"/>
    <row r="537" s="120" customFormat="1" x14ac:dyDescent="0.15"/>
    <row r="538" s="120" customFormat="1" x14ac:dyDescent="0.15"/>
    <row r="539" s="120" customFormat="1" x14ac:dyDescent="0.15"/>
    <row r="540" s="120" customFormat="1" x14ac:dyDescent="0.15"/>
    <row r="541" s="120" customFormat="1" x14ac:dyDescent="0.15"/>
    <row r="542" s="120" customFormat="1" x14ac:dyDescent="0.15"/>
    <row r="543" s="120" customFormat="1" x14ac:dyDescent="0.15"/>
    <row r="544" s="120" customFormat="1" x14ac:dyDescent="0.15"/>
    <row r="545" s="120" customFormat="1" x14ac:dyDescent="0.15"/>
    <row r="546" s="120" customFormat="1" x14ac:dyDescent="0.15"/>
    <row r="547" s="120" customFormat="1" x14ac:dyDescent="0.15"/>
    <row r="548" s="120" customFormat="1" x14ac:dyDescent="0.15"/>
    <row r="549" s="120" customFormat="1" x14ac:dyDescent="0.15"/>
    <row r="550" s="120" customFormat="1" x14ac:dyDescent="0.15"/>
    <row r="551" s="120" customFormat="1" x14ac:dyDescent="0.15"/>
    <row r="552" s="120" customFormat="1" x14ac:dyDescent="0.15"/>
    <row r="553" s="120" customFormat="1" x14ac:dyDescent="0.15"/>
    <row r="554" s="120" customFormat="1" x14ac:dyDescent="0.15"/>
    <row r="555" s="120" customFormat="1" x14ac:dyDescent="0.15"/>
    <row r="556" s="120" customFormat="1" x14ac:dyDescent="0.15"/>
    <row r="557" s="120" customFormat="1" x14ac:dyDescent="0.15"/>
    <row r="558" s="120" customFormat="1" x14ac:dyDescent="0.15"/>
    <row r="559" s="120" customFormat="1" x14ac:dyDescent="0.15"/>
    <row r="560" s="120" customFormat="1" x14ac:dyDescent="0.15"/>
    <row r="561" s="120" customFormat="1" x14ac:dyDescent="0.15"/>
    <row r="562" s="120" customFormat="1" x14ac:dyDescent="0.15"/>
    <row r="563" s="120" customFormat="1" x14ac:dyDescent="0.15"/>
    <row r="564" s="120" customFormat="1" x14ac:dyDescent="0.15"/>
    <row r="565" s="120" customFormat="1" x14ac:dyDescent="0.15"/>
    <row r="566" s="120" customFormat="1" x14ac:dyDescent="0.15"/>
    <row r="567" s="120" customFormat="1" x14ac:dyDescent="0.15"/>
    <row r="568" s="120" customFormat="1" x14ac:dyDescent="0.15"/>
    <row r="569" s="120" customFormat="1" x14ac:dyDescent="0.15"/>
    <row r="570" s="120" customFormat="1" x14ac:dyDescent="0.15"/>
    <row r="571" s="120" customFormat="1" x14ac:dyDescent="0.15"/>
    <row r="572" s="120" customFormat="1" x14ac:dyDescent="0.15"/>
    <row r="573" s="120" customFormat="1" x14ac:dyDescent="0.15"/>
    <row r="574" s="120" customFormat="1" x14ac:dyDescent="0.15"/>
    <row r="575" s="120" customFormat="1" x14ac:dyDescent="0.15"/>
    <row r="576" s="120" customFormat="1" x14ac:dyDescent="0.15"/>
    <row r="577" s="120" customFormat="1" x14ac:dyDescent="0.15"/>
    <row r="578" s="120" customFormat="1" x14ac:dyDescent="0.15"/>
    <row r="579" s="120" customFormat="1" x14ac:dyDescent="0.15"/>
    <row r="580" s="120" customFormat="1" x14ac:dyDescent="0.15"/>
    <row r="581" s="120" customFormat="1" x14ac:dyDescent="0.15"/>
    <row r="582" s="120" customFormat="1" x14ac:dyDescent="0.15"/>
    <row r="583" s="120" customFormat="1" x14ac:dyDescent="0.15"/>
    <row r="584" s="120" customFormat="1" x14ac:dyDescent="0.15"/>
    <row r="585" s="120" customFormat="1" x14ac:dyDescent="0.15"/>
    <row r="586" s="120" customFormat="1" x14ac:dyDescent="0.15"/>
    <row r="587" s="120" customFormat="1" x14ac:dyDescent="0.15"/>
    <row r="588" s="120" customFormat="1" x14ac:dyDescent="0.15"/>
    <row r="589" s="120" customFormat="1" x14ac:dyDescent="0.15"/>
    <row r="590" s="120" customFormat="1" x14ac:dyDescent="0.15"/>
    <row r="591" s="120" customFormat="1" x14ac:dyDescent="0.15"/>
    <row r="592" s="120" customFormat="1" x14ac:dyDescent="0.15"/>
    <row r="593" s="120" customFormat="1" x14ac:dyDescent="0.15"/>
    <row r="594" s="120" customFormat="1" x14ac:dyDescent="0.15"/>
    <row r="595" s="120" customFormat="1" x14ac:dyDescent="0.15"/>
    <row r="596" s="120" customFormat="1" x14ac:dyDescent="0.15"/>
    <row r="597" s="120" customFormat="1" x14ac:dyDescent="0.15"/>
    <row r="598" s="120" customFormat="1" x14ac:dyDescent="0.15"/>
    <row r="599" s="120" customFormat="1" x14ac:dyDescent="0.15"/>
    <row r="600" s="120" customFormat="1" x14ac:dyDescent="0.15"/>
    <row r="601" s="120" customFormat="1" x14ac:dyDescent="0.15"/>
    <row r="602" s="120" customFormat="1" x14ac:dyDescent="0.15"/>
    <row r="603" s="120" customFormat="1" x14ac:dyDescent="0.15"/>
    <row r="604" s="120" customFormat="1" x14ac:dyDescent="0.15"/>
    <row r="605" s="120" customFormat="1" x14ac:dyDescent="0.15"/>
    <row r="606" s="120" customFormat="1" x14ac:dyDescent="0.15"/>
    <row r="607" s="120" customFormat="1" x14ac:dyDescent="0.15"/>
    <row r="608" s="120" customFormat="1" x14ac:dyDescent="0.15"/>
    <row r="609" s="120" customFormat="1" x14ac:dyDescent="0.15"/>
    <row r="610" s="120" customFormat="1" x14ac:dyDescent="0.15"/>
    <row r="611" s="120" customFormat="1" x14ac:dyDescent="0.15"/>
    <row r="612" s="120" customFormat="1" x14ac:dyDescent="0.15"/>
    <row r="613" s="120" customFormat="1" x14ac:dyDescent="0.15"/>
    <row r="614" s="120" customFormat="1" x14ac:dyDescent="0.15"/>
    <row r="615" s="120" customFormat="1" x14ac:dyDescent="0.15"/>
    <row r="616" s="120" customFormat="1" x14ac:dyDescent="0.15"/>
    <row r="617" s="120" customFormat="1" x14ac:dyDescent="0.15"/>
    <row r="618" s="120" customFormat="1" x14ac:dyDescent="0.15"/>
    <row r="619" s="120" customFormat="1" x14ac:dyDescent="0.15"/>
    <row r="620" s="120" customFormat="1" x14ac:dyDescent="0.15"/>
    <row r="621" s="120" customFormat="1" x14ac:dyDescent="0.15"/>
    <row r="622" s="120" customFormat="1" x14ac:dyDescent="0.15"/>
    <row r="623" s="120" customFormat="1" x14ac:dyDescent="0.15"/>
    <row r="624" s="120" customFormat="1" x14ac:dyDescent="0.15"/>
    <row r="625" s="120" customFormat="1" x14ac:dyDescent="0.15"/>
    <row r="626" s="120" customFormat="1" x14ac:dyDescent="0.15"/>
    <row r="627" s="120" customFormat="1" x14ac:dyDescent="0.15"/>
    <row r="628" s="120" customFormat="1" x14ac:dyDescent="0.15"/>
    <row r="629" s="120" customFormat="1" x14ac:dyDescent="0.15"/>
    <row r="630" s="120" customFormat="1" x14ac:dyDescent="0.15"/>
    <row r="631" s="120" customFormat="1" x14ac:dyDescent="0.15"/>
    <row r="632" s="120" customFormat="1" x14ac:dyDescent="0.15"/>
    <row r="633" s="120" customFormat="1" x14ac:dyDescent="0.15"/>
    <row r="634" s="120" customFormat="1" x14ac:dyDescent="0.15"/>
    <row r="635" s="120" customFormat="1" x14ac:dyDescent="0.15"/>
    <row r="636" s="120" customFormat="1" x14ac:dyDescent="0.15"/>
    <row r="637" s="120" customFormat="1" x14ac:dyDescent="0.15"/>
    <row r="638" s="120" customFormat="1" x14ac:dyDescent="0.15"/>
    <row r="639" s="120" customFormat="1" x14ac:dyDescent="0.15"/>
    <row r="640" s="120" customFormat="1" x14ac:dyDescent="0.15"/>
    <row r="641" s="120" customFormat="1" x14ac:dyDescent="0.15"/>
    <row r="642" s="120" customFormat="1" x14ac:dyDescent="0.15"/>
    <row r="643" s="120" customFormat="1" x14ac:dyDescent="0.15"/>
    <row r="644" s="120" customFormat="1" x14ac:dyDescent="0.15"/>
    <row r="645" s="120" customFormat="1" x14ac:dyDescent="0.15"/>
    <row r="646" s="120" customFormat="1" x14ac:dyDescent="0.15"/>
    <row r="647" s="120" customFormat="1" x14ac:dyDescent="0.15"/>
    <row r="648" s="120" customFormat="1" x14ac:dyDescent="0.15"/>
    <row r="649" s="120" customFormat="1" x14ac:dyDescent="0.15"/>
    <row r="650" s="120" customFormat="1" x14ac:dyDescent="0.15"/>
    <row r="651" s="120" customFormat="1" x14ac:dyDescent="0.15"/>
    <row r="652" s="120" customFormat="1" x14ac:dyDescent="0.15"/>
    <row r="653" s="120" customFormat="1" x14ac:dyDescent="0.15"/>
    <row r="654" s="120" customFormat="1" x14ac:dyDescent="0.15"/>
    <row r="655" s="120" customFormat="1" x14ac:dyDescent="0.15"/>
    <row r="656" s="120" customFormat="1" x14ac:dyDescent="0.15"/>
    <row r="657" s="120" customFormat="1" x14ac:dyDescent="0.15"/>
    <row r="658" s="120" customFormat="1" x14ac:dyDescent="0.15"/>
    <row r="659" s="120" customFormat="1" x14ac:dyDescent="0.15"/>
    <row r="660" s="120" customFormat="1" x14ac:dyDescent="0.15"/>
    <row r="661" s="120" customFormat="1" x14ac:dyDescent="0.15"/>
    <row r="662" s="120" customFormat="1" x14ac:dyDescent="0.15"/>
    <row r="663" s="120" customFormat="1" x14ac:dyDescent="0.15"/>
    <row r="664" s="120" customFormat="1" x14ac:dyDescent="0.15"/>
    <row r="665" s="120" customFormat="1" x14ac:dyDescent="0.15"/>
    <row r="666" s="120" customFormat="1" x14ac:dyDescent="0.15"/>
    <row r="667" s="120" customFormat="1" x14ac:dyDescent="0.15"/>
    <row r="668" s="120" customFormat="1" x14ac:dyDescent="0.15"/>
    <row r="669" s="120" customFormat="1" x14ac:dyDescent="0.15"/>
    <row r="670" s="120" customFormat="1" x14ac:dyDescent="0.15"/>
    <row r="671" s="120" customFormat="1" x14ac:dyDescent="0.15"/>
    <row r="672" s="120" customFormat="1" x14ac:dyDescent="0.15"/>
    <row r="673" s="120" customFormat="1" x14ac:dyDescent="0.15"/>
    <row r="674" s="120" customFormat="1" x14ac:dyDescent="0.15"/>
    <row r="675" s="120" customFormat="1" x14ac:dyDescent="0.15"/>
    <row r="676" s="120" customFormat="1" x14ac:dyDescent="0.15"/>
    <row r="677" s="120" customFormat="1" x14ac:dyDescent="0.15"/>
    <row r="678" s="120" customFormat="1" x14ac:dyDescent="0.15"/>
    <row r="679" s="120" customFormat="1" x14ac:dyDescent="0.15"/>
    <row r="680" s="120" customFormat="1" x14ac:dyDescent="0.15"/>
    <row r="681" s="120" customFormat="1" x14ac:dyDescent="0.15"/>
    <row r="682" s="120" customFormat="1" x14ac:dyDescent="0.15"/>
    <row r="683" s="120" customFormat="1" x14ac:dyDescent="0.15"/>
    <row r="684" s="120" customFormat="1" x14ac:dyDescent="0.15"/>
    <row r="685" s="120" customFormat="1" x14ac:dyDescent="0.15"/>
    <row r="686" s="120" customFormat="1" x14ac:dyDescent="0.15"/>
    <row r="687" s="120" customFormat="1" x14ac:dyDescent="0.15"/>
    <row r="688" s="120" customFormat="1" x14ac:dyDescent="0.15"/>
    <row r="689" s="120" customFormat="1" x14ac:dyDescent="0.15"/>
    <row r="690" s="120" customFormat="1" x14ac:dyDescent="0.15"/>
    <row r="691" s="120" customFormat="1" x14ac:dyDescent="0.15"/>
    <row r="692" s="120" customFormat="1" x14ac:dyDescent="0.15"/>
    <row r="693" s="120" customFormat="1" x14ac:dyDescent="0.15"/>
    <row r="694" s="120" customFormat="1" x14ac:dyDescent="0.15"/>
    <row r="695" s="120" customFormat="1" x14ac:dyDescent="0.15"/>
    <row r="696" s="120" customFormat="1" x14ac:dyDescent="0.15"/>
    <row r="697" s="120" customFormat="1" x14ac:dyDescent="0.15"/>
    <row r="698" s="120" customFormat="1" x14ac:dyDescent="0.15"/>
    <row r="699" s="120" customFormat="1" x14ac:dyDescent="0.15"/>
    <row r="700" s="120" customFormat="1" x14ac:dyDescent="0.15"/>
    <row r="701" s="120" customFormat="1" x14ac:dyDescent="0.15"/>
    <row r="702" s="120" customFormat="1" x14ac:dyDescent="0.15"/>
    <row r="703" s="120" customFormat="1" x14ac:dyDescent="0.15"/>
    <row r="704" s="120" customFormat="1" x14ac:dyDescent="0.15"/>
    <row r="705" s="120" customFormat="1" x14ac:dyDescent="0.15"/>
    <row r="706" s="120" customFormat="1" x14ac:dyDescent="0.15"/>
    <row r="707" s="120" customFormat="1" x14ac:dyDescent="0.15"/>
    <row r="708" s="120" customFormat="1" x14ac:dyDescent="0.15"/>
    <row r="709" s="120" customFormat="1" x14ac:dyDescent="0.15"/>
    <row r="710" s="120" customFormat="1" x14ac:dyDescent="0.15"/>
    <row r="711" s="120" customFormat="1" x14ac:dyDescent="0.15"/>
    <row r="712" s="120" customFormat="1" x14ac:dyDescent="0.15"/>
    <row r="713" s="120" customFormat="1" x14ac:dyDescent="0.15"/>
    <row r="714" s="120" customFormat="1" x14ac:dyDescent="0.15"/>
    <row r="715" s="120" customFormat="1" x14ac:dyDescent="0.15"/>
    <row r="716" s="120" customFormat="1" x14ac:dyDescent="0.15"/>
    <row r="717" s="120" customFormat="1" x14ac:dyDescent="0.15"/>
    <row r="718" s="120" customFormat="1" x14ac:dyDescent="0.15"/>
    <row r="719" s="120" customFormat="1" x14ac:dyDescent="0.15"/>
    <row r="720" s="120" customFormat="1" x14ac:dyDescent="0.15"/>
    <row r="721" s="120" customFormat="1" x14ac:dyDescent="0.15"/>
    <row r="722" s="120" customFormat="1" x14ac:dyDescent="0.15"/>
    <row r="723" s="120" customFormat="1" x14ac:dyDescent="0.15"/>
    <row r="724" s="120" customFormat="1" x14ac:dyDescent="0.15"/>
    <row r="725" s="120" customFormat="1" x14ac:dyDescent="0.15"/>
    <row r="726" s="120" customFormat="1" x14ac:dyDescent="0.15"/>
    <row r="727" s="120" customFormat="1" x14ac:dyDescent="0.15"/>
    <row r="728" s="120" customFormat="1" x14ac:dyDescent="0.15"/>
    <row r="729" s="120" customFormat="1" x14ac:dyDescent="0.15"/>
    <row r="730" s="120" customFormat="1" x14ac:dyDescent="0.15"/>
    <row r="731" s="120" customFormat="1" x14ac:dyDescent="0.15"/>
    <row r="732" s="120" customFormat="1" x14ac:dyDescent="0.15"/>
    <row r="733" s="120" customFormat="1" x14ac:dyDescent="0.15"/>
    <row r="734" s="120" customFormat="1" x14ac:dyDescent="0.15"/>
    <row r="735" s="120" customFormat="1" x14ac:dyDescent="0.15"/>
    <row r="736" s="120" customFormat="1" x14ac:dyDescent="0.15"/>
    <row r="737" s="120" customFormat="1" x14ac:dyDescent="0.15"/>
    <row r="738" s="120" customFormat="1" x14ac:dyDescent="0.15"/>
    <row r="739" s="120" customFormat="1" x14ac:dyDescent="0.15"/>
    <row r="740" s="120" customFormat="1" x14ac:dyDescent="0.15"/>
    <row r="741" s="120" customFormat="1" x14ac:dyDescent="0.15"/>
    <row r="742" s="120" customFormat="1" x14ac:dyDescent="0.15"/>
    <row r="743" s="120" customFormat="1" x14ac:dyDescent="0.15"/>
    <row r="744" s="120" customFormat="1" x14ac:dyDescent="0.15"/>
    <row r="745" s="120" customFormat="1" x14ac:dyDescent="0.15"/>
    <row r="746" s="120" customFormat="1" x14ac:dyDescent="0.15"/>
    <row r="747" s="120" customFormat="1" x14ac:dyDescent="0.15"/>
    <row r="748" s="120" customFormat="1" x14ac:dyDescent="0.15"/>
    <row r="749" s="120" customFormat="1" x14ac:dyDescent="0.15"/>
    <row r="750" s="120" customFormat="1" x14ac:dyDescent="0.15"/>
    <row r="751" s="120" customFormat="1" x14ac:dyDescent="0.15"/>
    <row r="752" s="120" customFormat="1" x14ac:dyDescent="0.15"/>
    <row r="753" s="120" customFormat="1" x14ac:dyDescent="0.15"/>
    <row r="754" s="120" customFormat="1" x14ac:dyDescent="0.15"/>
    <row r="755" s="120" customFormat="1" x14ac:dyDescent="0.15"/>
    <row r="756" s="120" customFormat="1" x14ac:dyDescent="0.15"/>
    <row r="757" s="120" customFormat="1" x14ac:dyDescent="0.15"/>
    <row r="758" s="120" customFormat="1" x14ac:dyDescent="0.15"/>
    <row r="759" s="120" customFormat="1" x14ac:dyDescent="0.15"/>
    <row r="760" s="120" customFormat="1" x14ac:dyDescent="0.15"/>
    <row r="761" s="120" customFormat="1" x14ac:dyDescent="0.15"/>
    <row r="762" s="120" customFormat="1" x14ac:dyDescent="0.15"/>
    <row r="763" s="120" customFormat="1" x14ac:dyDescent="0.15"/>
    <row r="764" s="120" customFormat="1" x14ac:dyDescent="0.15"/>
    <row r="765" s="120" customFormat="1" x14ac:dyDescent="0.15"/>
    <row r="766" s="120" customFormat="1" x14ac:dyDescent="0.15"/>
    <row r="767" s="120" customFormat="1" x14ac:dyDescent="0.15"/>
    <row r="768" s="120" customFormat="1" x14ac:dyDescent="0.15"/>
    <row r="769" s="120" customFormat="1" x14ac:dyDescent="0.15"/>
    <row r="770" s="120" customFormat="1" x14ac:dyDescent="0.15"/>
    <row r="771" s="120" customFormat="1" x14ac:dyDescent="0.15"/>
    <row r="772" s="120" customFormat="1" x14ac:dyDescent="0.15"/>
    <row r="773" s="120" customFormat="1" x14ac:dyDescent="0.15"/>
    <row r="774" s="120" customFormat="1" x14ac:dyDescent="0.15"/>
    <row r="775" s="120" customFormat="1" x14ac:dyDescent="0.15"/>
    <row r="776" s="120" customFormat="1" x14ac:dyDescent="0.15"/>
    <row r="777" s="120" customFormat="1" x14ac:dyDescent="0.15"/>
    <row r="778" s="120" customFormat="1" x14ac:dyDescent="0.15"/>
    <row r="779" s="120" customFormat="1" x14ac:dyDescent="0.15"/>
    <row r="780" s="120" customFormat="1" x14ac:dyDescent="0.15"/>
    <row r="781" s="120" customFormat="1" x14ac:dyDescent="0.15"/>
    <row r="782" s="120" customFormat="1" x14ac:dyDescent="0.15"/>
    <row r="783" s="120" customFormat="1" x14ac:dyDescent="0.15"/>
    <row r="784" s="120" customFormat="1" x14ac:dyDescent="0.15"/>
    <row r="785" s="120" customFormat="1" x14ac:dyDescent="0.15"/>
    <row r="786" s="120" customFormat="1" x14ac:dyDescent="0.15"/>
    <row r="787" s="120" customFormat="1" x14ac:dyDescent="0.15"/>
    <row r="788" s="120" customFormat="1" x14ac:dyDescent="0.15"/>
    <row r="789" s="120" customFormat="1" x14ac:dyDescent="0.15"/>
    <row r="790" s="120" customFormat="1" x14ac:dyDescent="0.15"/>
    <row r="791" s="120" customFormat="1" x14ac:dyDescent="0.15"/>
    <row r="792" s="120" customFormat="1" x14ac:dyDescent="0.15"/>
    <row r="793" s="120" customFormat="1" x14ac:dyDescent="0.15"/>
    <row r="794" s="120" customFormat="1" x14ac:dyDescent="0.15"/>
    <row r="795" s="120" customFormat="1" x14ac:dyDescent="0.15"/>
    <row r="796" s="120" customFormat="1" x14ac:dyDescent="0.15"/>
    <row r="797" s="120" customFormat="1" x14ac:dyDescent="0.15"/>
    <row r="798" s="120" customFormat="1" x14ac:dyDescent="0.15"/>
    <row r="799" s="120" customFormat="1" x14ac:dyDescent="0.15"/>
    <row r="800" s="120" customFormat="1" x14ac:dyDescent="0.15"/>
    <row r="801" s="120" customFormat="1" x14ac:dyDescent="0.15"/>
    <row r="802" s="120" customFormat="1" x14ac:dyDescent="0.15"/>
    <row r="803" s="120" customFormat="1" x14ac:dyDescent="0.15"/>
    <row r="804" s="120" customFormat="1" x14ac:dyDescent="0.15"/>
    <row r="805" s="120" customFormat="1" x14ac:dyDescent="0.15"/>
    <row r="806" s="120" customFormat="1" x14ac:dyDescent="0.15"/>
    <row r="807" s="120" customFormat="1" x14ac:dyDescent="0.15"/>
    <row r="808" s="120" customFormat="1" x14ac:dyDescent="0.15"/>
    <row r="809" s="120" customFormat="1" x14ac:dyDescent="0.15"/>
    <row r="810" s="120" customFormat="1" x14ac:dyDescent="0.15"/>
    <row r="811" s="120" customFormat="1" x14ac:dyDescent="0.15"/>
    <row r="812" s="120" customFormat="1" x14ac:dyDescent="0.15"/>
    <row r="813" s="120" customFormat="1" x14ac:dyDescent="0.15"/>
    <row r="814" s="120" customFormat="1" x14ac:dyDescent="0.15"/>
    <row r="815" s="120" customFormat="1" x14ac:dyDescent="0.15"/>
    <row r="816" s="120" customFormat="1" x14ac:dyDescent="0.15"/>
    <row r="817" s="120" customFormat="1" x14ac:dyDescent="0.15"/>
    <row r="818" s="120" customFormat="1" x14ac:dyDescent="0.15"/>
    <row r="819" s="120" customFormat="1" x14ac:dyDescent="0.15"/>
    <row r="820" s="120" customFormat="1" x14ac:dyDescent="0.15"/>
    <row r="821" s="120" customFormat="1" x14ac:dyDescent="0.15"/>
    <row r="822" s="120" customFormat="1" x14ac:dyDescent="0.15"/>
    <row r="823" s="120" customFormat="1" x14ac:dyDescent="0.15"/>
    <row r="824" s="120" customFormat="1" x14ac:dyDescent="0.15"/>
    <row r="825" s="120" customFormat="1" x14ac:dyDescent="0.15"/>
    <row r="826" s="120" customFormat="1" x14ac:dyDescent="0.15"/>
    <row r="827" s="120" customFormat="1" x14ac:dyDescent="0.15"/>
    <row r="828" s="120" customFormat="1" x14ac:dyDescent="0.15"/>
    <row r="829" s="120" customFormat="1" x14ac:dyDescent="0.15"/>
    <row r="830" s="120" customFormat="1" x14ac:dyDescent="0.15"/>
    <row r="831" s="120" customFormat="1" x14ac:dyDescent="0.15"/>
    <row r="832" s="120" customFormat="1" x14ac:dyDescent="0.15"/>
    <row r="833" s="120" customFormat="1" x14ac:dyDescent="0.15"/>
    <row r="834" s="120" customFormat="1" x14ac:dyDescent="0.15"/>
    <row r="835" s="120" customFormat="1" x14ac:dyDescent="0.15"/>
    <row r="836" s="120" customFormat="1" x14ac:dyDescent="0.15"/>
    <row r="837" s="120" customFormat="1" x14ac:dyDescent="0.15"/>
    <row r="838" s="120" customFormat="1" x14ac:dyDescent="0.15"/>
    <row r="839" s="120" customFormat="1" x14ac:dyDescent="0.15"/>
    <row r="840" s="120" customFormat="1" x14ac:dyDescent="0.15"/>
    <row r="841" s="120" customFormat="1" x14ac:dyDescent="0.15"/>
    <row r="842" s="120" customFormat="1" x14ac:dyDescent="0.15"/>
    <row r="843" s="120" customFormat="1" x14ac:dyDescent="0.15"/>
    <row r="844" s="120" customFormat="1" x14ac:dyDescent="0.15"/>
    <row r="845" s="120" customFormat="1" x14ac:dyDescent="0.15"/>
    <row r="846" s="120" customFormat="1" x14ac:dyDescent="0.15"/>
    <row r="847" s="120" customFormat="1" x14ac:dyDescent="0.15"/>
    <row r="848" s="120" customFormat="1" x14ac:dyDescent="0.15"/>
    <row r="849" s="120" customFormat="1" x14ac:dyDescent="0.15"/>
    <row r="850" s="120" customFormat="1" x14ac:dyDescent="0.15"/>
    <row r="851" s="120" customFormat="1" x14ac:dyDescent="0.15"/>
    <row r="852" s="120" customFormat="1" x14ac:dyDescent="0.15"/>
    <row r="853" s="120" customFormat="1" x14ac:dyDescent="0.15"/>
    <row r="854" s="120" customFormat="1" x14ac:dyDescent="0.15"/>
    <row r="855" s="120" customFormat="1" x14ac:dyDescent="0.15"/>
    <row r="856" s="120" customFormat="1" x14ac:dyDescent="0.15"/>
    <row r="857" s="120" customFormat="1" x14ac:dyDescent="0.15"/>
    <row r="858" s="120" customFormat="1" x14ac:dyDescent="0.15"/>
    <row r="859" s="120" customFormat="1" x14ac:dyDescent="0.15"/>
    <row r="860" s="120" customFormat="1" x14ac:dyDescent="0.15"/>
    <row r="861" s="120" customFormat="1" x14ac:dyDescent="0.15"/>
    <row r="862" s="120" customFormat="1" x14ac:dyDescent="0.15"/>
    <row r="863" s="120" customFormat="1" x14ac:dyDescent="0.15"/>
    <row r="864" s="120" customFormat="1" x14ac:dyDescent="0.15"/>
    <row r="865" s="120" customFormat="1" x14ac:dyDescent="0.15"/>
    <row r="866" s="120" customFormat="1" x14ac:dyDescent="0.15"/>
    <row r="867" s="120" customFormat="1" x14ac:dyDescent="0.15"/>
    <row r="868" s="120" customFormat="1" x14ac:dyDescent="0.15"/>
    <row r="869" s="120" customFormat="1" x14ac:dyDescent="0.15"/>
    <row r="870" s="120" customFormat="1" x14ac:dyDescent="0.15"/>
    <row r="871" s="120" customFormat="1" x14ac:dyDescent="0.15"/>
    <row r="872" s="120" customFormat="1" x14ac:dyDescent="0.15"/>
    <row r="873" s="120" customFormat="1" x14ac:dyDescent="0.15"/>
    <row r="874" s="120" customFormat="1" x14ac:dyDescent="0.15"/>
    <row r="875" s="120" customFormat="1" x14ac:dyDescent="0.15"/>
    <row r="876" s="120" customFormat="1" x14ac:dyDescent="0.15"/>
    <row r="877" s="120" customFormat="1" x14ac:dyDescent="0.15"/>
    <row r="878" s="120" customFormat="1" x14ac:dyDescent="0.15"/>
    <row r="879" s="120" customFormat="1" x14ac:dyDescent="0.15"/>
    <row r="880" s="120" customFormat="1" x14ac:dyDescent="0.15"/>
    <row r="881" s="120" customFormat="1" x14ac:dyDescent="0.15"/>
    <row r="882" s="120" customFormat="1" x14ac:dyDescent="0.15"/>
    <row r="883" s="120" customFormat="1" x14ac:dyDescent="0.15"/>
    <row r="884" s="120" customFormat="1" x14ac:dyDescent="0.15"/>
    <row r="885" s="120" customFormat="1" x14ac:dyDescent="0.15"/>
    <row r="886" s="120" customFormat="1" x14ac:dyDescent="0.15"/>
    <row r="887" s="120" customFormat="1" x14ac:dyDescent="0.15"/>
    <row r="888" s="120" customFormat="1" x14ac:dyDescent="0.15"/>
    <row r="889" s="120" customFormat="1" x14ac:dyDescent="0.15"/>
    <row r="890" s="120" customFormat="1" x14ac:dyDescent="0.15"/>
    <row r="891" s="120" customFormat="1" x14ac:dyDescent="0.15"/>
    <row r="892" s="120" customFormat="1" x14ac:dyDescent="0.15"/>
    <row r="893" s="120" customFormat="1" x14ac:dyDescent="0.15"/>
    <row r="894" s="120" customFormat="1" x14ac:dyDescent="0.15"/>
    <row r="895" s="120" customFormat="1" x14ac:dyDescent="0.15"/>
    <row r="896" s="120" customFormat="1" x14ac:dyDescent="0.15"/>
    <row r="897" s="120" customFormat="1" x14ac:dyDescent="0.15"/>
    <row r="898" s="120" customFormat="1" x14ac:dyDescent="0.15"/>
    <row r="899" s="120" customFormat="1" x14ac:dyDescent="0.15"/>
    <row r="900" s="120" customFormat="1" x14ac:dyDescent="0.15"/>
    <row r="901" s="120" customFormat="1" x14ac:dyDescent="0.15"/>
    <row r="902" s="120" customFormat="1" x14ac:dyDescent="0.15"/>
    <row r="903" s="120" customFormat="1" x14ac:dyDescent="0.15"/>
    <row r="904" s="120" customFormat="1" x14ac:dyDescent="0.15"/>
    <row r="905" s="120" customFormat="1" x14ac:dyDescent="0.15"/>
    <row r="906" s="120" customFormat="1" x14ac:dyDescent="0.15"/>
    <row r="907" s="120" customFormat="1" x14ac:dyDescent="0.15"/>
    <row r="908" s="120" customFormat="1" x14ac:dyDescent="0.15"/>
    <row r="909" s="120" customFormat="1" x14ac:dyDescent="0.15"/>
    <row r="910" s="120" customFormat="1" x14ac:dyDescent="0.15"/>
    <row r="911" s="120" customFormat="1" x14ac:dyDescent="0.15"/>
    <row r="912" s="120" customFormat="1" x14ac:dyDescent="0.15"/>
    <row r="913" s="120" customFormat="1" x14ac:dyDescent="0.15"/>
    <row r="914" s="120" customFormat="1" x14ac:dyDescent="0.15"/>
    <row r="915" s="120" customFormat="1" x14ac:dyDescent="0.15"/>
    <row r="916" s="120" customFormat="1" x14ac:dyDescent="0.15"/>
    <row r="917" s="120" customFormat="1" x14ac:dyDescent="0.15"/>
    <row r="918" s="120" customFormat="1" x14ac:dyDescent="0.15"/>
    <row r="919" s="120" customFormat="1" x14ac:dyDescent="0.15"/>
    <row r="920" s="120" customFormat="1" x14ac:dyDescent="0.15"/>
    <row r="921" s="120" customFormat="1" x14ac:dyDescent="0.15"/>
    <row r="922" s="120" customFormat="1" x14ac:dyDescent="0.15"/>
    <row r="923" s="120" customFormat="1" x14ac:dyDescent="0.15"/>
    <row r="924" s="120" customFormat="1" x14ac:dyDescent="0.15"/>
    <row r="925" s="120" customFormat="1" x14ac:dyDescent="0.15"/>
    <row r="926" s="120" customFormat="1" x14ac:dyDescent="0.15"/>
    <row r="927" s="120" customFormat="1" x14ac:dyDescent="0.15"/>
    <row r="928" s="120" customFormat="1" x14ac:dyDescent="0.15"/>
    <row r="929" s="120" customFormat="1" x14ac:dyDescent="0.15"/>
    <row r="930" s="120" customFormat="1" x14ac:dyDescent="0.15"/>
    <row r="931" s="120" customFormat="1" x14ac:dyDescent="0.15"/>
    <row r="932" s="120" customFormat="1" x14ac:dyDescent="0.15"/>
    <row r="933" s="120" customFormat="1" x14ac:dyDescent="0.15"/>
    <row r="934" s="120" customFormat="1" x14ac:dyDescent="0.15"/>
    <row r="935" s="120" customFormat="1" x14ac:dyDescent="0.15"/>
    <row r="936" s="120" customFormat="1" x14ac:dyDescent="0.15"/>
    <row r="937" s="120" customFormat="1" x14ac:dyDescent="0.15"/>
    <row r="938" s="120" customFormat="1" x14ac:dyDescent="0.15"/>
    <row r="939" s="120" customFormat="1" x14ac:dyDescent="0.15"/>
    <row r="940" s="120" customFormat="1" x14ac:dyDescent="0.15"/>
    <row r="941" s="120" customFormat="1" x14ac:dyDescent="0.15"/>
    <row r="942" s="120" customFormat="1" x14ac:dyDescent="0.15"/>
    <row r="943" s="120" customFormat="1" x14ac:dyDescent="0.15"/>
    <row r="944" s="120" customFormat="1" x14ac:dyDescent="0.15"/>
    <row r="945" s="120" customFormat="1" x14ac:dyDescent="0.15"/>
    <row r="946" s="120" customFormat="1" x14ac:dyDescent="0.15"/>
    <row r="947" s="120" customFormat="1" x14ac:dyDescent="0.15"/>
    <row r="948" s="120" customFormat="1" x14ac:dyDescent="0.15"/>
    <row r="949" s="120" customFormat="1" x14ac:dyDescent="0.15"/>
    <row r="950" s="120" customFormat="1" x14ac:dyDescent="0.15"/>
    <row r="951" s="120" customFormat="1" x14ac:dyDescent="0.15"/>
    <row r="952" s="120" customFormat="1" x14ac:dyDescent="0.15"/>
    <row r="953" s="120" customFormat="1" x14ac:dyDescent="0.15"/>
    <row r="954" s="120" customFormat="1" x14ac:dyDescent="0.15"/>
    <row r="955" s="120" customFormat="1" x14ac:dyDescent="0.15"/>
    <row r="956" s="120" customFormat="1" x14ac:dyDescent="0.15"/>
    <row r="957" s="120" customFormat="1" x14ac:dyDescent="0.15"/>
    <row r="958" s="120" customFormat="1" x14ac:dyDescent="0.15"/>
    <row r="959" s="120" customFormat="1" x14ac:dyDescent="0.15"/>
    <row r="960" s="120" customFormat="1" x14ac:dyDescent="0.15"/>
    <row r="961" s="120" customFormat="1" x14ac:dyDescent="0.15"/>
    <row r="962" s="120" customFormat="1" x14ac:dyDescent="0.15"/>
    <row r="963" s="120" customFormat="1" x14ac:dyDescent="0.15"/>
    <row r="964" s="120" customFormat="1" x14ac:dyDescent="0.15"/>
    <row r="965" s="120" customFormat="1" x14ac:dyDescent="0.15"/>
    <row r="966" s="120" customFormat="1" x14ac:dyDescent="0.15"/>
    <row r="967" s="120" customFormat="1" x14ac:dyDescent="0.15"/>
    <row r="968" s="120" customFormat="1" x14ac:dyDescent="0.15"/>
    <row r="969" s="120" customFormat="1" x14ac:dyDescent="0.15"/>
    <row r="970" s="120" customFormat="1" x14ac:dyDescent="0.15"/>
    <row r="971" s="120" customFormat="1" x14ac:dyDescent="0.15"/>
    <row r="972" s="120" customFormat="1" x14ac:dyDescent="0.15"/>
    <row r="973" s="120" customFormat="1" x14ac:dyDescent="0.15"/>
    <row r="974" s="120" customFormat="1" x14ac:dyDescent="0.15"/>
    <row r="975" s="120" customFormat="1" x14ac:dyDescent="0.15"/>
    <row r="976" s="120" customFormat="1" x14ac:dyDescent="0.15"/>
    <row r="977" s="120" customFormat="1" x14ac:dyDescent="0.15"/>
    <row r="978" s="120" customFormat="1" x14ac:dyDescent="0.15"/>
    <row r="979" s="120" customFormat="1" x14ac:dyDescent="0.15"/>
    <row r="980" s="120" customFormat="1" x14ac:dyDescent="0.15"/>
    <row r="981" s="120" customFormat="1" x14ac:dyDescent="0.15"/>
    <row r="982" s="120" customFormat="1" x14ac:dyDescent="0.15"/>
    <row r="983" s="120" customFormat="1" x14ac:dyDescent="0.15"/>
    <row r="984" s="120" customFormat="1" x14ac:dyDescent="0.15"/>
    <row r="985" s="120" customFormat="1" x14ac:dyDescent="0.15"/>
    <row r="986" s="120" customFormat="1" x14ac:dyDescent="0.15"/>
    <row r="987" s="120" customFormat="1" x14ac:dyDescent="0.15"/>
    <row r="988" s="120" customFormat="1" x14ac:dyDescent="0.15"/>
    <row r="989" s="120" customFormat="1" x14ac:dyDescent="0.15"/>
    <row r="990" s="120" customFormat="1" x14ac:dyDescent="0.15"/>
    <row r="991" s="120" customFormat="1" x14ac:dyDescent="0.15"/>
    <row r="992" s="120" customFormat="1" x14ac:dyDescent="0.15"/>
    <row r="993" s="120" customFormat="1" x14ac:dyDescent="0.15"/>
    <row r="994" s="120" customFormat="1" x14ac:dyDescent="0.15"/>
    <row r="995" s="120" customFormat="1" x14ac:dyDescent="0.15"/>
    <row r="996" s="120" customFormat="1" x14ac:dyDescent="0.15"/>
    <row r="997" s="120" customFormat="1" x14ac:dyDescent="0.15"/>
    <row r="998" s="120" customFormat="1" x14ac:dyDescent="0.15"/>
    <row r="999" s="120" customFormat="1" x14ac:dyDescent="0.15"/>
    <row r="1000" s="120" customFormat="1" x14ac:dyDescent="0.15"/>
    <row r="1001" s="120" customFormat="1" x14ac:dyDescent="0.15"/>
    <row r="1002" s="120" customFormat="1" x14ac:dyDescent="0.15"/>
    <row r="1003" s="120" customFormat="1" x14ac:dyDescent="0.15"/>
    <row r="1004" s="120" customFormat="1" x14ac:dyDescent="0.15"/>
    <row r="1005" s="120" customFormat="1" x14ac:dyDescent="0.15"/>
    <row r="1006" s="120" customFormat="1" x14ac:dyDescent="0.15"/>
    <row r="1007" s="120" customFormat="1" x14ac:dyDescent="0.15"/>
    <row r="1008" s="120" customFormat="1" x14ac:dyDescent="0.15"/>
    <row r="1009" s="120" customFormat="1" x14ac:dyDescent="0.15"/>
    <row r="1010" s="120" customFormat="1" x14ac:dyDescent="0.15"/>
    <row r="1011" s="120" customFormat="1" x14ac:dyDescent="0.15"/>
    <row r="1012" s="120" customFormat="1" x14ac:dyDescent="0.15"/>
    <row r="1013" s="120" customFormat="1" x14ac:dyDescent="0.15"/>
    <row r="1014" s="120" customFormat="1" x14ac:dyDescent="0.15"/>
    <row r="1015" s="120" customFormat="1" x14ac:dyDescent="0.15"/>
    <row r="1016" s="120" customFormat="1" x14ac:dyDescent="0.15"/>
    <row r="1017" s="120" customFormat="1" x14ac:dyDescent="0.15"/>
    <row r="1018" s="120" customFormat="1" x14ac:dyDescent="0.15"/>
    <row r="1019" s="120" customFormat="1" x14ac:dyDescent="0.15"/>
    <row r="1020" s="120" customFormat="1" x14ac:dyDescent="0.15"/>
    <row r="1021" s="120" customFormat="1" x14ac:dyDescent="0.15"/>
    <row r="1022" s="120" customFormat="1" x14ac:dyDescent="0.15"/>
    <row r="1023" s="120" customFormat="1" x14ac:dyDescent="0.15"/>
    <row r="1024" s="120" customFormat="1" x14ac:dyDescent="0.15"/>
    <row r="1025" s="120" customFormat="1" x14ac:dyDescent="0.15"/>
    <row r="1026" s="120" customFormat="1" x14ac:dyDescent="0.15"/>
    <row r="1027" s="120" customFormat="1" x14ac:dyDescent="0.15"/>
    <row r="1028" s="120" customFormat="1" x14ac:dyDescent="0.15"/>
    <row r="1029" s="120" customFormat="1" x14ac:dyDescent="0.15"/>
    <row r="1030" s="120" customFormat="1" x14ac:dyDescent="0.15"/>
    <row r="1031" s="120" customFormat="1" x14ac:dyDescent="0.15"/>
    <row r="1032" s="120" customFormat="1" x14ac:dyDescent="0.15"/>
    <row r="1033" s="120" customFormat="1" x14ac:dyDescent="0.15"/>
    <row r="1034" s="120" customFormat="1" x14ac:dyDescent="0.15"/>
    <row r="1035" s="120" customFormat="1" x14ac:dyDescent="0.15"/>
    <row r="1036" s="120" customFormat="1" x14ac:dyDescent="0.15"/>
    <row r="1037" s="120" customFormat="1" x14ac:dyDescent="0.15"/>
    <row r="1038" s="120" customFormat="1" x14ac:dyDescent="0.15"/>
    <row r="1039" s="120" customFormat="1" x14ac:dyDescent="0.15"/>
    <row r="1040" s="120" customFormat="1" x14ac:dyDescent="0.15"/>
    <row r="1041" s="120" customFormat="1" x14ac:dyDescent="0.15"/>
    <row r="1042" s="120" customFormat="1" x14ac:dyDescent="0.15"/>
    <row r="1043" s="120" customFormat="1" x14ac:dyDescent="0.15"/>
    <row r="1044" s="120" customFormat="1" x14ac:dyDescent="0.15"/>
    <row r="1045" s="120" customFormat="1" x14ac:dyDescent="0.15"/>
    <row r="1046" s="120" customFormat="1" x14ac:dyDescent="0.15"/>
    <row r="1047" s="120" customFormat="1" x14ac:dyDescent="0.15"/>
    <row r="1048" s="120" customFormat="1" x14ac:dyDescent="0.15"/>
    <row r="1049" s="120" customFormat="1" x14ac:dyDescent="0.15"/>
    <row r="1050" s="120" customFormat="1" x14ac:dyDescent="0.15"/>
    <row r="1051" s="120" customFormat="1" x14ac:dyDescent="0.15"/>
    <row r="1052" s="120" customFormat="1" x14ac:dyDescent="0.15"/>
    <row r="1053" s="120" customFormat="1" x14ac:dyDescent="0.15"/>
    <row r="1054" s="120" customFormat="1" x14ac:dyDescent="0.15"/>
    <row r="1055" s="120" customFormat="1" x14ac:dyDescent="0.15"/>
    <row r="1056" s="120" customFormat="1" x14ac:dyDescent="0.15"/>
    <row r="1057" s="120" customFormat="1" x14ac:dyDescent="0.15"/>
    <row r="1058" s="120" customFormat="1" x14ac:dyDescent="0.15"/>
    <row r="1059" s="120" customFormat="1" x14ac:dyDescent="0.15"/>
    <row r="1060" s="120" customFormat="1" x14ac:dyDescent="0.15"/>
    <row r="1061" s="120" customFormat="1" x14ac:dyDescent="0.15"/>
    <row r="1062" s="120" customFormat="1" x14ac:dyDescent="0.15"/>
    <row r="1063" s="120" customFormat="1" x14ac:dyDescent="0.15"/>
    <row r="1064" s="120" customFormat="1" x14ac:dyDescent="0.15"/>
    <row r="1065" s="120" customFormat="1" x14ac:dyDescent="0.15"/>
    <row r="1066" s="120" customFormat="1" x14ac:dyDescent="0.15"/>
    <row r="1067" s="120" customFormat="1" x14ac:dyDescent="0.15"/>
    <row r="1068" s="120" customFormat="1" x14ac:dyDescent="0.15"/>
    <row r="1069" s="120" customFormat="1" x14ac:dyDescent="0.15"/>
    <row r="1070" s="120" customFormat="1" x14ac:dyDescent="0.15"/>
    <row r="1071" s="120" customFormat="1" x14ac:dyDescent="0.15"/>
    <row r="1072" s="120" customFormat="1" x14ac:dyDescent="0.15"/>
    <row r="1073" s="120" customFormat="1" x14ac:dyDescent="0.15"/>
    <row r="1074" s="120" customFormat="1" x14ac:dyDescent="0.15"/>
    <row r="1075" s="120" customFormat="1" x14ac:dyDescent="0.15"/>
    <row r="1076" s="120" customFormat="1" x14ac:dyDescent="0.15"/>
    <row r="1077" s="120" customFormat="1" x14ac:dyDescent="0.15"/>
    <row r="1078" s="120" customFormat="1" x14ac:dyDescent="0.15"/>
    <row r="1079" s="120" customFormat="1" x14ac:dyDescent="0.15"/>
    <row r="1080" s="120" customFormat="1" x14ac:dyDescent="0.15"/>
    <row r="1081" s="120" customFormat="1" x14ac:dyDescent="0.15"/>
    <row r="1082" s="120" customFormat="1" x14ac:dyDescent="0.15"/>
    <row r="1083" s="120" customFormat="1" x14ac:dyDescent="0.15"/>
    <row r="1084" s="120" customFormat="1" x14ac:dyDescent="0.15"/>
    <row r="1085" s="120" customFormat="1" x14ac:dyDescent="0.15"/>
    <row r="1086" s="120" customFormat="1" x14ac:dyDescent="0.15"/>
    <row r="1087" s="120" customFormat="1" x14ac:dyDescent="0.15"/>
    <row r="1088" s="120" customFormat="1" x14ac:dyDescent="0.15"/>
    <row r="1089" s="120" customFormat="1" x14ac:dyDescent="0.15"/>
    <row r="1090" s="120" customFormat="1" x14ac:dyDescent="0.15"/>
    <row r="1091" s="120" customFormat="1" x14ac:dyDescent="0.15"/>
    <row r="1092" s="120" customFormat="1" x14ac:dyDescent="0.15"/>
    <row r="1093" s="120" customFormat="1" x14ac:dyDescent="0.15"/>
    <row r="1094" s="120" customFormat="1" x14ac:dyDescent="0.15"/>
    <row r="1095" s="120" customFormat="1" x14ac:dyDescent="0.15"/>
    <row r="1096" s="120" customFormat="1" x14ac:dyDescent="0.15"/>
    <row r="1097" s="120" customFormat="1" x14ac:dyDescent="0.15"/>
    <row r="1098" s="120" customFormat="1" x14ac:dyDescent="0.15"/>
    <row r="1099" s="120" customFormat="1" x14ac:dyDescent="0.15"/>
    <row r="1100" s="120" customFormat="1" x14ac:dyDescent="0.15"/>
    <row r="1101" s="120" customFormat="1" x14ac:dyDescent="0.15"/>
    <row r="1102" s="120" customFormat="1" x14ac:dyDescent="0.15"/>
    <row r="1103" s="120" customFormat="1" x14ac:dyDescent="0.15"/>
    <row r="1104" s="120" customFormat="1" x14ac:dyDescent="0.15"/>
    <row r="1105" s="120" customFormat="1" x14ac:dyDescent="0.15"/>
    <row r="1106" s="120" customFormat="1" x14ac:dyDescent="0.15"/>
    <row r="1107" s="120" customFormat="1" x14ac:dyDescent="0.15"/>
    <row r="1108" s="120" customFormat="1" x14ac:dyDescent="0.15"/>
    <row r="1109" s="120" customFormat="1" x14ac:dyDescent="0.15"/>
    <row r="1110" s="120" customFormat="1" x14ac:dyDescent="0.15"/>
    <row r="1111" s="120" customFormat="1" x14ac:dyDescent="0.15"/>
    <row r="1112" s="120" customFormat="1" x14ac:dyDescent="0.15"/>
    <row r="1113" s="120" customFormat="1" x14ac:dyDescent="0.15"/>
    <row r="1114" s="120" customFormat="1" x14ac:dyDescent="0.15"/>
    <row r="1115" s="120" customFormat="1" x14ac:dyDescent="0.15"/>
    <row r="1116" s="120" customFormat="1" x14ac:dyDescent="0.15"/>
    <row r="1117" s="120" customFormat="1" x14ac:dyDescent="0.15"/>
    <row r="1118" s="120" customFormat="1" x14ac:dyDescent="0.15"/>
    <row r="1119" s="120" customFormat="1" x14ac:dyDescent="0.15"/>
    <row r="1120" s="120" customFormat="1" x14ac:dyDescent="0.15"/>
    <row r="1121" s="120" customFormat="1" x14ac:dyDescent="0.15"/>
    <row r="1122" s="120" customFormat="1" x14ac:dyDescent="0.15"/>
    <row r="1123" s="120" customFormat="1" x14ac:dyDescent="0.15"/>
    <row r="1124" s="120" customFormat="1" x14ac:dyDescent="0.15"/>
    <row r="1125" s="120" customFormat="1" x14ac:dyDescent="0.15"/>
    <row r="1126" s="120" customFormat="1" x14ac:dyDescent="0.15"/>
    <row r="1127" s="120" customFormat="1" x14ac:dyDescent="0.15"/>
    <row r="1128" s="120" customFormat="1" x14ac:dyDescent="0.15"/>
    <row r="1129" s="120" customFormat="1" x14ac:dyDescent="0.15"/>
    <row r="1130" s="120" customFormat="1" x14ac:dyDescent="0.15"/>
    <row r="1131" s="120" customFormat="1" x14ac:dyDescent="0.15"/>
    <row r="1132" s="120" customFormat="1" x14ac:dyDescent="0.15"/>
    <row r="1133" s="120" customFormat="1" x14ac:dyDescent="0.15"/>
    <row r="1134" s="120" customFormat="1" x14ac:dyDescent="0.15"/>
    <row r="1135" s="120" customFormat="1" x14ac:dyDescent="0.15"/>
    <row r="1136" s="120" customFormat="1" x14ac:dyDescent="0.15"/>
    <row r="1137" s="120" customFormat="1" x14ac:dyDescent="0.15"/>
    <row r="1138" s="120" customFormat="1" x14ac:dyDescent="0.15"/>
    <row r="1139" s="120" customFormat="1" x14ac:dyDescent="0.15"/>
    <row r="1140" s="120" customFormat="1" x14ac:dyDescent="0.15"/>
    <row r="1141" s="120" customFormat="1" x14ac:dyDescent="0.15"/>
    <row r="1142" s="120" customFormat="1" x14ac:dyDescent="0.15"/>
    <row r="1143" s="120" customFormat="1" x14ac:dyDescent="0.15"/>
    <row r="1144" s="120" customFormat="1" x14ac:dyDescent="0.15"/>
    <row r="1145" s="120" customFormat="1" x14ac:dyDescent="0.15"/>
    <row r="1146" s="120" customFormat="1" x14ac:dyDescent="0.15"/>
    <row r="1147" s="120" customFormat="1" x14ac:dyDescent="0.15"/>
    <row r="1148" s="120" customFormat="1" x14ac:dyDescent="0.15"/>
    <row r="1149" s="120" customFormat="1" x14ac:dyDescent="0.15"/>
    <row r="1150" s="120" customFormat="1" x14ac:dyDescent="0.15"/>
    <row r="1151" s="120" customFormat="1" x14ac:dyDescent="0.15"/>
    <row r="1152" s="120" customFormat="1" x14ac:dyDescent="0.15"/>
    <row r="1153" s="120" customFormat="1" x14ac:dyDescent="0.15"/>
    <row r="1154" s="120" customFormat="1" x14ac:dyDescent="0.15"/>
    <row r="1155" s="120" customFormat="1" x14ac:dyDescent="0.15"/>
    <row r="1156" s="120" customFormat="1" x14ac:dyDescent="0.15"/>
    <row r="1157" s="120" customFormat="1" x14ac:dyDescent="0.15"/>
    <row r="1158" s="120" customFormat="1" x14ac:dyDescent="0.15"/>
    <row r="1159" s="120" customFormat="1" x14ac:dyDescent="0.15"/>
    <row r="1160" s="120" customFormat="1" x14ac:dyDescent="0.15"/>
    <row r="1161" s="120" customFormat="1" x14ac:dyDescent="0.15"/>
    <row r="1162" s="120" customFormat="1" x14ac:dyDescent="0.15"/>
    <row r="1163" s="120" customFormat="1" x14ac:dyDescent="0.15"/>
    <row r="1164" s="120" customFormat="1" x14ac:dyDescent="0.15"/>
    <row r="1165" s="120" customFormat="1" x14ac:dyDescent="0.15"/>
    <row r="1166" s="120" customFormat="1" x14ac:dyDescent="0.15"/>
    <row r="1167" s="120" customFormat="1" x14ac:dyDescent="0.15"/>
    <row r="1168" s="120" customFormat="1" x14ac:dyDescent="0.15"/>
    <row r="1169" s="120" customFormat="1" x14ac:dyDescent="0.15"/>
    <row r="1170" s="120" customFormat="1" x14ac:dyDescent="0.15"/>
    <row r="1171" s="120" customFormat="1" x14ac:dyDescent="0.15"/>
    <row r="1172" s="120" customFormat="1" x14ac:dyDescent="0.15"/>
    <row r="1173" s="120" customFormat="1" x14ac:dyDescent="0.15"/>
    <row r="1174" s="120" customFormat="1" x14ac:dyDescent="0.15"/>
    <row r="1175" s="120" customFormat="1" x14ac:dyDescent="0.15"/>
    <row r="1176" s="120" customFormat="1" x14ac:dyDescent="0.15"/>
    <row r="1177" s="120" customFormat="1" x14ac:dyDescent="0.15"/>
    <row r="1178" s="120" customFormat="1" x14ac:dyDescent="0.15"/>
    <row r="1179" s="120" customFormat="1" x14ac:dyDescent="0.15"/>
    <row r="1180" s="120" customFormat="1" x14ac:dyDescent="0.15"/>
    <row r="1181" s="120" customFormat="1" x14ac:dyDescent="0.15"/>
    <row r="1182" s="120" customFormat="1" x14ac:dyDescent="0.15"/>
    <row r="1183" s="120" customFormat="1" x14ac:dyDescent="0.15"/>
    <row r="1184" s="120" customFormat="1" x14ac:dyDescent="0.15"/>
    <row r="1185" s="120" customFormat="1" x14ac:dyDescent="0.15"/>
    <row r="1186" s="120" customFormat="1" x14ac:dyDescent="0.15"/>
    <row r="1187" s="120" customFormat="1" x14ac:dyDescent="0.15"/>
    <row r="1188" s="120" customFormat="1" x14ac:dyDescent="0.15"/>
    <row r="1189" s="120" customFormat="1" x14ac:dyDescent="0.15"/>
    <row r="1190" s="120" customFormat="1" x14ac:dyDescent="0.15"/>
    <row r="1191" s="120" customFormat="1" x14ac:dyDescent="0.15"/>
    <row r="1192" s="120" customFormat="1" x14ac:dyDescent="0.15"/>
    <row r="1193" s="120" customFormat="1" x14ac:dyDescent="0.15"/>
    <row r="1194" s="120" customFormat="1" x14ac:dyDescent="0.15"/>
    <row r="1195" s="120" customFormat="1" x14ac:dyDescent="0.15"/>
    <row r="1196" s="120" customFormat="1" x14ac:dyDescent="0.15"/>
    <row r="1197" s="120" customFormat="1" x14ac:dyDescent="0.15"/>
    <row r="1198" s="120" customFormat="1" x14ac:dyDescent="0.15"/>
    <row r="1199" s="120" customFormat="1" x14ac:dyDescent="0.15"/>
    <row r="1200" s="120" customFormat="1" x14ac:dyDescent="0.15"/>
    <row r="1201" s="120" customFormat="1" x14ac:dyDescent="0.15"/>
    <row r="1202" s="120" customFormat="1" x14ac:dyDescent="0.15"/>
    <row r="1203" s="120" customFormat="1" x14ac:dyDescent="0.15"/>
    <row r="1204" s="120" customFormat="1" x14ac:dyDescent="0.15"/>
    <row r="1205" s="120" customFormat="1" x14ac:dyDescent="0.15"/>
    <row r="1206" s="120" customFormat="1" x14ac:dyDescent="0.15"/>
    <row r="1207" s="120" customFormat="1" x14ac:dyDescent="0.15"/>
    <row r="1208" s="120" customFormat="1" x14ac:dyDescent="0.15"/>
    <row r="1209" s="120" customFormat="1" x14ac:dyDescent="0.15"/>
    <row r="1210" s="120" customFormat="1" x14ac:dyDescent="0.15"/>
    <row r="1211" s="120" customFormat="1" x14ac:dyDescent="0.15"/>
    <row r="1212" s="120" customFormat="1" x14ac:dyDescent="0.15"/>
    <row r="1213" s="120" customFormat="1" x14ac:dyDescent="0.15"/>
    <row r="1214" s="120" customFormat="1" x14ac:dyDescent="0.15"/>
    <row r="1215" s="120" customFormat="1" x14ac:dyDescent="0.15"/>
    <row r="1216" s="120" customFormat="1" x14ac:dyDescent="0.15"/>
    <row r="1217" s="120" customFormat="1" x14ac:dyDescent="0.15"/>
    <row r="1218" s="120" customFormat="1" x14ac:dyDescent="0.15"/>
    <row r="1219" s="120" customFormat="1" x14ac:dyDescent="0.15"/>
    <row r="1220" s="120" customFormat="1" x14ac:dyDescent="0.15"/>
    <row r="1221" s="120" customFormat="1" x14ac:dyDescent="0.15"/>
    <row r="1222" s="120" customFormat="1" x14ac:dyDescent="0.15"/>
    <row r="1223" s="120" customFormat="1" x14ac:dyDescent="0.15"/>
    <row r="1224" s="120" customFormat="1" x14ac:dyDescent="0.15"/>
    <row r="1225" s="120" customFormat="1" x14ac:dyDescent="0.15"/>
    <row r="1226" s="120" customFormat="1" x14ac:dyDescent="0.15"/>
    <row r="1227" s="120" customFormat="1" x14ac:dyDescent="0.15"/>
    <row r="1228" s="120" customFormat="1" x14ac:dyDescent="0.15"/>
    <row r="1229" s="120" customFormat="1" x14ac:dyDescent="0.15"/>
    <row r="1230" s="120" customFormat="1" x14ac:dyDescent="0.15"/>
    <row r="1231" s="120" customFormat="1" x14ac:dyDescent="0.15"/>
    <row r="1232" s="120" customFormat="1" x14ac:dyDescent="0.15"/>
    <row r="1233" s="120" customFormat="1" x14ac:dyDescent="0.15"/>
    <row r="1234" s="120" customFormat="1" x14ac:dyDescent="0.15"/>
    <row r="1235" s="120" customFormat="1" x14ac:dyDescent="0.15"/>
    <row r="1236" s="120" customFormat="1" x14ac:dyDescent="0.15"/>
    <row r="1237" s="120" customFormat="1" x14ac:dyDescent="0.15"/>
    <row r="1238" s="120" customFormat="1" x14ac:dyDescent="0.15"/>
    <row r="1239" s="120" customFormat="1" x14ac:dyDescent="0.15"/>
    <row r="1240" s="120" customFormat="1" x14ac:dyDescent="0.15"/>
    <row r="1241" s="120" customFormat="1" x14ac:dyDescent="0.15"/>
    <row r="1242" s="120" customFormat="1" x14ac:dyDescent="0.15"/>
    <row r="1243" s="120" customFormat="1" x14ac:dyDescent="0.15"/>
    <row r="1244" s="120" customFormat="1" x14ac:dyDescent="0.15"/>
    <row r="1245" s="120" customFormat="1" x14ac:dyDescent="0.15"/>
    <row r="1246" s="120" customFormat="1" x14ac:dyDescent="0.15"/>
    <row r="1247" s="120" customFormat="1" x14ac:dyDescent="0.15"/>
    <row r="1248" s="120" customFormat="1" x14ac:dyDescent="0.15"/>
    <row r="1249" s="120" customFormat="1" x14ac:dyDescent="0.15"/>
    <row r="1250" s="120" customFormat="1" x14ac:dyDescent="0.15"/>
    <row r="1251" s="120" customFormat="1" x14ac:dyDescent="0.15"/>
    <row r="1252" s="120" customFormat="1" x14ac:dyDescent="0.15"/>
    <row r="1253" s="120" customFormat="1" x14ac:dyDescent="0.15"/>
    <row r="1254" s="120" customFormat="1" x14ac:dyDescent="0.15"/>
    <row r="1255" s="120" customFormat="1" x14ac:dyDescent="0.15"/>
    <row r="1256" s="120" customFormat="1" x14ac:dyDescent="0.15"/>
    <row r="1257" s="120" customFormat="1" x14ac:dyDescent="0.15"/>
    <row r="1258" s="120" customFormat="1" x14ac:dyDescent="0.15"/>
    <row r="1259" s="120" customFormat="1" x14ac:dyDescent="0.15"/>
    <row r="1260" s="120" customFormat="1" x14ac:dyDescent="0.15"/>
    <row r="1261" s="120" customFormat="1" x14ac:dyDescent="0.15"/>
    <row r="1262" s="120" customFormat="1" x14ac:dyDescent="0.15"/>
    <row r="1263" s="120" customFormat="1" x14ac:dyDescent="0.15"/>
    <row r="1264" s="120" customFormat="1" x14ac:dyDescent="0.15"/>
    <row r="1265" s="120" customFormat="1" x14ac:dyDescent="0.15"/>
    <row r="1266" s="120" customFormat="1" x14ac:dyDescent="0.15"/>
    <row r="1267" s="120" customFormat="1" x14ac:dyDescent="0.15"/>
    <row r="1268" s="120" customFormat="1" x14ac:dyDescent="0.15"/>
    <row r="1269" s="120" customFormat="1" x14ac:dyDescent="0.15"/>
    <row r="1270" s="120" customFormat="1" x14ac:dyDescent="0.15"/>
    <row r="1271" s="120" customFormat="1" x14ac:dyDescent="0.15"/>
    <row r="1272" s="120" customFormat="1" x14ac:dyDescent="0.15"/>
    <row r="1273" s="120" customFormat="1" x14ac:dyDescent="0.15"/>
    <row r="1274" s="120" customFormat="1" x14ac:dyDescent="0.15"/>
    <row r="1275" s="120" customFormat="1" x14ac:dyDescent="0.15"/>
    <row r="1276" s="120" customFormat="1" x14ac:dyDescent="0.15"/>
    <row r="1277" s="120" customFormat="1" x14ac:dyDescent="0.15"/>
    <row r="1278" s="120" customFormat="1" x14ac:dyDescent="0.15"/>
    <row r="1279" s="120" customFormat="1" x14ac:dyDescent="0.15"/>
    <row r="1280" s="120" customFormat="1" x14ac:dyDescent="0.15"/>
    <row r="1281" s="120" customFormat="1" x14ac:dyDescent="0.15"/>
    <row r="1282" s="120" customFormat="1" x14ac:dyDescent="0.15"/>
    <row r="1283" s="120" customFormat="1" x14ac:dyDescent="0.15"/>
    <row r="1284" s="120" customFormat="1" x14ac:dyDescent="0.15"/>
    <row r="1285" s="120" customFormat="1" x14ac:dyDescent="0.15"/>
    <row r="1286" s="120" customFormat="1" x14ac:dyDescent="0.15"/>
    <row r="1287" s="120" customFormat="1" x14ac:dyDescent="0.15"/>
    <row r="1288" s="120" customFormat="1" x14ac:dyDescent="0.15"/>
    <row r="1289" s="120" customFormat="1" x14ac:dyDescent="0.15"/>
    <row r="1290" s="120" customFormat="1" x14ac:dyDescent="0.15"/>
    <row r="1291" s="120" customFormat="1" x14ac:dyDescent="0.15"/>
    <row r="1292" s="120" customFormat="1" x14ac:dyDescent="0.15"/>
    <row r="1293" s="120" customFormat="1" x14ac:dyDescent="0.15"/>
    <row r="1294" s="120" customFormat="1" x14ac:dyDescent="0.15"/>
    <row r="1295" s="120" customFormat="1" x14ac:dyDescent="0.15"/>
    <row r="1296" s="120" customFormat="1" x14ac:dyDescent="0.15"/>
    <row r="1297" s="120" customFormat="1" x14ac:dyDescent="0.15"/>
    <row r="1298" s="120" customFormat="1" x14ac:dyDescent="0.15"/>
    <row r="1299" s="120" customFormat="1" x14ac:dyDescent="0.15"/>
    <row r="1300" s="120" customFormat="1" x14ac:dyDescent="0.15"/>
    <row r="1301" s="120" customFormat="1" x14ac:dyDescent="0.15"/>
    <row r="1302" s="120" customFormat="1" x14ac:dyDescent="0.15"/>
    <row r="1303" s="120" customFormat="1" x14ac:dyDescent="0.15"/>
    <row r="1304" s="120" customFormat="1" x14ac:dyDescent="0.15"/>
    <row r="1305" s="120" customFormat="1" x14ac:dyDescent="0.15"/>
    <row r="1306" s="120" customFormat="1" x14ac:dyDescent="0.15"/>
    <row r="1307" s="120" customFormat="1" x14ac:dyDescent="0.15"/>
    <row r="1308" s="120" customFormat="1" x14ac:dyDescent="0.15"/>
    <row r="1309" s="120" customFormat="1" x14ac:dyDescent="0.15"/>
    <row r="1310" s="120" customFormat="1" x14ac:dyDescent="0.15"/>
    <row r="1311" s="120" customFormat="1" x14ac:dyDescent="0.15"/>
    <row r="1312" s="120" customFormat="1" x14ac:dyDescent="0.15"/>
    <row r="1313" s="120" customFormat="1" x14ac:dyDescent="0.15"/>
    <row r="1314" s="120" customFormat="1" x14ac:dyDescent="0.15"/>
    <row r="1315" s="120" customFormat="1" x14ac:dyDescent="0.15"/>
    <row r="1316" s="120" customFormat="1" x14ac:dyDescent="0.15"/>
    <row r="1317" s="120" customFormat="1" x14ac:dyDescent="0.15"/>
    <row r="1318" s="120" customFormat="1" x14ac:dyDescent="0.15"/>
    <row r="1319" s="120" customFormat="1" x14ac:dyDescent="0.15"/>
    <row r="1320" s="120" customFormat="1" x14ac:dyDescent="0.15"/>
    <row r="1321" s="120" customFormat="1" x14ac:dyDescent="0.15"/>
    <row r="1322" s="120" customFormat="1" x14ac:dyDescent="0.15"/>
    <row r="1323" s="120" customFormat="1" x14ac:dyDescent="0.15"/>
    <row r="1324" s="120" customFormat="1" x14ac:dyDescent="0.15"/>
    <row r="1325" s="120" customFormat="1" x14ac:dyDescent="0.15"/>
    <row r="1326" s="120" customFormat="1" x14ac:dyDescent="0.15"/>
    <row r="1327" s="120" customFormat="1" x14ac:dyDescent="0.15"/>
    <row r="1328" s="120" customFormat="1" x14ac:dyDescent="0.15"/>
    <row r="1329" s="120" customFormat="1" x14ac:dyDescent="0.15"/>
    <row r="1330" s="120" customFormat="1" x14ac:dyDescent="0.15"/>
    <row r="1331" s="120" customFormat="1" x14ac:dyDescent="0.15"/>
    <row r="1332" s="120" customFormat="1" x14ac:dyDescent="0.15"/>
    <row r="1333" s="120" customFormat="1" x14ac:dyDescent="0.15"/>
    <row r="1334" s="120" customFormat="1" x14ac:dyDescent="0.15"/>
    <row r="1335" s="120" customFormat="1" x14ac:dyDescent="0.15"/>
    <row r="1336" s="120" customFormat="1" x14ac:dyDescent="0.15"/>
    <row r="1337" s="120" customFormat="1" x14ac:dyDescent="0.15"/>
    <row r="1338" s="120" customFormat="1" x14ac:dyDescent="0.15"/>
    <row r="1339" s="120" customFormat="1" x14ac:dyDescent="0.15"/>
    <row r="1340" s="120" customFormat="1" x14ac:dyDescent="0.15"/>
    <row r="1341" s="120" customFormat="1" x14ac:dyDescent="0.15"/>
    <row r="1342" s="120" customFormat="1" x14ac:dyDescent="0.15"/>
    <row r="1343" s="120" customFormat="1" x14ac:dyDescent="0.15"/>
    <row r="1344" s="120" customFormat="1" x14ac:dyDescent="0.15"/>
    <row r="1345" s="120" customFormat="1" x14ac:dyDescent="0.15"/>
    <row r="1346" s="120" customFormat="1" x14ac:dyDescent="0.15"/>
    <row r="1347" s="120" customFormat="1" x14ac:dyDescent="0.15"/>
    <row r="1348" s="120" customFormat="1" x14ac:dyDescent="0.15"/>
    <row r="1349" s="120" customFormat="1" x14ac:dyDescent="0.15"/>
    <row r="1350" s="120" customFormat="1" x14ac:dyDescent="0.15"/>
    <row r="1351" s="120" customFormat="1" x14ac:dyDescent="0.15"/>
    <row r="1352" s="120" customFormat="1" x14ac:dyDescent="0.15"/>
    <row r="1353" s="120" customFormat="1" x14ac:dyDescent="0.15"/>
    <row r="1354" s="120" customFormat="1" x14ac:dyDescent="0.15"/>
    <row r="1355" s="120" customFormat="1" x14ac:dyDescent="0.15"/>
    <row r="1356" s="120" customFormat="1" x14ac:dyDescent="0.15"/>
    <row r="1357" s="120" customFormat="1" x14ac:dyDescent="0.15"/>
    <row r="1358" s="120" customFormat="1" x14ac:dyDescent="0.15"/>
    <row r="1359" s="120" customFormat="1" x14ac:dyDescent="0.15"/>
    <row r="1360" s="120" customFormat="1" x14ac:dyDescent="0.15"/>
    <row r="1361" s="120" customFormat="1" x14ac:dyDescent="0.15"/>
    <row r="1362" s="120" customFormat="1" x14ac:dyDescent="0.15"/>
    <row r="1363" s="120" customFormat="1" x14ac:dyDescent="0.15"/>
    <row r="1364" s="120" customFormat="1" x14ac:dyDescent="0.15"/>
    <row r="1365" s="120" customFormat="1" x14ac:dyDescent="0.15"/>
    <row r="1366" s="120" customFormat="1" x14ac:dyDescent="0.15"/>
    <row r="1367" s="120" customFormat="1" x14ac:dyDescent="0.15"/>
    <row r="1368" s="120" customFormat="1" x14ac:dyDescent="0.15"/>
    <row r="1369" s="120" customFormat="1" x14ac:dyDescent="0.15"/>
    <row r="1370" s="120" customFormat="1" x14ac:dyDescent="0.15"/>
    <row r="1371" s="120" customFormat="1" x14ac:dyDescent="0.15"/>
    <row r="1372" s="120" customFormat="1" x14ac:dyDescent="0.15"/>
    <row r="1373" s="120" customFormat="1" x14ac:dyDescent="0.15"/>
    <row r="1374" s="120" customFormat="1" x14ac:dyDescent="0.15"/>
    <row r="1375" s="120" customFormat="1" x14ac:dyDescent="0.15"/>
    <row r="1376" s="120" customFormat="1" x14ac:dyDescent="0.15"/>
    <row r="1377" s="120" customFormat="1" x14ac:dyDescent="0.15"/>
    <row r="1378" s="120" customFormat="1" x14ac:dyDescent="0.15"/>
    <row r="1379" s="120" customFormat="1" x14ac:dyDescent="0.15"/>
    <row r="1380" s="120" customFormat="1" x14ac:dyDescent="0.15"/>
    <row r="1381" s="120" customFormat="1" x14ac:dyDescent="0.15"/>
    <row r="1382" s="120" customFormat="1" x14ac:dyDescent="0.15"/>
    <row r="1383" s="120" customFormat="1" x14ac:dyDescent="0.15"/>
    <row r="1384" s="120" customFormat="1" x14ac:dyDescent="0.15"/>
    <row r="1385" s="120" customFormat="1" x14ac:dyDescent="0.15"/>
    <row r="1386" s="120" customFormat="1" x14ac:dyDescent="0.15"/>
    <row r="1387" s="120" customFormat="1" x14ac:dyDescent="0.15"/>
    <row r="1388" s="120" customFormat="1" x14ac:dyDescent="0.15"/>
    <row r="1389" s="120" customFormat="1" x14ac:dyDescent="0.15"/>
    <row r="1390" s="120" customFormat="1" x14ac:dyDescent="0.15"/>
    <row r="1391" s="120" customFormat="1" x14ac:dyDescent="0.15"/>
    <row r="1392" s="120" customFormat="1" x14ac:dyDescent="0.15"/>
    <row r="1393" s="120" customFormat="1" x14ac:dyDescent="0.15"/>
    <row r="1394" s="120" customFormat="1" x14ac:dyDescent="0.15"/>
    <row r="1395" s="120" customFormat="1" x14ac:dyDescent="0.15"/>
    <row r="1396" s="120" customFormat="1" x14ac:dyDescent="0.15"/>
    <row r="1397" s="120" customFormat="1" x14ac:dyDescent="0.15"/>
    <row r="1398" s="120" customFormat="1" x14ac:dyDescent="0.15"/>
    <row r="1399" s="120" customFormat="1" x14ac:dyDescent="0.15"/>
    <row r="1400" s="120" customFormat="1" x14ac:dyDescent="0.15"/>
    <row r="1401" s="120" customFormat="1" x14ac:dyDescent="0.15"/>
    <row r="1402" s="120" customFormat="1" x14ac:dyDescent="0.15"/>
    <row r="1403" s="120" customFormat="1" x14ac:dyDescent="0.15"/>
    <row r="1404" s="120" customFormat="1" x14ac:dyDescent="0.15"/>
    <row r="1405" s="120" customFormat="1" x14ac:dyDescent="0.15"/>
    <row r="1406" s="120" customFormat="1" x14ac:dyDescent="0.15"/>
    <row r="1407" s="120" customFormat="1" x14ac:dyDescent="0.15"/>
    <row r="1408" s="120" customFormat="1" x14ac:dyDescent="0.15"/>
    <row r="1409" s="120" customFormat="1" x14ac:dyDescent="0.15"/>
    <row r="1410" s="120" customFormat="1" x14ac:dyDescent="0.15"/>
    <row r="1411" s="120" customFormat="1" x14ac:dyDescent="0.15"/>
    <row r="1412" s="120" customFormat="1" x14ac:dyDescent="0.15"/>
    <row r="1413" s="120" customFormat="1" x14ac:dyDescent="0.15"/>
    <row r="1414" s="120" customFormat="1" x14ac:dyDescent="0.15"/>
    <row r="1415" s="120" customFormat="1" x14ac:dyDescent="0.15"/>
    <row r="1416" s="120" customFormat="1" x14ac:dyDescent="0.15"/>
    <row r="1417" s="120" customFormat="1" x14ac:dyDescent="0.15"/>
    <row r="1418" s="120" customFormat="1" x14ac:dyDescent="0.15"/>
    <row r="1419" s="120" customFormat="1" x14ac:dyDescent="0.15"/>
    <row r="1420" s="120" customFormat="1" x14ac:dyDescent="0.15"/>
    <row r="1421" s="120" customFormat="1" x14ac:dyDescent="0.15"/>
    <row r="1422" s="120" customFormat="1" x14ac:dyDescent="0.15"/>
    <row r="1423" s="120" customFormat="1" x14ac:dyDescent="0.15"/>
    <row r="1424" s="120" customFormat="1" x14ac:dyDescent="0.15"/>
    <row r="1425" s="120" customFormat="1" x14ac:dyDescent="0.15"/>
    <row r="1426" s="120" customFormat="1" x14ac:dyDescent="0.15"/>
    <row r="1427" s="120" customFormat="1" x14ac:dyDescent="0.15"/>
    <row r="1428" s="120" customFormat="1" x14ac:dyDescent="0.15"/>
    <row r="1429" s="120" customFormat="1" x14ac:dyDescent="0.15"/>
    <row r="1430" s="120" customFormat="1" x14ac:dyDescent="0.15"/>
    <row r="1431" s="120" customFormat="1" x14ac:dyDescent="0.15"/>
    <row r="1432" s="120" customFormat="1" x14ac:dyDescent="0.15"/>
    <row r="1433" s="120" customFormat="1" x14ac:dyDescent="0.15"/>
    <row r="1434" s="120" customFormat="1" x14ac:dyDescent="0.15"/>
    <row r="1435" s="120" customFormat="1" x14ac:dyDescent="0.15"/>
    <row r="1436" s="120" customFormat="1" x14ac:dyDescent="0.15"/>
    <row r="1437" s="120" customFormat="1" x14ac:dyDescent="0.15"/>
    <row r="1438" s="120" customFormat="1" x14ac:dyDescent="0.15"/>
    <row r="1439" s="120" customFormat="1" x14ac:dyDescent="0.15"/>
    <row r="1440" s="120" customFormat="1" x14ac:dyDescent="0.15"/>
    <row r="1441" s="120" customFormat="1" x14ac:dyDescent="0.15"/>
    <row r="1442" s="120" customFormat="1" x14ac:dyDescent="0.15"/>
    <row r="1443" s="120" customFormat="1" x14ac:dyDescent="0.15"/>
    <row r="1444" s="120" customFormat="1" x14ac:dyDescent="0.15"/>
    <row r="1445" s="120" customFormat="1" x14ac:dyDescent="0.15"/>
    <row r="1446" s="120" customFormat="1" x14ac:dyDescent="0.15"/>
    <row r="1447" s="120" customFormat="1" x14ac:dyDescent="0.15"/>
    <row r="1448" s="120" customFormat="1" x14ac:dyDescent="0.15"/>
    <row r="1449" s="120" customFormat="1" x14ac:dyDescent="0.15"/>
    <row r="1450" s="120" customFormat="1" x14ac:dyDescent="0.15"/>
    <row r="1451" s="120" customFormat="1" x14ac:dyDescent="0.15"/>
    <row r="1452" s="120" customFormat="1" x14ac:dyDescent="0.15"/>
    <row r="1453" s="120" customFormat="1" x14ac:dyDescent="0.15"/>
    <row r="1454" s="120" customFormat="1" x14ac:dyDescent="0.15"/>
    <row r="1455" s="120" customFormat="1" x14ac:dyDescent="0.15"/>
    <row r="1456" s="120" customFormat="1" x14ac:dyDescent="0.15"/>
    <row r="1457" s="120" customFormat="1" x14ac:dyDescent="0.15"/>
    <row r="1458" s="120" customFormat="1" x14ac:dyDescent="0.15"/>
    <row r="1459" s="120" customFormat="1" x14ac:dyDescent="0.15"/>
    <row r="1460" s="120" customFormat="1" x14ac:dyDescent="0.15"/>
    <row r="1461" s="120" customFormat="1" x14ac:dyDescent="0.15"/>
    <row r="1462" s="120" customFormat="1" x14ac:dyDescent="0.15"/>
    <row r="1463" s="120" customFormat="1" x14ac:dyDescent="0.15"/>
    <row r="1464" s="120" customFormat="1" x14ac:dyDescent="0.15"/>
    <row r="1465" s="120" customFormat="1" x14ac:dyDescent="0.15"/>
    <row r="1466" s="120" customFormat="1" x14ac:dyDescent="0.15"/>
    <row r="1467" s="120" customFormat="1" x14ac:dyDescent="0.15"/>
    <row r="1468" s="120" customFormat="1" x14ac:dyDescent="0.15"/>
    <row r="1469" s="120" customFormat="1" x14ac:dyDescent="0.15"/>
    <row r="1470" s="120" customFormat="1" x14ac:dyDescent="0.15"/>
    <row r="1471" s="120" customFormat="1" x14ac:dyDescent="0.15"/>
    <row r="1472" s="120" customFormat="1" x14ac:dyDescent="0.15"/>
    <row r="1473" s="120" customFormat="1" x14ac:dyDescent="0.15"/>
    <row r="1474" s="120" customFormat="1" x14ac:dyDescent="0.15"/>
    <row r="1475" s="120" customFormat="1" x14ac:dyDescent="0.15"/>
    <row r="1476" s="120" customFormat="1" x14ac:dyDescent="0.15"/>
    <row r="1477" s="120" customFormat="1" x14ac:dyDescent="0.15"/>
    <row r="1478" s="120" customFormat="1" x14ac:dyDescent="0.15"/>
    <row r="1479" s="120" customFormat="1" x14ac:dyDescent="0.15"/>
    <row r="1480" s="120" customFormat="1" x14ac:dyDescent="0.15"/>
    <row r="1481" s="120" customFormat="1" x14ac:dyDescent="0.15"/>
    <row r="1482" s="120" customFormat="1" x14ac:dyDescent="0.15"/>
    <row r="1483" s="120" customFormat="1" x14ac:dyDescent="0.15"/>
    <row r="1484" s="120" customFormat="1" x14ac:dyDescent="0.15"/>
    <row r="1485" s="120" customFormat="1" x14ac:dyDescent="0.15"/>
    <row r="1486" s="120" customFormat="1" x14ac:dyDescent="0.15"/>
    <row r="1487" s="120" customFormat="1" x14ac:dyDescent="0.15"/>
    <row r="1488" s="120" customFormat="1" x14ac:dyDescent="0.15"/>
    <row r="1489" s="120" customFormat="1" x14ac:dyDescent="0.15"/>
    <row r="1490" s="120" customFormat="1" x14ac:dyDescent="0.15"/>
    <row r="1491" s="120" customFormat="1" x14ac:dyDescent="0.15"/>
    <row r="1492" s="120" customFormat="1" x14ac:dyDescent="0.15"/>
    <row r="1493" s="120" customFormat="1" x14ac:dyDescent="0.15"/>
    <row r="1494" s="120" customFormat="1" x14ac:dyDescent="0.15"/>
    <row r="1495" s="120" customFormat="1" x14ac:dyDescent="0.15"/>
    <row r="1496" s="120" customFormat="1" x14ac:dyDescent="0.15"/>
    <row r="1497" s="120" customFormat="1" x14ac:dyDescent="0.15"/>
    <row r="1498" s="120" customFormat="1" x14ac:dyDescent="0.15"/>
    <row r="1499" s="120" customFormat="1" x14ac:dyDescent="0.15"/>
    <row r="1500" s="120" customFormat="1" x14ac:dyDescent="0.15"/>
    <row r="1501" s="120" customFormat="1" x14ac:dyDescent="0.15"/>
    <row r="1502" s="120" customFormat="1" x14ac:dyDescent="0.15"/>
    <row r="1503" s="120" customFormat="1" x14ac:dyDescent="0.15"/>
    <row r="1504" s="120" customFormat="1" x14ac:dyDescent="0.15"/>
    <row r="1505" s="120" customFormat="1" x14ac:dyDescent="0.15"/>
    <row r="1506" s="120" customFormat="1" x14ac:dyDescent="0.15"/>
    <row r="1507" s="120" customFormat="1" x14ac:dyDescent="0.15"/>
    <row r="1508" s="120" customFormat="1" x14ac:dyDescent="0.15"/>
    <row r="1509" s="120" customFormat="1" x14ac:dyDescent="0.15"/>
    <row r="1510" s="120" customFormat="1" x14ac:dyDescent="0.15"/>
    <row r="1511" s="120" customFormat="1" x14ac:dyDescent="0.15"/>
    <row r="1512" s="120" customFormat="1" x14ac:dyDescent="0.15"/>
    <row r="1513" s="120" customFormat="1" x14ac:dyDescent="0.15"/>
    <row r="1514" s="120" customFormat="1" x14ac:dyDescent="0.15"/>
    <row r="1515" s="120" customFormat="1" x14ac:dyDescent="0.15"/>
    <row r="1516" s="120" customFormat="1" x14ac:dyDescent="0.15"/>
    <row r="1517" s="120" customFormat="1" x14ac:dyDescent="0.15"/>
    <row r="1518" s="120" customFormat="1" x14ac:dyDescent="0.15"/>
    <row r="1519" s="120" customFormat="1" x14ac:dyDescent="0.15"/>
    <row r="1520" s="120" customFormat="1" x14ac:dyDescent="0.15"/>
    <row r="1521" s="120" customFormat="1" x14ac:dyDescent="0.15"/>
    <row r="1522" s="120" customFormat="1" x14ac:dyDescent="0.15"/>
    <row r="1523" s="120" customFormat="1" x14ac:dyDescent="0.15"/>
    <row r="1524" s="120" customFormat="1" x14ac:dyDescent="0.15"/>
    <row r="1525" s="120" customFormat="1" x14ac:dyDescent="0.15"/>
    <row r="1526" s="120" customFormat="1" x14ac:dyDescent="0.15"/>
    <row r="1527" s="120" customFormat="1" x14ac:dyDescent="0.15"/>
    <row r="1528" s="120" customFormat="1" x14ac:dyDescent="0.15"/>
    <row r="1529" s="120" customFormat="1" x14ac:dyDescent="0.15"/>
    <row r="1530" s="120" customFormat="1" x14ac:dyDescent="0.15"/>
    <row r="1531" s="120" customFormat="1" x14ac:dyDescent="0.15"/>
    <row r="1532" s="120" customFormat="1" x14ac:dyDescent="0.15"/>
    <row r="1533" s="120" customFormat="1" x14ac:dyDescent="0.15"/>
    <row r="1534" s="120" customFormat="1" x14ac:dyDescent="0.15"/>
    <row r="1535" s="120" customFormat="1" x14ac:dyDescent="0.15"/>
    <row r="1536" s="120" customFormat="1" x14ac:dyDescent="0.15"/>
    <row r="1537" s="120" customFormat="1" x14ac:dyDescent="0.15"/>
    <row r="1538" s="120" customFormat="1" x14ac:dyDescent="0.15"/>
    <row r="1539" s="120" customFormat="1" x14ac:dyDescent="0.15"/>
    <row r="1540" s="120" customFormat="1" x14ac:dyDescent="0.15"/>
    <row r="1541" s="120" customFormat="1" x14ac:dyDescent="0.15"/>
    <row r="1542" s="120" customFormat="1" x14ac:dyDescent="0.15"/>
    <row r="1543" s="120" customFormat="1" x14ac:dyDescent="0.15"/>
    <row r="1544" s="120" customFormat="1" x14ac:dyDescent="0.15"/>
    <row r="1545" s="120" customFormat="1" x14ac:dyDescent="0.15"/>
    <row r="1546" s="120" customFormat="1" x14ac:dyDescent="0.15"/>
    <row r="1547" s="120" customFormat="1" x14ac:dyDescent="0.15"/>
    <row r="1548" s="120" customFormat="1" x14ac:dyDescent="0.15"/>
    <row r="1549" s="120" customFormat="1" x14ac:dyDescent="0.15"/>
    <row r="1550" s="120" customFormat="1" x14ac:dyDescent="0.15"/>
    <row r="1551" s="120" customFormat="1" x14ac:dyDescent="0.15"/>
    <row r="1552" s="120" customFormat="1" x14ac:dyDescent="0.15"/>
    <row r="1553" s="120" customFormat="1" x14ac:dyDescent="0.15"/>
    <row r="1554" s="120" customFormat="1" x14ac:dyDescent="0.15"/>
    <row r="1555" s="120" customFormat="1" x14ac:dyDescent="0.15"/>
    <row r="1556" s="120" customFormat="1" x14ac:dyDescent="0.15"/>
    <row r="1557" s="120" customFormat="1" x14ac:dyDescent="0.15"/>
    <row r="1558" s="120" customFormat="1" x14ac:dyDescent="0.15"/>
    <row r="1559" s="120" customFormat="1" x14ac:dyDescent="0.15"/>
    <row r="1560" s="120" customFormat="1" x14ac:dyDescent="0.15"/>
    <row r="1561" s="120" customFormat="1" x14ac:dyDescent="0.15"/>
    <row r="1562" s="120" customFormat="1" x14ac:dyDescent="0.15"/>
    <row r="1563" s="120" customFormat="1" x14ac:dyDescent="0.15"/>
    <row r="1564" s="120" customFormat="1" x14ac:dyDescent="0.15"/>
    <row r="1565" s="120" customFormat="1" x14ac:dyDescent="0.15"/>
    <row r="1566" s="120" customFormat="1" x14ac:dyDescent="0.15"/>
    <row r="1567" s="120" customFormat="1" x14ac:dyDescent="0.15"/>
    <row r="1568" s="120" customFormat="1" x14ac:dyDescent="0.15"/>
    <row r="1569" s="120" customFormat="1" x14ac:dyDescent="0.15"/>
    <row r="1570" s="120" customFormat="1" x14ac:dyDescent="0.15"/>
    <row r="1571" s="120" customFormat="1" x14ac:dyDescent="0.15"/>
    <row r="1572" s="120" customFormat="1" x14ac:dyDescent="0.15"/>
    <row r="1573" s="120" customFormat="1" x14ac:dyDescent="0.15"/>
    <row r="1574" s="120" customFormat="1" x14ac:dyDescent="0.15"/>
    <row r="1575" s="120" customFormat="1" x14ac:dyDescent="0.15"/>
    <row r="1576" s="120" customFormat="1" x14ac:dyDescent="0.15"/>
    <row r="1577" s="120" customFormat="1" x14ac:dyDescent="0.15"/>
    <row r="1578" s="120" customFormat="1" x14ac:dyDescent="0.15"/>
    <row r="1579" s="120" customFormat="1" x14ac:dyDescent="0.15"/>
    <row r="1580" s="120" customFormat="1" x14ac:dyDescent="0.15"/>
    <row r="1581" s="120" customFormat="1" x14ac:dyDescent="0.15"/>
    <row r="1582" s="120" customFormat="1" x14ac:dyDescent="0.15"/>
    <row r="1583" s="120" customFormat="1" x14ac:dyDescent="0.15"/>
    <row r="1584" s="120" customFormat="1" x14ac:dyDescent="0.15"/>
    <row r="1585" s="120" customFormat="1" x14ac:dyDescent="0.15"/>
    <row r="1586" s="120" customFormat="1" x14ac:dyDescent="0.15"/>
    <row r="1587" s="120" customFormat="1" x14ac:dyDescent="0.15"/>
    <row r="1588" s="120" customFormat="1" x14ac:dyDescent="0.15"/>
    <row r="1589" s="120" customFormat="1" x14ac:dyDescent="0.15"/>
    <row r="1590" s="120" customFormat="1" x14ac:dyDescent="0.15"/>
    <row r="1591" s="120" customFormat="1" x14ac:dyDescent="0.15"/>
    <row r="1592" s="120" customFormat="1" x14ac:dyDescent="0.15"/>
    <row r="1593" s="120" customFormat="1" x14ac:dyDescent="0.15"/>
    <row r="1594" s="120" customFormat="1" x14ac:dyDescent="0.15"/>
    <row r="1595" s="120" customFormat="1" x14ac:dyDescent="0.15"/>
    <row r="1596" s="120" customFormat="1" x14ac:dyDescent="0.15"/>
    <row r="1597" s="120" customFormat="1" x14ac:dyDescent="0.15"/>
    <row r="1598" s="120" customFormat="1" x14ac:dyDescent="0.15"/>
    <row r="1599" s="120" customFormat="1" x14ac:dyDescent="0.15"/>
    <row r="1600" s="120" customFormat="1" x14ac:dyDescent="0.15"/>
    <row r="1601" s="120" customFormat="1" x14ac:dyDescent="0.15"/>
    <row r="1602" s="120" customFormat="1" x14ac:dyDescent="0.15"/>
    <row r="1603" s="120" customFormat="1" x14ac:dyDescent="0.15"/>
    <row r="1604" s="120" customFormat="1" x14ac:dyDescent="0.15"/>
    <row r="1605" s="120" customFormat="1" x14ac:dyDescent="0.15"/>
    <row r="1606" s="120" customFormat="1" x14ac:dyDescent="0.15"/>
    <row r="1607" s="120" customFormat="1" x14ac:dyDescent="0.15"/>
    <row r="1608" s="120" customFormat="1" x14ac:dyDescent="0.15"/>
    <row r="1609" s="120" customFormat="1" x14ac:dyDescent="0.15"/>
    <row r="1610" s="120" customFormat="1" x14ac:dyDescent="0.15"/>
    <row r="1611" s="120" customFormat="1" x14ac:dyDescent="0.15"/>
    <row r="1612" s="120" customFormat="1" x14ac:dyDescent="0.15"/>
    <row r="1613" s="120" customFormat="1" x14ac:dyDescent="0.15"/>
    <row r="1614" s="120" customFormat="1" x14ac:dyDescent="0.15"/>
    <row r="1615" s="120" customFormat="1" x14ac:dyDescent="0.15"/>
    <row r="1616" s="120" customFormat="1" x14ac:dyDescent="0.15"/>
    <row r="1617" s="120" customFormat="1" x14ac:dyDescent="0.15"/>
    <row r="1618" s="120" customFormat="1" x14ac:dyDescent="0.15"/>
    <row r="1619" s="120" customFormat="1" x14ac:dyDescent="0.15"/>
    <row r="1620" s="120" customFormat="1" x14ac:dyDescent="0.15"/>
    <row r="1621" s="120" customFormat="1" x14ac:dyDescent="0.15"/>
    <row r="1622" s="120" customFormat="1" x14ac:dyDescent="0.15"/>
    <row r="1623" s="120" customFormat="1" x14ac:dyDescent="0.15"/>
    <row r="1624" s="120" customFormat="1" x14ac:dyDescent="0.15"/>
    <row r="1625" s="120" customFormat="1" x14ac:dyDescent="0.15"/>
    <row r="1626" s="120" customFormat="1" x14ac:dyDescent="0.15"/>
    <row r="1627" s="120" customFormat="1" x14ac:dyDescent="0.15"/>
    <row r="1628" s="120" customFormat="1" x14ac:dyDescent="0.15"/>
    <row r="1629" s="120" customFormat="1" x14ac:dyDescent="0.15"/>
    <row r="1630" s="120" customFormat="1" x14ac:dyDescent="0.15"/>
    <row r="1631" s="120" customFormat="1" x14ac:dyDescent="0.15"/>
    <row r="1632" s="120" customFormat="1" x14ac:dyDescent="0.15"/>
    <row r="1633" s="120" customFormat="1" x14ac:dyDescent="0.15"/>
    <row r="1634" s="120" customFormat="1" x14ac:dyDescent="0.15"/>
    <row r="1635" s="120" customFormat="1" x14ac:dyDescent="0.15"/>
    <row r="1636" s="120" customFormat="1" x14ac:dyDescent="0.15"/>
    <row r="1637" s="120" customFormat="1" x14ac:dyDescent="0.15"/>
    <row r="1638" s="120" customFormat="1" x14ac:dyDescent="0.15"/>
    <row r="1639" s="120" customFormat="1" x14ac:dyDescent="0.15"/>
    <row r="1640" s="120" customFormat="1" x14ac:dyDescent="0.15"/>
    <row r="1641" s="120" customFormat="1" x14ac:dyDescent="0.15"/>
    <row r="1642" s="120" customFormat="1" x14ac:dyDescent="0.15"/>
    <row r="1643" s="120" customFormat="1" x14ac:dyDescent="0.15"/>
    <row r="1644" s="120" customFormat="1" x14ac:dyDescent="0.15"/>
    <row r="1645" s="120" customFormat="1" x14ac:dyDescent="0.15"/>
    <row r="1646" s="120" customFormat="1" x14ac:dyDescent="0.15"/>
    <row r="1647" s="120" customFormat="1" x14ac:dyDescent="0.15"/>
    <row r="1648" s="120" customFormat="1" x14ac:dyDescent="0.15"/>
    <row r="1649" s="120" customFormat="1" x14ac:dyDescent="0.15"/>
    <row r="1650" s="120" customFormat="1" x14ac:dyDescent="0.15"/>
    <row r="1651" s="120" customFormat="1" x14ac:dyDescent="0.15"/>
    <row r="1652" s="120" customFormat="1" x14ac:dyDescent="0.15"/>
    <row r="1653" s="120" customFormat="1" x14ac:dyDescent="0.15"/>
    <row r="1654" s="120" customFormat="1" x14ac:dyDescent="0.15"/>
    <row r="1655" s="120" customFormat="1" x14ac:dyDescent="0.15"/>
    <row r="1656" s="120" customFormat="1" x14ac:dyDescent="0.15"/>
    <row r="1657" s="120" customFormat="1" x14ac:dyDescent="0.15"/>
    <row r="1658" s="120" customFormat="1" x14ac:dyDescent="0.15"/>
    <row r="1659" s="120" customFormat="1" x14ac:dyDescent="0.15"/>
    <row r="1660" s="120" customFormat="1" x14ac:dyDescent="0.15"/>
    <row r="1661" s="120" customFormat="1" x14ac:dyDescent="0.15"/>
    <row r="1662" s="120" customFormat="1" x14ac:dyDescent="0.15"/>
    <row r="1663" s="120" customFormat="1" x14ac:dyDescent="0.15"/>
    <row r="1664" s="120" customFormat="1" x14ac:dyDescent="0.15"/>
    <row r="1665" s="120" customFormat="1" x14ac:dyDescent="0.15"/>
    <row r="1666" s="120" customFormat="1" x14ac:dyDescent="0.15"/>
    <row r="1667" s="120" customFormat="1" x14ac:dyDescent="0.15"/>
    <row r="1668" s="120" customFormat="1" x14ac:dyDescent="0.15"/>
    <row r="1669" s="120" customFormat="1" x14ac:dyDescent="0.15"/>
    <row r="1670" s="120" customFormat="1" x14ac:dyDescent="0.15"/>
    <row r="1671" s="120" customFormat="1" x14ac:dyDescent="0.15"/>
    <row r="1672" s="120" customFormat="1" x14ac:dyDescent="0.15"/>
    <row r="1673" s="120" customFormat="1" x14ac:dyDescent="0.15"/>
    <row r="1674" s="120" customFormat="1" x14ac:dyDescent="0.15"/>
    <row r="1675" s="120" customFormat="1" x14ac:dyDescent="0.15"/>
    <row r="1676" s="120" customFormat="1" x14ac:dyDescent="0.15"/>
    <row r="1677" s="120" customFormat="1" x14ac:dyDescent="0.15"/>
    <row r="1678" s="120" customFormat="1" x14ac:dyDescent="0.15"/>
    <row r="1679" s="120" customFormat="1" x14ac:dyDescent="0.15"/>
    <row r="1680" s="120" customFormat="1" x14ac:dyDescent="0.15"/>
    <row r="1681" s="120" customFormat="1" x14ac:dyDescent="0.15"/>
    <row r="1682" s="120" customFormat="1" x14ac:dyDescent="0.15"/>
    <row r="1683" s="120" customFormat="1" x14ac:dyDescent="0.15"/>
    <row r="1684" s="120" customFormat="1" x14ac:dyDescent="0.15"/>
    <row r="1685" s="120" customFormat="1" x14ac:dyDescent="0.15"/>
    <row r="1686" s="120" customFormat="1" x14ac:dyDescent="0.15"/>
    <row r="1687" s="120" customFormat="1" x14ac:dyDescent="0.15"/>
    <row r="1688" s="120" customFormat="1" x14ac:dyDescent="0.15"/>
    <row r="1689" s="120" customFormat="1" x14ac:dyDescent="0.15"/>
    <row r="1690" s="120" customFormat="1" x14ac:dyDescent="0.15"/>
    <row r="1691" s="120" customFormat="1" x14ac:dyDescent="0.15"/>
    <row r="1692" s="120" customFormat="1" x14ac:dyDescent="0.15"/>
    <row r="1693" s="120" customFormat="1" x14ac:dyDescent="0.15"/>
    <row r="1694" s="120" customFormat="1" x14ac:dyDescent="0.15"/>
    <row r="1695" s="120" customFormat="1" x14ac:dyDescent="0.15"/>
    <row r="1696" s="120" customFormat="1" x14ac:dyDescent="0.15"/>
    <row r="1697" s="120" customFormat="1" x14ac:dyDescent="0.15"/>
    <row r="1698" s="120" customFormat="1" x14ac:dyDescent="0.15"/>
    <row r="1699" s="120" customFormat="1" x14ac:dyDescent="0.15"/>
    <row r="1700" s="120" customFormat="1" x14ac:dyDescent="0.15"/>
    <row r="1701" s="120" customFormat="1" x14ac:dyDescent="0.15"/>
    <row r="1702" s="120" customFormat="1" x14ac:dyDescent="0.15"/>
    <row r="1703" s="120" customFormat="1" x14ac:dyDescent="0.15"/>
    <row r="1704" s="120" customFormat="1" x14ac:dyDescent="0.15"/>
    <row r="1705" s="120" customFormat="1" x14ac:dyDescent="0.15"/>
    <row r="1706" s="120" customFormat="1" x14ac:dyDescent="0.15"/>
    <row r="1707" s="120" customFormat="1" x14ac:dyDescent="0.15"/>
    <row r="1708" s="120" customFormat="1" x14ac:dyDescent="0.15"/>
    <row r="1709" s="120" customFormat="1" x14ac:dyDescent="0.15"/>
    <row r="1710" s="120" customFormat="1" x14ac:dyDescent="0.15"/>
    <row r="1711" s="120" customFormat="1" x14ac:dyDescent="0.15"/>
    <row r="1712" s="120" customFormat="1" x14ac:dyDescent="0.15"/>
    <row r="1713" s="120" customFormat="1" x14ac:dyDescent="0.15"/>
    <row r="1714" s="120" customFormat="1" x14ac:dyDescent="0.15"/>
    <row r="1715" s="120" customFormat="1" x14ac:dyDescent="0.15"/>
    <row r="1716" s="120" customFormat="1" x14ac:dyDescent="0.15"/>
    <row r="1717" s="120" customFormat="1" x14ac:dyDescent="0.15"/>
    <row r="1718" s="120" customFormat="1" x14ac:dyDescent="0.15"/>
    <row r="1719" s="120" customFormat="1" x14ac:dyDescent="0.15"/>
    <row r="1720" s="120" customFormat="1" x14ac:dyDescent="0.15"/>
    <row r="1721" s="120" customFormat="1" x14ac:dyDescent="0.15"/>
    <row r="1722" s="120" customFormat="1" x14ac:dyDescent="0.15"/>
    <row r="1723" s="120" customFormat="1" x14ac:dyDescent="0.15"/>
    <row r="1724" s="120" customFormat="1" x14ac:dyDescent="0.15"/>
    <row r="1725" s="120" customFormat="1" x14ac:dyDescent="0.15"/>
    <row r="1726" s="120" customFormat="1" x14ac:dyDescent="0.15"/>
    <row r="1727" s="120" customFormat="1" x14ac:dyDescent="0.15"/>
    <row r="1728" s="120" customFormat="1" x14ac:dyDescent="0.15"/>
    <row r="1729" s="120" customFormat="1" x14ac:dyDescent="0.15"/>
    <row r="1730" s="120" customFormat="1" x14ac:dyDescent="0.15"/>
    <row r="1731" s="120" customFormat="1" x14ac:dyDescent="0.15"/>
    <row r="1732" s="120" customFormat="1" x14ac:dyDescent="0.15"/>
    <row r="1733" s="120" customFormat="1" x14ac:dyDescent="0.15"/>
    <row r="1734" s="120" customFormat="1" x14ac:dyDescent="0.15"/>
    <row r="1735" s="120" customFormat="1" x14ac:dyDescent="0.15"/>
    <row r="1736" s="120" customFormat="1" x14ac:dyDescent="0.15"/>
    <row r="1737" s="120" customFormat="1" x14ac:dyDescent="0.15"/>
    <row r="1738" s="120" customFormat="1" x14ac:dyDescent="0.15"/>
    <row r="1739" s="120" customFormat="1" x14ac:dyDescent="0.15"/>
    <row r="1740" s="120" customFormat="1" x14ac:dyDescent="0.15"/>
    <row r="1741" s="120" customFormat="1" x14ac:dyDescent="0.15"/>
    <row r="1742" s="120" customFormat="1" x14ac:dyDescent="0.15"/>
    <row r="1743" s="120" customFormat="1" x14ac:dyDescent="0.15"/>
    <row r="1744" s="120" customFormat="1" x14ac:dyDescent="0.15"/>
    <row r="1745" s="120" customFormat="1" x14ac:dyDescent="0.15"/>
    <row r="1746" s="120" customFormat="1" x14ac:dyDescent="0.15"/>
    <row r="1747" s="120" customFormat="1" x14ac:dyDescent="0.15"/>
    <row r="1748" s="120" customFormat="1" x14ac:dyDescent="0.15"/>
    <row r="1749" s="120" customFormat="1" x14ac:dyDescent="0.15"/>
    <row r="1750" s="120" customFormat="1" x14ac:dyDescent="0.15"/>
    <row r="1751" s="120" customFormat="1" x14ac:dyDescent="0.15"/>
    <row r="1752" s="120" customFormat="1" x14ac:dyDescent="0.15"/>
    <row r="1753" s="120" customFormat="1" x14ac:dyDescent="0.15"/>
    <row r="1754" s="120" customFormat="1" x14ac:dyDescent="0.15"/>
    <row r="1755" s="120" customFormat="1" x14ac:dyDescent="0.15"/>
    <row r="1756" s="120" customFormat="1" x14ac:dyDescent="0.15"/>
    <row r="1757" s="120" customFormat="1" x14ac:dyDescent="0.15"/>
    <row r="1758" s="120" customFormat="1" x14ac:dyDescent="0.15"/>
    <row r="1759" s="120" customFormat="1" x14ac:dyDescent="0.15"/>
    <row r="1760" s="120" customFormat="1" x14ac:dyDescent="0.15"/>
    <row r="1761" s="120" customFormat="1" x14ac:dyDescent="0.15"/>
    <row r="1762" s="120" customFormat="1" x14ac:dyDescent="0.15"/>
    <row r="1763" s="120" customFormat="1" x14ac:dyDescent="0.15"/>
    <row r="1764" s="120" customFormat="1" x14ac:dyDescent="0.15"/>
    <row r="1765" s="120" customFormat="1" x14ac:dyDescent="0.15"/>
    <row r="1766" s="120" customFormat="1" x14ac:dyDescent="0.15"/>
    <row r="1767" s="120" customFormat="1" x14ac:dyDescent="0.15"/>
    <row r="1768" s="120" customFormat="1" x14ac:dyDescent="0.15"/>
    <row r="1769" s="120" customFormat="1" x14ac:dyDescent="0.15"/>
    <row r="1770" s="120" customFormat="1" x14ac:dyDescent="0.15"/>
    <row r="1771" s="120" customFormat="1" x14ac:dyDescent="0.15"/>
    <row r="1772" s="120" customFormat="1" x14ac:dyDescent="0.15"/>
    <row r="1773" s="120" customFormat="1" x14ac:dyDescent="0.15"/>
    <row r="1774" s="120" customFormat="1" x14ac:dyDescent="0.15"/>
    <row r="1775" s="120" customFormat="1" x14ac:dyDescent="0.15"/>
    <row r="1776" s="120" customFormat="1" x14ac:dyDescent="0.15"/>
    <row r="1777" s="120" customFormat="1" x14ac:dyDescent="0.15"/>
    <row r="1778" s="120" customFormat="1" x14ac:dyDescent="0.15"/>
    <row r="1779" s="120" customFormat="1" x14ac:dyDescent="0.15"/>
    <row r="1780" s="120" customFormat="1" x14ac:dyDescent="0.15"/>
    <row r="1781" s="120" customFormat="1" x14ac:dyDescent="0.15"/>
    <row r="1782" s="120" customFormat="1" x14ac:dyDescent="0.15"/>
    <row r="1783" s="120" customFormat="1" x14ac:dyDescent="0.15"/>
    <row r="1784" s="120" customFormat="1" x14ac:dyDescent="0.15"/>
    <row r="1785" s="120" customFormat="1" x14ac:dyDescent="0.15"/>
    <row r="1786" s="120" customFormat="1" x14ac:dyDescent="0.15"/>
    <row r="1787" s="120" customFormat="1" x14ac:dyDescent="0.15"/>
    <row r="1788" s="120" customFormat="1" x14ac:dyDescent="0.15"/>
    <row r="1789" s="120" customFormat="1" x14ac:dyDescent="0.15"/>
    <row r="1790" s="120" customFormat="1" x14ac:dyDescent="0.15"/>
    <row r="1791" s="120" customFormat="1" x14ac:dyDescent="0.15"/>
    <row r="1792" s="120" customFormat="1" x14ac:dyDescent="0.15"/>
    <row r="1793" s="120" customFormat="1" x14ac:dyDescent="0.15"/>
    <row r="1794" s="120" customFormat="1" x14ac:dyDescent="0.15"/>
    <row r="1795" s="120" customFormat="1" x14ac:dyDescent="0.15"/>
    <row r="1796" s="120" customFormat="1" x14ac:dyDescent="0.15"/>
    <row r="1797" s="120" customFormat="1" x14ac:dyDescent="0.15"/>
    <row r="1798" s="120" customFormat="1" x14ac:dyDescent="0.15"/>
    <row r="1799" s="120" customFormat="1" x14ac:dyDescent="0.15"/>
    <row r="1800" s="120" customFormat="1" x14ac:dyDescent="0.15"/>
    <row r="1801" s="120" customFormat="1" x14ac:dyDescent="0.15"/>
    <row r="1802" s="120" customFormat="1" x14ac:dyDescent="0.15"/>
    <row r="1803" s="120" customFormat="1" x14ac:dyDescent="0.15"/>
    <row r="1804" s="120" customFormat="1" x14ac:dyDescent="0.15"/>
    <row r="1805" s="120" customFormat="1" x14ac:dyDescent="0.15"/>
    <row r="1806" s="120" customFormat="1" x14ac:dyDescent="0.15"/>
    <row r="1807" s="120" customFormat="1" x14ac:dyDescent="0.15"/>
    <row r="1808" s="120" customFormat="1" x14ac:dyDescent="0.15"/>
    <row r="1809" s="120" customFormat="1" x14ac:dyDescent="0.15"/>
    <row r="1810" s="120" customFormat="1" x14ac:dyDescent="0.15"/>
    <row r="1811" s="120" customFormat="1" x14ac:dyDescent="0.15"/>
    <row r="1812" s="120" customFormat="1" x14ac:dyDescent="0.15"/>
    <row r="1813" s="120" customFormat="1" x14ac:dyDescent="0.15"/>
    <row r="1814" s="120" customFormat="1" x14ac:dyDescent="0.15"/>
    <row r="1815" s="120" customFormat="1" x14ac:dyDescent="0.15"/>
    <row r="1816" s="120" customFormat="1" x14ac:dyDescent="0.15"/>
    <row r="1817" s="120" customFormat="1" x14ac:dyDescent="0.15"/>
    <row r="1818" s="120" customFormat="1" x14ac:dyDescent="0.15"/>
    <row r="1819" s="120" customFormat="1" x14ac:dyDescent="0.15"/>
    <row r="1820" s="120" customFormat="1" x14ac:dyDescent="0.15"/>
    <row r="1821" s="120" customFormat="1" x14ac:dyDescent="0.15"/>
    <row r="1822" s="120" customFormat="1" x14ac:dyDescent="0.15"/>
    <row r="1823" s="120" customFormat="1" x14ac:dyDescent="0.15"/>
    <row r="1824" s="120" customFormat="1" x14ac:dyDescent="0.15"/>
    <row r="1825" s="120" customFormat="1" x14ac:dyDescent="0.15"/>
    <row r="1826" s="120" customFormat="1" x14ac:dyDescent="0.15"/>
    <row r="1827" s="120" customFormat="1" x14ac:dyDescent="0.15"/>
    <row r="1828" s="120" customFormat="1" x14ac:dyDescent="0.15"/>
    <row r="1829" s="120" customFormat="1" x14ac:dyDescent="0.15"/>
    <row r="1830" s="120" customFormat="1" x14ac:dyDescent="0.15"/>
    <row r="1831" s="120" customFormat="1" x14ac:dyDescent="0.15"/>
    <row r="1832" s="120" customFormat="1" x14ac:dyDescent="0.15"/>
    <row r="1833" s="120" customFormat="1" x14ac:dyDescent="0.15"/>
    <row r="1834" s="120" customFormat="1" x14ac:dyDescent="0.15"/>
    <row r="1835" s="120" customFormat="1" x14ac:dyDescent="0.15"/>
    <row r="1836" s="120" customFormat="1" x14ac:dyDescent="0.15"/>
    <row r="1837" s="120" customFormat="1" x14ac:dyDescent="0.15"/>
    <row r="1838" s="120" customFormat="1" x14ac:dyDescent="0.15"/>
    <row r="1839" s="120" customFormat="1" x14ac:dyDescent="0.15"/>
    <row r="1840" s="120" customFormat="1" x14ac:dyDescent="0.15"/>
    <row r="1841" s="120" customFormat="1" x14ac:dyDescent="0.15"/>
    <row r="1842" s="120" customFormat="1" x14ac:dyDescent="0.15"/>
    <row r="1843" s="120" customFormat="1" x14ac:dyDescent="0.15"/>
    <row r="1844" s="120" customFormat="1" x14ac:dyDescent="0.15"/>
    <row r="1845" s="120" customFormat="1" x14ac:dyDescent="0.15"/>
    <row r="1846" s="120" customFormat="1" x14ac:dyDescent="0.15"/>
    <row r="1847" s="120" customFormat="1" x14ac:dyDescent="0.15"/>
    <row r="1848" s="120" customFormat="1" x14ac:dyDescent="0.15"/>
    <row r="1849" s="120" customFormat="1" x14ac:dyDescent="0.15"/>
    <row r="1850" s="120" customFormat="1" x14ac:dyDescent="0.15"/>
    <row r="1851" s="120" customFormat="1" x14ac:dyDescent="0.15"/>
    <row r="1852" s="120" customFormat="1" x14ac:dyDescent="0.15"/>
    <row r="1853" s="120" customFormat="1" x14ac:dyDescent="0.15"/>
    <row r="1854" s="120" customFormat="1" x14ac:dyDescent="0.15"/>
    <row r="1855" s="120" customFormat="1" x14ac:dyDescent="0.15"/>
    <row r="1856" s="120" customFormat="1" x14ac:dyDescent="0.15"/>
    <row r="1857" s="120" customFormat="1" x14ac:dyDescent="0.15"/>
    <row r="1858" s="120" customFormat="1" x14ac:dyDescent="0.15"/>
    <row r="1859" s="120" customFormat="1" x14ac:dyDescent="0.15"/>
    <row r="1860" s="120" customFormat="1" x14ac:dyDescent="0.15"/>
    <row r="1861" s="120" customFormat="1" x14ac:dyDescent="0.15"/>
    <row r="1862" s="120" customFormat="1" x14ac:dyDescent="0.15"/>
    <row r="1863" s="120" customFormat="1" x14ac:dyDescent="0.15"/>
    <row r="1864" s="120" customFormat="1" x14ac:dyDescent="0.15"/>
    <row r="1865" s="120" customFormat="1" x14ac:dyDescent="0.15"/>
    <row r="1866" s="120" customFormat="1" x14ac:dyDescent="0.15"/>
    <row r="1867" s="120" customFormat="1" x14ac:dyDescent="0.15"/>
    <row r="1868" s="120" customFormat="1" x14ac:dyDescent="0.15"/>
    <row r="1869" s="120" customFormat="1" x14ac:dyDescent="0.15"/>
    <row r="1870" s="120" customFormat="1" x14ac:dyDescent="0.15"/>
    <row r="1871" s="120" customFormat="1" x14ac:dyDescent="0.15"/>
    <row r="1872" s="120" customFormat="1" x14ac:dyDescent="0.15"/>
    <row r="1873" s="120" customFormat="1" x14ac:dyDescent="0.15"/>
    <row r="1874" s="120" customFormat="1" x14ac:dyDescent="0.15"/>
    <row r="1875" s="120" customFormat="1" x14ac:dyDescent="0.15"/>
    <row r="1876" s="120" customFormat="1" x14ac:dyDescent="0.15"/>
    <row r="1877" s="120" customFormat="1" x14ac:dyDescent="0.15"/>
    <row r="1878" s="120" customFormat="1" x14ac:dyDescent="0.15"/>
    <row r="1879" s="120" customFormat="1" x14ac:dyDescent="0.15"/>
    <row r="1880" s="120" customFormat="1" x14ac:dyDescent="0.15"/>
    <row r="1881" s="120" customFormat="1" x14ac:dyDescent="0.15"/>
    <row r="1882" s="120" customFormat="1" x14ac:dyDescent="0.15"/>
    <row r="1883" s="120" customFormat="1" x14ac:dyDescent="0.15"/>
    <row r="1884" s="120" customFormat="1" x14ac:dyDescent="0.15"/>
    <row r="1885" s="120" customFormat="1" x14ac:dyDescent="0.15"/>
    <row r="1886" s="120" customFormat="1" x14ac:dyDescent="0.15"/>
    <row r="1887" s="120" customFormat="1" x14ac:dyDescent="0.15"/>
    <row r="1888" s="120" customFormat="1" x14ac:dyDescent="0.15"/>
    <row r="1889" s="120" customFormat="1" x14ac:dyDescent="0.15"/>
    <row r="1890" s="120" customFormat="1" x14ac:dyDescent="0.15"/>
    <row r="1891" s="120" customFormat="1" x14ac:dyDescent="0.15"/>
    <row r="1892" s="120" customFormat="1" x14ac:dyDescent="0.15"/>
    <row r="1893" s="120" customFormat="1" x14ac:dyDescent="0.15"/>
    <row r="1894" s="120" customFormat="1" x14ac:dyDescent="0.15"/>
    <row r="1895" s="120" customFormat="1" x14ac:dyDescent="0.15"/>
    <row r="1896" s="120" customFormat="1" x14ac:dyDescent="0.15"/>
    <row r="1897" s="120" customFormat="1" x14ac:dyDescent="0.15"/>
    <row r="1898" s="120" customFormat="1" x14ac:dyDescent="0.15"/>
    <row r="1899" s="120" customFormat="1" x14ac:dyDescent="0.15"/>
    <row r="1900" s="120" customFormat="1" x14ac:dyDescent="0.15"/>
    <row r="1901" s="120" customFormat="1" x14ac:dyDescent="0.15"/>
    <row r="1902" s="120" customFormat="1" x14ac:dyDescent="0.15"/>
    <row r="1903" s="120" customFormat="1" x14ac:dyDescent="0.15"/>
    <row r="1904" s="120" customFormat="1" x14ac:dyDescent="0.15"/>
    <row r="1905" s="120" customFormat="1" x14ac:dyDescent="0.15"/>
    <row r="1906" s="120" customFormat="1" x14ac:dyDescent="0.15"/>
    <row r="1907" s="120" customFormat="1" x14ac:dyDescent="0.15"/>
    <row r="1908" s="120" customFormat="1" x14ac:dyDescent="0.15"/>
    <row r="1909" s="120" customFormat="1" x14ac:dyDescent="0.15"/>
    <row r="1910" s="120" customFormat="1" x14ac:dyDescent="0.15"/>
    <row r="1911" s="120" customFormat="1" x14ac:dyDescent="0.15"/>
    <row r="1912" s="120" customFormat="1" x14ac:dyDescent="0.15"/>
    <row r="1913" s="120" customFormat="1" x14ac:dyDescent="0.15"/>
    <row r="1914" s="120" customFormat="1" x14ac:dyDescent="0.15"/>
    <row r="1915" s="120" customFormat="1" x14ac:dyDescent="0.15"/>
    <row r="1916" s="120" customFormat="1" x14ac:dyDescent="0.15"/>
    <row r="1917" s="120" customFormat="1" x14ac:dyDescent="0.15"/>
    <row r="1918" s="120" customFormat="1" x14ac:dyDescent="0.15"/>
    <row r="1919" s="120" customFormat="1" x14ac:dyDescent="0.15"/>
    <row r="1920" s="120" customFormat="1" x14ac:dyDescent="0.15"/>
    <row r="1921" s="120" customFormat="1" x14ac:dyDescent="0.15"/>
    <row r="1922" s="120" customFormat="1" x14ac:dyDescent="0.15"/>
    <row r="1923" s="120" customFormat="1" x14ac:dyDescent="0.15"/>
    <row r="1924" s="120" customFormat="1" x14ac:dyDescent="0.15"/>
    <row r="1925" s="120" customFormat="1" x14ac:dyDescent="0.15"/>
    <row r="1926" s="120" customFormat="1" x14ac:dyDescent="0.15"/>
    <row r="1927" s="120" customFormat="1" x14ac:dyDescent="0.15"/>
    <row r="1928" s="120" customFormat="1" x14ac:dyDescent="0.15"/>
    <row r="1929" s="120" customFormat="1" x14ac:dyDescent="0.15"/>
    <row r="1930" s="120" customFormat="1" x14ac:dyDescent="0.15"/>
    <row r="1931" s="120" customFormat="1" x14ac:dyDescent="0.15"/>
    <row r="1932" s="120" customFormat="1" x14ac:dyDescent="0.15"/>
    <row r="1933" s="120" customFormat="1" x14ac:dyDescent="0.15"/>
    <row r="1934" s="120" customFormat="1" x14ac:dyDescent="0.15"/>
    <row r="1935" s="120" customFormat="1" x14ac:dyDescent="0.15"/>
    <row r="1936" s="120" customFormat="1" x14ac:dyDescent="0.15"/>
    <row r="1937" s="120" customFormat="1" x14ac:dyDescent="0.15"/>
    <row r="1938" s="120" customFormat="1" x14ac:dyDescent="0.15"/>
    <row r="1939" s="120" customFormat="1" x14ac:dyDescent="0.15"/>
    <row r="1940" s="120" customFormat="1" x14ac:dyDescent="0.15"/>
    <row r="1941" s="120" customFormat="1" x14ac:dyDescent="0.15"/>
    <row r="1942" s="120" customFormat="1" x14ac:dyDescent="0.15"/>
    <row r="1943" s="120" customFormat="1" x14ac:dyDescent="0.15"/>
    <row r="1944" s="120" customFormat="1" x14ac:dyDescent="0.15"/>
    <row r="1945" s="120" customFormat="1" x14ac:dyDescent="0.15"/>
    <row r="1946" s="120" customFormat="1" x14ac:dyDescent="0.15"/>
    <row r="1947" s="120" customFormat="1" x14ac:dyDescent="0.15"/>
    <row r="1948" s="120" customFormat="1" x14ac:dyDescent="0.15"/>
    <row r="1949" s="120" customFormat="1" x14ac:dyDescent="0.15"/>
    <row r="1950" s="120" customFormat="1" x14ac:dyDescent="0.15"/>
    <row r="1951" s="120" customFormat="1" x14ac:dyDescent="0.15"/>
    <row r="1952" s="120" customFormat="1" x14ac:dyDescent="0.15"/>
    <row r="1953" s="120" customFormat="1" x14ac:dyDescent="0.15"/>
    <row r="1954" s="120" customFormat="1" x14ac:dyDescent="0.15"/>
    <row r="1955" s="120" customFormat="1" x14ac:dyDescent="0.15"/>
    <row r="1956" s="120" customFormat="1" x14ac:dyDescent="0.15"/>
    <row r="1957" s="120" customFormat="1" x14ac:dyDescent="0.15"/>
    <row r="1958" s="120" customFormat="1" x14ac:dyDescent="0.15"/>
    <row r="1959" s="120" customFormat="1" x14ac:dyDescent="0.15"/>
    <row r="1960" s="120" customFormat="1" x14ac:dyDescent="0.15"/>
    <row r="1961" s="120" customFormat="1" x14ac:dyDescent="0.15"/>
    <row r="1962" s="120" customFormat="1" x14ac:dyDescent="0.15"/>
    <row r="1963" s="120" customFormat="1" x14ac:dyDescent="0.15"/>
    <row r="1964" s="120" customFormat="1" x14ac:dyDescent="0.15"/>
    <row r="1965" s="120" customFormat="1" x14ac:dyDescent="0.15"/>
    <row r="1966" s="120" customFormat="1" x14ac:dyDescent="0.15"/>
    <row r="1967" s="120" customFormat="1" x14ac:dyDescent="0.15"/>
    <row r="1968" s="120" customFormat="1" x14ac:dyDescent="0.15"/>
    <row r="1969" s="120" customFormat="1" x14ac:dyDescent="0.15"/>
    <row r="1970" s="120" customFormat="1" x14ac:dyDescent="0.15"/>
    <row r="1971" s="120" customFormat="1" x14ac:dyDescent="0.15"/>
    <row r="1972" s="120" customFormat="1" x14ac:dyDescent="0.15"/>
    <row r="1973" s="120" customFormat="1" x14ac:dyDescent="0.15"/>
    <row r="1974" s="120" customFormat="1" x14ac:dyDescent="0.15"/>
    <row r="1975" s="120" customFormat="1" x14ac:dyDescent="0.15"/>
    <row r="1976" s="120" customFormat="1" x14ac:dyDescent="0.15"/>
    <row r="1977" s="120" customFormat="1" x14ac:dyDescent="0.15"/>
    <row r="1978" s="120" customFormat="1" x14ac:dyDescent="0.15"/>
    <row r="1979" s="120" customFormat="1" x14ac:dyDescent="0.15"/>
    <row r="1980" s="120" customFormat="1" x14ac:dyDescent="0.15"/>
    <row r="1981" s="120" customFormat="1" x14ac:dyDescent="0.15"/>
    <row r="1982" s="120" customFormat="1" x14ac:dyDescent="0.15"/>
    <row r="1983" s="120" customFormat="1" x14ac:dyDescent="0.15"/>
    <row r="1984" s="120" customFormat="1" x14ac:dyDescent="0.15"/>
    <row r="1985" s="120" customFormat="1" x14ac:dyDescent="0.15"/>
    <row r="1986" s="120" customFormat="1" x14ac:dyDescent="0.15"/>
    <row r="1987" s="120" customFormat="1" x14ac:dyDescent="0.15"/>
    <row r="1988" s="120" customFormat="1" x14ac:dyDescent="0.15"/>
    <row r="1989" s="120" customFormat="1" x14ac:dyDescent="0.15"/>
    <row r="1990" s="120" customFormat="1" x14ac:dyDescent="0.15"/>
    <row r="1991" s="120" customFormat="1" x14ac:dyDescent="0.15"/>
    <row r="1992" s="120" customFormat="1" x14ac:dyDescent="0.15"/>
    <row r="1993" s="120" customFormat="1" x14ac:dyDescent="0.15"/>
    <row r="1994" s="120" customFormat="1" x14ac:dyDescent="0.15"/>
    <row r="1995" s="120" customFormat="1" x14ac:dyDescent="0.15"/>
    <row r="1996" s="120" customFormat="1" x14ac:dyDescent="0.15"/>
    <row r="1997" s="120" customFormat="1" x14ac:dyDescent="0.15"/>
    <row r="1998" s="120" customFormat="1" x14ac:dyDescent="0.15"/>
    <row r="1999" s="120" customFormat="1" x14ac:dyDescent="0.15"/>
    <row r="2000" s="120" customFormat="1" x14ac:dyDescent="0.15"/>
    <row r="2001" s="120" customFormat="1" x14ac:dyDescent="0.15"/>
    <row r="2002" s="120" customFormat="1" x14ac:dyDescent="0.15"/>
    <row r="2003" s="120" customFormat="1" x14ac:dyDescent="0.15"/>
    <row r="2004" s="120" customFormat="1" x14ac:dyDescent="0.15"/>
    <row r="2005" s="120" customFormat="1" x14ac:dyDescent="0.15"/>
    <row r="2006" s="120" customFormat="1" x14ac:dyDescent="0.15"/>
    <row r="2007" s="120" customFormat="1" x14ac:dyDescent="0.15"/>
    <row r="2008" s="120" customFormat="1" x14ac:dyDescent="0.15"/>
    <row r="2009" s="120" customFormat="1" x14ac:dyDescent="0.15"/>
    <row r="2010" s="120" customFormat="1" x14ac:dyDescent="0.15"/>
    <row r="2011" s="120" customFormat="1" x14ac:dyDescent="0.15"/>
    <row r="2012" s="120" customFormat="1" x14ac:dyDescent="0.15"/>
    <row r="2013" s="120" customFormat="1" x14ac:dyDescent="0.15"/>
    <row r="2014" s="120" customFormat="1" x14ac:dyDescent="0.15"/>
    <row r="2015" s="120" customFormat="1" x14ac:dyDescent="0.15"/>
    <row r="2016" s="120" customFormat="1" x14ac:dyDescent="0.15"/>
    <row r="2017" s="120" customFormat="1" x14ac:dyDescent="0.15"/>
    <row r="2018" s="120" customFormat="1" x14ac:dyDescent="0.15"/>
    <row r="2019" s="120" customFormat="1" x14ac:dyDescent="0.15"/>
    <row r="2020" s="120" customFormat="1" x14ac:dyDescent="0.15"/>
    <row r="2021" s="120" customFormat="1" x14ac:dyDescent="0.15"/>
    <row r="2022" s="120" customFormat="1" x14ac:dyDescent="0.15"/>
    <row r="2023" s="120" customFormat="1" x14ac:dyDescent="0.15"/>
    <row r="2024" s="120" customFormat="1" x14ac:dyDescent="0.15"/>
    <row r="2025" s="120" customFormat="1" x14ac:dyDescent="0.15"/>
    <row r="2026" s="120" customFormat="1" x14ac:dyDescent="0.15"/>
    <row r="2027" s="120" customFormat="1" x14ac:dyDescent="0.15"/>
    <row r="2028" s="120" customFormat="1" x14ac:dyDescent="0.15"/>
    <row r="2029" s="120" customFormat="1" x14ac:dyDescent="0.15"/>
    <row r="2030" s="120" customFormat="1" x14ac:dyDescent="0.15"/>
    <row r="2031" s="120" customFormat="1" x14ac:dyDescent="0.15"/>
    <row r="2032" s="120" customFormat="1" x14ac:dyDescent="0.15"/>
    <row r="2033" s="120" customFormat="1" x14ac:dyDescent="0.15"/>
    <row r="2034" s="120" customFormat="1" x14ac:dyDescent="0.15"/>
    <row r="2035" s="120" customFormat="1" x14ac:dyDescent="0.15"/>
    <row r="2036" s="120" customFormat="1" x14ac:dyDescent="0.15"/>
    <row r="2037" s="120" customFormat="1" x14ac:dyDescent="0.15"/>
    <row r="2038" s="120" customFormat="1" x14ac:dyDescent="0.15"/>
    <row r="2039" s="120" customFormat="1" x14ac:dyDescent="0.15"/>
    <row r="2040" s="120" customFormat="1" x14ac:dyDescent="0.15"/>
    <row r="2041" s="120" customFormat="1" x14ac:dyDescent="0.15"/>
    <row r="2042" s="120" customFormat="1" x14ac:dyDescent="0.15"/>
    <row r="2043" s="120" customFormat="1" x14ac:dyDescent="0.15"/>
    <row r="2044" s="120" customFormat="1" x14ac:dyDescent="0.15"/>
    <row r="2045" s="120" customFormat="1" x14ac:dyDescent="0.15"/>
    <row r="2046" s="120" customFormat="1" x14ac:dyDescent="0.15"/>
    <row r="2047" s="120" customFormat="1" x14ac:dyDescent="0.15"/>
    <row r="2048" s="120" customFormat="1" x14ac:dyDescent="0.15"/>
    <row r="2049" s="120" customFormat="1" x14ac:dyDescent="0.15"/>
    <row r="2050" s="120" customFormat="1" x14ac:dyDescent="0.15"/>
    <row r="2051" s="120" customFormat="1" x14ac:dyDescent="0.15"/>
    <row r="2052" s="120" customFormat="1" x14ac:dyDescent="0.15"/>
    <row r="2053" s="120" customFormat="1" x14ac:dyDescent="0.15"/>
    <row r="2054" s="120" customFormat="1" x14ac:dyDescent="0.15"/>
    <row r="2055" s="120" customFormat="1" x14ac:dyDescent="0.15"/>
    <row r="2056" s="120" customFormat="1" x14ac:dyDescent="0.15"/>
    <row r="2057" s="120" customFormat="1" x14ac:dyDescent="0.15"/>
    <row r="2058" s="120" customFormat="1" x14ac:dyDescent="0.15"/>
    <row r="2059" s="120" customFormat="1" x14ac:dyDescent="0.15"/>
    <row r="2060" s="120" customFormat="1" x14ac:dyDescent="0.15"/>
    <row r="2061" s="120" customFormat="1" x14ac:dyDescent="0.15"/>
    <row r="2062" s="120" customFormat="1" x14ac:dyDescent="0.15"/>
    <row r="2063" s="120" customFormat="1" x14ac:dyDescent="0.15"/>
    <row r="2064" s="120" customFormat="1" x14ac:dyDescent="0.15"/>
    <row r="2065" s="120" customFormat="1" x14ac:dyDescent="0.15"/>
    <row r="2066" s="120" customFormat="1" x14ac:dyDescent="0.15"/>
    <row r="2067" s="120" customFormat="1" x14ac:dyDescent="0.15"/>
    <row r="2068" s="120" customFormat="1" x14ac:dyDescent="0.15"/>
    <row r="2069" s="120" customFormat="1" x14ac:dyDescent="0.15"/>
    <row r="2070" s="120" customFormat="1" x14ac:dyDescent="0.15"/>
    <row r="2071" s="120" customFormat="1" x14ac:dyDescent="0.15"/>
    <row r="2072" s="120" customFormat="1" x14ac:dyDescent="0.15"/>
    <row r="2073" s="120" customFormat="1" x14ac:dyDescent="0.15"/>
    <row r="2074" s="120" customFormat="1" x14ac:dyDescent="0.15"/>
    <row r="2075" s="120" customFormat="1" x14ac:dyDescent="0.15"/>
    <row r="2076" s="120" customFormat="1" x14ac:dyDescent="0.15"/>
    <row r="2077" s="120" customFormat="1" x14ac:dyDescent="0.15"/>
    <row r="2078" s="120" customFormat="1" x14ac:dyDescent="0.15"/>
    <row r="2079" s="120" customFormat="1" x14ac:dyDescent="0.15"/>
    <row r="2080" s="120" customFormat="1" x14ac:dyDescent="0.15"/>
    <row r="2081" s="120" customFormat="1" x14ac:dyDescent="0.15"/>
    <row r="2082" s="120" customFormat="1" x14ac:dyDescent="0.15"/>
    <row r="2083" s="120" customFormat="1" x14ac:dyDescent="0.15"/>
    <row r="2084" s="120" customFormat="1" x14ac:dyDescent="0.15"/>
    <row r="2085" s="120" customFormat="1" x14ac:dyDescent="0.15"/>
    <row r="2086" s="120" customFormat="1" x14ac:dyDescent="0.15"/>
    <row r="2087" s="120" customFormat="1" x14ac:dyDescent="0.15"/>
    <row r="2088" s="120" customFormat="1" x14ac:dyDescent="0.15"/>
    <row r="2089" s="120" customFormat="1" x14ac:dyDescent="0.15"/>
    <row r="2090" s="120" customFormat="1" x14ac:dyDescent="0.15"/>
    <row r="2091" s="120" customFormat="1" x14ac:dyDescent="0.15"/>
    <row r="2092" s="120" customFormat="1" x14ac:dyDescent="0.15"/>
    <row r="2093" s="120" customFormat="1" x14ac:dyDescent="0.15"/>
    <row r="2094" s="120" customFormat="1" x14ac:dyDescent="0.15"/>
    <row r="2095" s="120" customFormat="1" x14ac:dyDescent="0.15"/>
    <row r="2096" s="120" customFormat="1" x14ac:dyDescent="0.15"/>
    <row r="2097" s="120" customFormat="1" x14ac:dyDescent="0.15"/>
    <row r="2098" s="120" customFormat="1" x14ac:dyDescent="0.15"/>
    <row r="2099" s="120" customFormat="1" x14ac:dyDescent="0.15"/>
    <row r="2100" s="120" customFormat="1" x14ac:dyDescent="0.15"/>
    <row r="2101" s="120" customFormat="1" x14ac:dyDescent="0.15"/>
    <row r="2102" s="120" customFormat="1" x14ac:dyDescent="0.15"/>
    <row r="2103" s="120" customFormat="1" x14ac:dyDescent="0.15"/>
    <row r="2104" s="120" customFormat="1" x14ac:dyDescent="0.15"/>
    <row r="2105" s="120" customFormat="1" x14ac:dyDescent="0.15"/>
    <row r="2106" s="120" customFormat="1" x14ac:dyDescent="0.15"/>
    <row r="2107" s="120" customFormat="1" x14ac:dyDescent="0.15"/>
    <row r="2108" s="120" customFormat="1" x14ac:dyDescent="0.15"/>
    <row r="2109" s="120" customFormat="1" x14ac:dyDescent="0.15"/>
    <row r="2110" s="120" customFormat="1" x14ac:dyDescent="0.15"/>
    <row r="2111" s="120" customFormat="1" x14ac:dyDescent="0.15"/>
    <row r="2112" s="120" customFormat="1" x14ac:dyDescent="0.15"/>
    <row r="2113" s="120" customFormat="1" x14ac:dyDescent="0.15"/>
    <row r="2114" s="120" customFormat="1" x14ac:dyDescent="0.15"/>
    <row r="2115" s="120" customFormat="1" x14ac:dyDescent="0.15"/>
    <row r="2116" s="120" customFormat="1" x14ac:dyDescent="0.15"/>
    <row r="2117" s="120" customFormat="1" x14ac:dyDescent="0.15"/>
    <row r="2118" s="120" customFormat="1" x14ac:dyDescent="0.15"/>
    <row r="2119" s="120" customFormat="1" x14ac:dyDescent="0.15"/>
    <row r="2120" s="120" customFormat="1" x14ac:dyDescent="0.15"/>
    <row r="2121" s="120" customFormat="1" x14ac:dyDescent="0.15"/>
    <row r="2122" s="120" customFormat="1" x14ac:dyDescent="0.15"/>
    <row r="2123" s="120" customFormat="1" x14ac:dyDescent="0.15"/>
    <row r="2124" s="120" customFormat="1" x14ac:dyDescent="0.15"/>
    <row r="2125" s="120" customFormat="1" x14ac:dyDescent="0.15"/>
    <row r="2126" s="120" customFormat="1" x14ac:dyDescent="0.15"/>
    <row r="2127" s="120" customFormat="1" x14ac:dyDescent="0.15"/>
    <row r="2128" s="120" customFormat="1" x14ac:dyDescent="0.15"/>
    <row r="2129" s="120" customFormat="1" x14ac:dyDescent="0.15"/>
    <row r="2130" s="120" customFormat="1" x14ac:dyDescent="0.15"/>
    <row r="2131" s="120" customFormat="1" x14ac:dyDescent="0.15"/>
    <row r="2132" s="120" customFormat="1" x14ac:dyDescent="0.15"/>
    <row r="2133" s="120" customFormat="1" x14ac:dyDescent="0.15"/>
    <row r="2134" s="120" customFormat="1" x14ac:dyDescent="0.15"/>
    <row r="2135" s="120" customFormat="1" x14ac:dyDescent="0.15"/>
    <row r="2136" s="120" customFormat="1" x14ac:dyDescent="0.15"/>
    <row r="2137" s="120" customFormat="1" x14ac:dyDescent="0.15"/>
    <row r="2138" s="120" customFormat="1" x14ac:dyDescent="0.15"/>
    <row r="2139" s="120" customFormat="1" x14ac:dyDescent="0.15"/>
    <row r="2140" s="120" customFormat="1" x14ac:dyDescent="0.15"/>
    <row r="2141" s="120" customFormat="1" x14ac:dyDescent="0.15"/>
    <row r="2142" s="120" customFormat="1" x14ac:dyDescent="0.15"/>
    <row r="2143" s="120" customFormat="1" x14ac:dyDescent="0.15"/>
    <row r="2144" s="120" customFormat="1" x14ac:dyDescent="0.15"/>
    <row r="2145" s="120" customFormat="1" x14ac:dyDescent="0.15"/>
    <row r="2146" s="120" customFormat="1" x14ac:dyDescent="0.15"/>
    <row r="2147" s="120" customFormat="1" x14ac:dyDescent="0.15"/>
    <row r="2148" s="120" customFormat="1" x14ac:dyDescent="0.15"/>
    <row r="2149" s="120" customFormat="1" x14ac:dyDescent="0.15"/>
    <row r="2150" s="120" customFormat="1" x14ac:dyDescent="0.15"/>
    <row r="2151" s="120" customFormat="1" x14ac:dyDescent="0.15"/>
    <row r="2152" s="120" customFormat="1" x14ac:dyDescent="0.15"/>
    <row r="2153" s="120" customFormat="1" x14ac:dyDescent="0.15"/>
    <row r="2154" s="120" customFormat="1" x14ac:dyDescent="0.15"/>
    <row r="2155" s="120" customFormat="1" x14ac:dyDescent="0.15"/>
    <row r="2156" s="120" customFormat="1" x14ac:dyDescent="0.15"/>
    <row r="2157" s="120" customFormat="1" x14ac:dyDescent="0.15"/>
    <row r="2158" s="120" customFormat="1" x14ac:dyDescent="0.15"/>
    <row r="2159" s="120" customFormat="1" x14ac:dyDescent="0.15"/>
    <row r="2160" s="120" customFormat="1" x14ac:dyDescent="0.15"/>
    <row r="2161" s="120" customFormat="1" x14ac:dyDescent="0.15"/>
    <row r="2162" s="120" customFormat="1" x14ac:dyDescent="0.15"/>
    <row r="2163" s="120" customFormat="1" x14ac:dyDescent="0.15"/>
    <row r="2164" s="120" customFormat="1" x14ac:dyDescent="0.15"/>
    <row r="2165" s="120" customFormat="1" x14ac:dyDescent="0.15"/>
    <row r="2166" s="120" customFormat="1" x14ac:dyDescent="0.15"/>
    <row r="2167" s="120" customFormat="1" x14ac:dyDescent="0.15"/>
    <row r="2168" s="120" customFormat="1" x14ac:dyDescent="0.15"/>
    <row r="2169" s="120" customFormat="1" x14ac:dyDescent="0.15"/>
    <row r="2170" s="120" customFormat="1" x14ac:dyDescent="0.15"/>
    <row r="2171" s="120" customFormat="1" x14ac:dyDescent="0.15"/>
    <row r="2172" s="120" customFormat="1" x14ac:dyDescent="0.15"/>
    <row r="2173" s="120" customFormat="1" x14ac:dyDescent="0.15"/>
    <row r="2174" s="120" customFormat="1" x14ac:dyDescent="0.15"/>
    <row r="2175" s="120" customFormat="1" x14ac:dyDescent="0.15"/>
    <row r="2176" s="120" customFormat="1" x14ac:dyDescent="0.15"/>
    <row r="2177" s="120" customFormat="1" x14ac:dyDescent="0.15"/>
    <row r="2178" s="120" customFormat="1" x14ac:dyDescent="0.15"/>
    <row r="2179" s="120" customFormat="1" x14ac:dyDescent="0.15"/>
    <row r="2180" s="120" customFormat="1" x14ac:dyDescent="0.15"/>
    <row r="2181" s="120" customFormat="1" x14ac:dyDescent="0.15"/>
    <row r="2182" s="120" customFormat="1" x14ac:dyDescent="0.15"/>
    <row r="2183" s="120" customFormat="1" x14ac:dyDescent="0.15"/>
    <row r="2184" s="120" customFormat="1" x14ac:dyDescent="0.15"/>
    <row r="2185" s="120" customFormat="1" x14ac:dyDescent="0.15"/>
    <row r="2186" s="120" customFormat="1" x14ac:dyDescent="0.15"/>
    <row r="2187" s="120" customFormat="1" x14ac:dyDescent="0.15"/>
    <row r="2188" s="120" customFormat="1" x14ac:dyDescent="0.15"/>
    <row r="2189" s="120" customFormat="1" x14ac:dyDescent="0.15"/>
    <row r="2190" s="120" customFormat="1" x14ac:dyDescent="0.15"/>
    <row r="2191" s="120" customFormat="1" x14ac:dyDescent="0.15"/>
    <row r="2192" s="120" customFormat="1" x14ac:dyDescent="0.15"/>
    <row r="2193" s="120" customFormat="1" x14ac:dyDescent="0.15"/>
    <row r="2194" s="120" customFormat="1" x14ac:dyDescent="0.15"/>
    <row r="2195" s="120" customFormat="1" x14ac:dyDescent="0.15"/>
    <row r="2196" s="120" customFormat="1" x14ac:dyDescent="0.15"/>
    <row r="2197" s="120" customFormat="1" x14ac:dyDescent="0.15"/>
    <row r="2198" s="120" customFormat="1" x14ac:dyDescent="0.15"/>
    <row r="2199" s="120" customFormat="1" x14ac:dyDescent="0.15"/>
    <row r="2200" s="120" customFormat="1" x14ac:dyDescent="0.15"/>
    <row r="2201" s="120" customFormat="1" x14ac:dyDescent="0.15"/>
    <row r="2202" s="120" customFormat="1" x14ac:dyDescent="0.15"/>
    <row r="2203" s="120" customFormat="1" x14ac:dyDescent="0.15"/>
    <row r="2204" s="120" customFormat="1" x14ac:dyDescent="0.15"/>
    <row r="2205" s="120" customFormat="1" x14ac:dyDescent="0.15"/>
    <row r="2206" s="120" customFormat="1" x14ac:dyDescent="0.15"/>
    <row r="2207" s="120" customFormat="1" x14ac:dyDescent="0.15"/>
    <row r="2208" s="120" customFormat="1" x14ac:dyDescent="0.15"/>
    <row r="2209" s="120" customFormat="1" x14ac:dyDescent="0.15"/>
    <row r="2210" s="120" customFormat="1" x14ac:dyDescent="0.15"/>
    <row r="2211" s="120" customFormat="1" x14ac:dyDescent="0.15"/>
    <row r="2212" s="120" customFormat="1" x14ac:dyDescent="0.15"/>
    <row r="2213" s="120" customFormat="1" x14ac:dyDescent="0.15"/>
    <row r="2214" s="120" customFormat="1" x14ac:dyDescent="0.15"/>
    <row r="2215" s="120" customFormat="1" x14ac:dyDescent="0.15"/>
    <row r="2216" s="120" customFormat="1" x14ac:dyDescent="0.15"/>
    <row r="2217" s="120" customFormat="1" x14ac:dyDescent="0.15"/>
    <row r="2218" s="120" customFormat="1" x14ac:dyDescent="0.15"/>
    <row r="2219" s="120" customFormat="1" x14ac:dyDescent="0.15"/>
    <row r="2220" s="120" customFormat="1" x14ac:dyDescent="0.15"/>
    <row r="2221" s="120" customFormat="1" x14ac:dyDescent="0.15"/>
    <row r="2222" s="120" customFormat="1" x14ac:dyDescent="0.15"/>
    <row r="2223" s="120" customFormat="1" x14ac:dyDescent="0.15"/>
    <row r="2224" s="120" customFormat="1" x14ac:dyDescent="0.15"/>
    <row r="2225" s="120" customFormat="1" x14ac:dyDescent="0.15"/>
    <row r="2226" s="120" customFormat="1" x14ac:dyDescent="0.15"/>
    <row r="2227" s="120" customFormat="1" x14ac:dyDescent="0.15"/>
    <row r="2228" s="120" customFormat="1" x14ac:dyDescent="0.15"/>
    <row r="2229" s="120" customFormat="1" x14ac:dyDescent="0.15"/>
    <row r="2230" s="120" customFormat="1" x14ac:dyDescent="0.15"/>
    <row r="2231" s="120" customFormat="1" x14ac:dyDescent="0.15"/>
    <row r="2232" s="120" customFormat="1" x14ac:dyDescent="0.15"/>
    <row r="2233" s="120" customFormat="1" x14ac:dyDescent="0.15"/>
    <row r="2234" s="120" customFormat="1" x14ac:dyDescent="0.15"/>
    <row r="2235" s="120" customFormat="1" x14ac:dyDescent="0.15"/>
    <row r="2236" s="120" customFormat="1" x14ac:dyDescent="0.15"/>
    <row r="2237" s="120" customFormat="1" x14ac:dyDescent="0.15"/>
    <row r="2238" s="120" customFormat="1" x14ac:dyDescent="0.15"/>
    <row r="2239" s="120" customFormat="1" x14ac:dyDescent="0.15"/>
    <row r="2240" s="120" customFormat="1" x14ac:dyDescent="0.15"/>
    <row r="2241" s="120" customFormat="1" x14ac:dyDescent="0.15"/>
    <row r="2242" s="120" customFormat="1" x14ac:dyDescent="0.15"/>
    <row r="2243" s="120" customFormat="1" x14ac:dyDescent="0.15"/>
    <row r="2244" s="120" customFormat="1" x14ac:dyDescent="0.15"/>
    <row r="2245" s="120" customFormat="1" x14ac:dyDescent="0.15"/>
    <row r="2246" s="120" customFormat="1" x14ac:dyDescent="0.15"/>
    <row r="2247" s="120" customFormat="1" x14ac:dyDescent="0.15"/>
    <row r="2248" s="120" customFormat="1" x14ac:dyDescent="0.15"/>
    <row r="2249" s="120" customFormat="1" x14ac:dyDescent="0.15"/>
    <row r="2250" s="120" customFormat="1" x14ac:dyDescent="0.15"/>
    <row r="2251" s="120" customFormat="1" x14ac:dyDescent="0.15"/>
    <row r="2252" s="120" customFormat="1" x14ac:dyDescent="0.15"/>
    <row r="2253" s="120" customFormat="1" x14ac:dyDescent="0.15"/>
    <row r="2254" s="120" customFormat="1" x14ac:dyDescent="0.15"/>
    <row r="2255" s="120" customFormat="1" x14ac:dyDescent="0.15"/>
    <row r="2256" s="120" customFormat="1" x14ac:dyDescent="0.15"/>
    <row r="2257" s="120" customFormat="1" x14ac:dyDescent="0.15"/>
    <row r="2258" s="120" customFormat="1" x14ac:dyDescent="0.15"/>
    <row r="2259" s="120" customFormat="1" x14ac:dyDescent="0.15"/>
    <row r="2260" s="120" customFormat="1" x14ac:dyDescent="0.15"/>
    <row r="2261" s="120" customFormat="1" x14ac:dyDescent="0.15"/>
    <row r="2262" s="120" customFormat="1" x14ac:dyDescent="0.15"/>
    <row r="2263" s="120" customFormat="1" x14ac:dyDescent="0.15"/>
    <row r="2264" s="120" customFormat="1" x14ac:dyDescent="0.15"/>
    <row r="2265" s="120" customFormat="1" x14ac:dyDescent="0.15"/>
    <row r="2266" s="120" customFormat="1" x14ac:dyDescent="0.15"/>
    <row r="2267" s="120" customFormat="1" x14ac:dyDescent="0.15"/>
    <row r="2268" s="120" customFormat="1" x14ac:dyDescent="0.15"/>
    <row r="2269" s="120" customFormat="1" x14ac:dyDescent="0.15"/>
    <row r="2270" s="120" customFormat="1" x14ac:dyDescent="0.15"/>
    <row r="2271" s="120" customFormat="1" x14ac:dyDescent="0.15"/>
    <row r="2272" s="120" customFormat="1" x14ac:dyDescent="0.15"/>
    <row r="2273" s="120" customFormat="1" x14ac:dyDescent="0.15"/>
    <row r="2274" s="120" customFormat="1" x14ac:dyDescent="0.15"/>
    <row r="2275" s="120" customFormat="1" x14ac:dyDescent="0.15"/>
    <row r="2276" s="120" customFormat="1" x14ac:dyDescent="0.15"/>
    <row r="2277" s="120" customFormat="1" x14ac:dyDescent="0.15"/>
    <row r="2278" s="120" customFormat="1" x14ac:dyDescent="0.15"/>
    <row r="2279" s="120" customFormat="1" x14ac:dyDescent="0.15"/>
    <row r="2280" s="120" customFormat="1" x14ac:dyDescent="0.15"/>
    <row r="2281" s="120" customFormat="1" x14ac:dyDescent="0.15"/>
    <row r="2282" s="120" customFormat="1" x14ac:dyDescent="0.15"/>
    <row r="2283" s="120" customFormat="1" x14ac:dyDescent="0.15"/>
    <row r="2284" s="120" customFormat="1" x14ac:dyDescent="0.15"/>
    <row r="2285" s="120" customFormat="1" x14ac:dyDescent="0.15"/>
    <row r="2286" s="120" customFormat="1" x14ac:dyDescent="0.15"/>
    <row r="2287" s="120" customFormat="1" x14ac:dyDescent="0.15"/>
    <row r="2288" s="120" customFormat="1" x14ac:dyDescent="0.15"/>
    <row r="2289" s="120" customFormat="1" x14ac:dyDescent="0.15"/>
    <row r="2290" s="120" customFormat="1" x14ac:dyDescent="0.15"/>
    <row r="2291" s="120" customFormat="1" x14ac:dyDescent="0.15"/>
    <row r="2292" s="120" customFormat="1" x14ac:dyDescent="0.15"/>
    <row r="2293" s="120" customFormat="1" x14ac:dyDescent="0.15"/>
    <row r="2294" s="120" customFormat="1" x14ac:dyDescent="0.15"/>
    <row r="2295" s="120" customFormat="1" x14ac:dyDescent="0.15"/>
    <row r="2296" s="120" customFormat="1" x14ac:dyDescent="0.15"/>
    <row r="2297" s="120" customFormat="1" x14ac:dyDescent="0.15"/>
    <row r="2298" s="120" customFormat="1" x14ac:dyDescent="0.15"/>
    <row r="2299" s="120" customFormat="1" x14ac:dyDescent="0.15"/>
    <row r="2300" s="120" customFormat="1" x14ac:dyDescent="0.15"/>
    <row r="2301" s="120" customFormat="1" x14ac:dyDescent="0.15"/>
    <row r="2302" s="120" customFormat="1" x14ac:dyDescent="0.15"/>
    <row r="2303" s="120" customFormat="1" x14ac:dyDescent="0.15"/>
    <row r="2304" s="120" customFormat="1" x14ac:dyDescent="0.15"/>
    <row r="2305" s="120" customFormat="1" x14ac:dyDescent="0.15"/>
    <row r="2306" s="120" customFormat="1" x14ac:dyDescent="0.15"/>
    <row r="2307" s="120" customFormat="1" x14ac:dyDescent="0.15"/>
    <row r="2308" s="120" customFormat="1" x14ac:dyDescent="0.15"/>
    <row r="2309" s="120" customFormat="1" x14ac:dyDescent="0.15"/>
    <row r="2310" s="120" customFormat="1" x14ac:dyDescent="0.15"/>
    <row r="2311" s="120" customFormat="1" x14ac:dyDescent="0.15"/>
    <row r="2312" s="120" customFormat="1" x14ac:dyDescent="0.15"/>
    <row r="2313" s="120" customFormat="1" x14ac:dyDescent="0.15"/>
    <row r="2314" s="120" customFormat="1" x14ac:dyDescent="0.15"/>
    <row r="2315" s="120" customFormat="1" x14ac:dyDescent="0.15"/>
    <row r="2316" s="120" customFormat="1" x14ac:dyDescent="0.15"/>
    <row r="2317" s="120" customFormat="1" x14ac:dyDescent="0.15"/>
    <row r="2318" s="120" customFormat="1" x14ac:dyDescent="0.15"/>
    <row r="2319" s="120" customFormat="1" x14ac:dyDescent="0.15"/>
    <row r="2320" s="120" customFormat="1" x14ac:dyDescent="0.15"/>
    <row r="2321" s="120" customFormat="1" x14ac:dyDescent="0.15"/>
    <row r="2322" s="120" customFormat="1" x14ac:dyDescent="0.15"/>
    <row r="2323" s="120" customFormat="1" x14ac:dyDescent="0.15"/>
    <row r="2324" s="120" customFormat="1" x14ac:dyDescent="0.15"/>
    <row r="2325" s="120" customFormat="1" x14ac:dyDescent="0.15"/>
    <row r="2326" s="120" customFormat="1" x14ac:dyDescent="0.15"/>
    <row r="2327" s="120" customFormat="1" x14ac:dyDescent="0.15"/>
    <row r="2328" s="120" customFormat="1" x14ac:dyDescent="0.15"/>
    <row r="2329" s="120" customFormat="1" x14ac:dyDescent="0.15"/>
    <row r="2330" s="120" customFormat="1" x14ac:dyDescent="0.15"/>
    <row r="2331" s="120" customFormat="1" x14ac:dyDescent="0.15"/>
    <row r="2332" s="120" customFormat="1" x14ac:dyDescent="0.15"/>
    <row r="2333" s="120" customFormat="1" x14ac:dyDescent="0.15"/>
    <row r="2334" s="120" customFormat="1" x14ac:dyDescent="0.15"/>
    <row r="2335" s="120" customFormat="1" x14ac:dyDescent="0.15"/>
    <row r="2336" s="120" customFormat="1" x14ac:dyDescent="0.15"/>
    <row r="2337" s="120" customFormat="1" x14ac:dyDescent="0.15"/>
    <row r="2338" s="120" customFormat="1" x14ac:dyDescent="0.15"/>
    <row r="2339" s="120" customFormat="1" x14ac:dyDescent="0.15"/>
    <row r="2340" s="120" customFormat="1" x14ac:dyDescent="0.15"/>
    <row r="2341" s="120" customFormat="1" x14ac:dyDescent="0.15"/>
    <row r="2342" s="120" customFormat="1" x14ac:dyDescent="0.15"/>
    <row r="2343" s="120" customFormat="1" x14ac:dyDescent="0.15"/>
    <row r="2344" s="120" customFormat="1" x14ac:dyDescent="0.15"/>
    <row r="2345" s="120" customFormat="1" x14ac:dyDescent="0.15"/>
    <row r="2346" s="120" customFormat="1" x14ac:dyDescent="0.15"/>
    <row r="2347" s="120" customFormat="1" x14ac:dyDescent="0.15"/>
    <row r="2348" s="120" customFormat="1" x14ac:dyDescent="0.15"/>
    <row r="2349" s="120" customFormat="1" x14ac:dyDescent="0.15"/>
    <row r="2350" s="120" customFormat="1" x14ac:dyDescent="0.15"/>
    <row r="2351" s="120" customFormat="1" x14ac:dyDescent="0.15"/>
    <row r="2352" s="120" customFormat="1" x14ac:dyDescent="0.15"/>
    <row r="2353" s="120" customFormat="1" x14ac:dyDescent="0.15"/>
    <row r="2354" s="120" customFormat="1" x14ac:dyDescent="0.15"/>
    <row r="2355" s="120" customFormat="1" x14ac:dyDescent="0.15"/>
    <row r="2356" s="120" customFormat="1" x14ac:dyDescent="0.15"/>
    <row r="2357" s="120" customFormat="1" x14ac:dyDescent="0.15"/>
    <row r="2358" s="120" customFormat="1" x14ac:dyDescent="0.15"/>
    <row r="2359" s="120" customFormat="1" x14ac:dyDescent="0.15"/>
    <row r="2360" s="120" customFormat="1" x14ac:dyDescent="0.15"/>
    <row r="2361" s="120" customFormat="1" x14ac:dyDescent="0.15"/>
    <row r="2362" s="120" customFormat="1" x14ac:dyDescent="0.15"/>
    <row r="2363" s="120" customFormat="1" x14ac:dyDescent="0.15"/>
    <row r="2364" s="120" customFormat="1" x14ac:dyDescent="0.15"/>
    <row r="2365" s="120" customFormat="1" x14ac:dyDescent="0.15"/>
    <row r="2366" s="120" customFormat="1" x14ac:dyDescent="0.15"/>
    <row r="2367" s="120" customFormat="1" x14ac:dyDescent="0.15"/>
    <row r="2368" s="120" customFormat="1" x14ac:dyDescent="0.15"/>
    <row r="2369" s="120" customFormat="1" x14ac:dyDescent="0.15"/>
    <row r="2370" s="120" customFormat="1" x14ac:dyDescent="0.15"/>
    <row r="2371" s="120" customFormat="1" x14ac:dyDescent="0.15"/>
    <row r="2372" s="120" customFormat="1" x14ac:dyDescent="0.15"/>
    <row r="2373" s="120" customFormat="1" x14ac:dyDescent="0.15"/>
    <row r="2374" s="120" customFormat="1" x14ac:dyDescent="0.15"/>
    <row r="2375" s="120" customFormat="1" x14ac:dyDescent="0.15"/>
    <row r="2376" s="120" customFormat="1" x14ac:dyDescent="0.15"/>
    <row r="2377" s="120" customFormat="1" x14ac:dyDescent="0.15"/>
    <row r="2378" s="120" customFormat="1" x14ac:dyDescent="0.15"/>
    <row r="2379" s="120" customFormat="1" x14ac:dyDescent="0.15"/>
    <row r="2380" s="120" customFormat="1" x14ac:dyDescent="0.15"/>
    <row r="2381" s="120" customFormat="1" x14ac:dyDescent="0.15"/>
    <row r="2382" s="120" customFormat="1" x14ac:dyDescent="0.15"/>
    <row r="2383" s="120" customFormat="1" x14ac:dyDescent="0.15"/>
    <row r="2384" s="120" customFormat="1" x14ac:dyDescent="0.15"/>
    <row r="2385" s="120" customFormat="1" x14ac:dyDescent="0.15"/>
    <row r="2386" s="120" customFormat="1" x14ac:dyDescent="0.15"/>
    <row r="2387" s="120" customFormat="1" x14ac:dyDescent="0.15"/>
    <row r="2388" s="120" customFormat="1" x14ac:dyDescent="0.15"/>
    <row r="2389" s="120" customFormat="1" x14ac:dyDescent="0.15"/>
    <row r="2390" s="120" customFormat="1" x14ac:dyDescent="0.15"/>
    <row r="2391" s="120" customFormat="1" x14ac:dyDescent="0.15"/>
    <row r="2392" s="120" customFormat="1" x14ac:dyDescent="0.15"/>
    <row r="2393" s="120" customFormat="1" x14ac:dyDescent="0.15"/>
    <row r="2394" s="120" customFormat="1" x14ac:dyDescent="0.15"/>
    <row r="2395" s="120" customFormat="1" x14ac:dyDescent="0.15"/>
    <row r="2396" s="120" customFormat="1" x14ac:dyDescent="0.15"/>
    <row r="2397" s="120" customFormat="1" x14ac:dyDescent="0.15"/>
    <row r="2398" s="120" customFormat="1" x14ac:dyDescent="0.15"/>
    <row r="2399" s="120" customFormat="1" x14ac:dyDescent="0.15"/>
    <row r="2400" s="120" customFormat="1" x14ac:dyDescent="0.15"/>
    <row r="2401" s="120" customFormat="1" x14ac:dyDescent="0.15"/>
    <row r="2402" s="120" customFormat="1" x14ac:dyDescent="0.15"/>
    <row r="2403" s="120" customFormat="1" x14ac:dyDescent="0.15"/>
    <row r="2404" s="120" customFormat="1" x14ac:dyDescent="0.15"/>
    <row r="2405" s="120" customFormat="1" x14ac:dyDescent="0.15"/>
    <row r="2406" s="120" customFormat="1" x14ac:dyDescent="0.15"/>
    <row r="2407" s="120" customFormat="1" x14ac:dyDescent="0.15"/>
    <row r="2408" s="120" customFormat="1" x14ac:dyDescent="0.15"/>
    <row r="2409" s="120" customFormat="1" x14ac:dyDescent="0.15"/>
    <row r="2410" s="120" customFormat="1" x14ac:dyDescent="0.15"/>
    <row r="2411" s="120" customFormat="1" x14ac:dyDescent="0.15"/>
    <row r="2412" s="120" customFormat="1" x14ac:dyDescent="0.15"/>
    <row r="2413" s="120" customFormat="1" x14ac:dyDescent="0.15"/>
    <row r="2414" s="120" customFormat="1" x14ac:dyDescent="0.15"/>
    <row r="2415" s="120" customFormat="1" x14ac:dyDescent="0.15"/>
    <row r="2416" s="120" customFormat="1" x14ac:dyDescent="0.15"/>
    <row r="2417" s="120" customFormat="1" x14ac:dyDescent="0.15"/>
    <row r="2418" s="120" customFormat="1" x14ac:dyDescent="0.15"/>
    <row r="2419" s="120" customFormat="1" x14ac:dyDescent="0.15"/>
    <row r="2420" s="120" customFormat="1" x14ac:dyDescent="0.15"/>
    <row r="2421" s="120" customFormat="1" x14ac:dyDescent="0.15"/>
    <row r="2422" s="120" customFormat="1" x14ac:dyDescent="0.15"/>
    <row r="2423" s="120" customFormat="1" x14ac:dyDescent="0.15"/>
    <row r="2424" s="120" customFormat="1" x14ac:dyDescent="0.15"/>
    <row r="2425" s="120" customFormat="1" x14ac:dyDescent="0.15"/>
    <row r="2426" s="120" customFormat="1" x14ac:dyDescent="0.15"/>
    <row r="2427" s="120" customFormat="1" x14ac:dyDescent="0.15"/>
    <row r="2428" s="120" customFormat="1" x14ac:dyDescent="0.15"/>
    <row r="2429" s="120" customFormat="1" x14ac:dyDescent="0.15"/>
    <row r="2430" s="120" customFormat="1" x14ac:dyDescent="0.15"/>
    <row r="2431" s="120" customFormat="1" x14ac:dyDescent="0.15"/>
    <row r="2432" s="120" customFormat="1" x14ac:dyDescent="0.15"/>
    <row r="2433" s="120" customFormat="1" x14ac:dyDescent="0.15"/>
    <row r="2434" s="120" customFormat="1" x14ac:dyDescent="0.15"/>
    <row r="2435" s="120" customFormat="1" x14ac:dyDescent="0.15"/>
    <row r="2436" s="120" customFormat="1" x14ac:dyDescent="0.15"/>
    <row r="2437" s="120" customFormat="1" x14ac:dyDescent="0.15"/>
    <row r="2438" s="120" customFormat="1" x14ac:dyDescent="0.15"/>
    <row r="2439" s="120" customFormat="1" x14ac:dyDescent="0.15"/>
    <row r="2440" s="120" customFormat="1" x14ac:dyDescent="0.15"/>
    <row r="2441" s="120" customFormat="1" x14ac:dyDescent="0.15"/>
    <row r="2442" s="120" customFormat="1" x14ac:dyDescent="0.15"/>
    <row r="2443" s="120" customFormat="1" x14ac:dyDescent="0.15"/>
    <row r="2444" s="120" customFormat="1" x14ac:dyDescent="0.15"/>
    <row r="2445" s="120" customFormat="1" x14ac:dyDescent="0.15"/>
    <row r="2446" s="120" customFormat="1" x14ac:dyDescent="0.15"/>
    <row r="2447" s="120" customFormat="1" x14ac:dyDescent="0.15"/>
    <row r="2448" s="120" customFormat="1" x14ac:dyDescent="0.15"/>
    <row r="2449" s="120" customFormat="1" x14ac:dyDescent="0.15"/>
    <row r="2450" s="120" customFormat="1" x14ac:dyDescent="0.15"/>
    <row r="2451" s="120" customFormat="1" x14ac:dyDescent="0.15"/>
    <row r="2452" s="120" customFormat="1" x14ac:dyDescent="0.15"/>
    <row r="2453" s="120" customFormat="1" x14ac:dyDescent="0.15"/>
    <row r="2454" s="120" customFormat="1" x14ac:dyDescent="0.15"/>
    <row r="2455" s="120" customFormat="1" x14ac:dyDescent="0.15"/>
    <row r="2456" s="120" customFormat="1" x14ac:dyDescent="0.15"/>
    <row r="2457" s="120" customFormat="1" x14ac:dyDescent="0.15"/>
    <row r="2458" s="120" customFormat="1" x14ac:dyDescent="0.15"/>
    <row r="2459" s="120" customFormat="1" x14ac:dyDescent="0.15"/>
    <row r="2460" s="120" customFormat="1" x14ac:dyDescent="0.15"/>
    <row r="2461" s="120" customFormat="1" x14ac:dyDescent="0.15"/>
    <row r="2462" s="120" customFormat="1" x14ac:dyDescent="0.15"/>
    <row r="2463" s="120" customFormat="1" x14ac:dyDescent="0.15"/>
    <row r="2464" s="120" customFormat="1" x14ac:dyDescent="0.15"/>
    <row r="2465" s="120" customFormat="1" x14ac:dyDescent="0.15"/>
    <row r="2466" s="120" customFormat="1" x14ac:dyDescent="0.15"/>
    <row r="2467" s="120" customFormat="1" x14ac:dyDescent="0.15"/>
    <row r="2468" s="120" customFormat="1" x14ac:dyDescent="0.15"/>
    <row r="2469" s="120" customFormat="1" x14ac:dyDescent="0.15"/>
    <row r="2470" s="120" customFormat="1" x14ac:dyDescent="0.15"/>
    <row r="2471" s="120" customFormat="1" x14ac:dyDescent="0.15"/>
    <row r="2472" s="120" customFormat="1" x14ac:dyDescent="0.15"/>
    <row r="2473" s="120" customFormat="1" x14ac:dyDescent="0.15"/>
    <row r="2474" s="120" customFormat="1" x14ac:dyDescent="0.15"/>
    <row r="2475" s="120" customFormat="1" x14ac:dyDescent="0.15"/>
    <row r="2476" s="120" customFormat="1" x14ac:dyDescent="0.15"/>
    <row r="2477" s="120" customFormat="1" x14ac:dyDescent="0.15"/>
    <row r="2478" s="120" customFormat="1" x14ac:dyDescent="0.15"/>
    <row r="2479" s="120" customFormat="1" x14ac:dyDescent="0.15"/>
    <row r="2480" s="120" customFormat="1" x14ac:dyDescent="0.15"/>
    <row r="2481" s="120" customFormat="1" x14ac:dyDescent="0.15"/>
    <row r="2482" s="120" customFormat="1" x14ac:dyDescent="0.15"/>
    <row r="2483" s="120" customFormat="1" x14ac:dyDescent="0.15"/>
    <row r="2484" s="120" customFormat="1" x14ac:dyDescent="0.15"/>
    <row r="2485" s="120" customFormat="1" x14ac:dyDescent="0.15"/>
    <row r="2486" s="120" customFormat="1" x14ac:dyDescent="0.15"/>
    <row r="2487" s="120" customFormat="1" x14ac:dyDescent="0.15"/>
    <row r="2488" s="120" customFormat="1" x14ac:dyDescent="0.15"/>
    <row r="2489" s="120" customFormat="1" x14ac:dyDescent="0.15"/>
    <row r="2490" s="120" customFormat="1" x14ac:dyDescent="0.15"/>
    <row r="2491" s="120" customFormat="1" x14ac:dyDescent="0.15"/>
    <row r="2492" s="120" customFormat="1" x14ac:dyDescent="0.15"/>
    <row r="2493" s="120" customFormat="1" x14ac:dyDescent="0.15"/>
    <row r="2494" s="120" customFormat="1" x14ac:dyDescent="0.15"/>
    <row r="2495" s="120" customFormat="1" x14ac:dyDescent="0.15"/>
    <row r="2496" s="120" customFormat="1" x14ac:dyDescent="0.15"/>
    <row r="2497" s="120" customFormat="1" x14ac:dyDescent="0.15"/>
    <row r="2498" s="120" customFormat="1" x14ac:dyDescent="0.15"/>
    <row r="2499" s="120" customFormat="1" x14ac:dyDescent="0.15"/>
    <row r="2500" s="120" customFormat="1" x14ac:dyDescent="0.15"/>
    <row r="2501" s="120" customFormat="1" x14ac:dyDescent="0.15"/>
    <row r="2502" s="120" customFormat="1" x14ac:dyDescent="0.15"/>
    <row r="2503" s="120" customFormat="1" x14ac:dyDescent="0.15"/>
    <row r="2504" s="120" customFormat="1" x14ac:dyDescent="0.15"/>
    <row r="2505" s="120" customFormat="1" x14ac:dyDescent="0.15"/>
    <row r="2506" s="120" customFormat="1" x14ac:dyDescent="0.15"/>
    <row r="2507" s="120" customFormat="1" x14ac:dyDescent="0.15"/>
    <row r="2508" s="120" customFormat="1" x14ac:dyDescent="0.15"/>
    <row r="2509" s="120" customFormat="1" x14ac:dyDescent="0.15"/>
    <row r="2510" s="120" customFormat="1" x14ac:dyDescent="0.15"/>
    <row r="2511" s="120" customFormat="1" x14ac:dyDescent="0.15"/>
    <row r="2512" s="120" customFormat="1" x14ac:dyDescent="0.15"/>
    <row r="2513" s="120" customFormat="1" x14ac:dyDescent="0.15"/>
    <row r="2514" s="120" customFormat="1" x14ac:dyDescent="0.15"/>
    <row r="2515" s="120" customFormat="1" x14ac:dyDescent="0.15"/>
    <row r="2516" s="120" customFormat="1" x14ac:dyDescent="0.15"/>
    <row r="2517" s="120" customFormat="1" x14ac:dyDescent="0.15"/>
    <row r="2518" s="120" customFormat="1" x14ac:dyDescent="0.15"/>
    <row r="2519" s="120" customFormat="1" x14ac:dyDescent="0.15"/>
    <row r="2520" s="120" customFormat="1" x14ac:dyDescent="0.15"/>
    <row r="2521" s="120" customFormat="1" x14ac:dyDescent="0.15"/>
    <row r="2522" s="120" customFormat="1" x14ac:dyDescent="0.15"/>
    <row r="2523" s="120" customFormat="1" x14ac:dyDescent="0.15"/>
    <row r="2524" s="120" customFormat="1" x14ac:dyDescent="0.15"/>
    <row r="2525" s="120" customFormat="1" x14ac:dyDescent="0.15"/>
    <row r="2526" s="120" customFormat="1" x14ac:dyDescent="0.15"/>
    <row r="2527" s="120" customFormat="1" x14ac:dyDescent="0.15"/>
    <row r="2528" s="120" customFormat="1" x14ac:dyDescent="0.15"/>
    <row r="2529" s="120" customFormat="1" x14ac:dyDescent="0.15"/>
    <row r="2530" s="120" customFormat="1" x14ac:dyDescent="0.15"/>
    <row r="2531" s="120" customFormat="1" x14ac:dyDescent="0.15"/>
    <row r="2532" s="120" customFormat="1" x14ac:dyDescent="0.15"/>
    <row r="2533" s="120" customFormat="1" x14ac:dyDescent="0.15"/>
    <row r="2534" s="120" customFormat="1" x14ac:dyDescent="0.15"/>
    <row r="2535" s="120" customFormat="1" x14ac:dyDescent="0.15"/>
    <row r="2536" s="120" customFormat="1" x14ac:dyDescent="0.15"/>
    <row r="2537" s="120" customFormat="1" x14ac:dyDescent="0.15"/>
    <row r="2538" s="120" customFormat="1" x14ac:dyDescent="0.15"/>
    <row r="2539" s="120" customFormat="1" x14ac:dyDescent="0.15"/>
    <row r="2540" s="120" customFormat="1" x14ac:dyDescent="0.15"/>
    <row r="2541" s="120" customFormat="1" x14ac:dyDescent="0.15"/>
    <row r="2542" s="120" customFormat="1" x14ac:dyDescent="0.15"/>
    <row r="2543" s="120" customFormat="1" x14ac:dyDescent="0.15"/>
    <row r="2544" s="120" customFormat="1" x14ac:dyDescent="0.15"/>
    <row r="2545" s="120" customFormat="1" x14ac:dyDescent="0.15"/>
    <row r="2546" s="120" customFormat="1" x14ac:dyDescent="0.15"/>
    <row r="2547" s="120" customFormat="1" x14ac:dyDescent="0.15"/>
    <row r="2548" s="120" customFormat="1" x14ac:dyDescent="0.15"/>
    <row r="2549" s="120" customFormat="1" x14ac:dyDescent="0.15"/>
    <row r="2550" s="120" customFormat="1" x14ac:dyDescent="0.15"/>
    <row r="2551" s="120" customFormat="1" x14ac:dyDescent="0.15"/>
    <row r="2552" s="120" customFormat="1" x14ac:dyDescent="0.15"/>
    <row r="2553" s="120" customFormat="1" x14ac:dyDescent="0.15"/>
    <row r="2554" s="120" customFormat="1" x14ac:dyDescent="0.15"/>
    <row r="2555" s="120" customFormat="1" x14ac:dyDescent="0.15"/>
    <row r="2556" s="120" customFormat="1" x14ac:dyDescent="0.15"/>
    <row r="2557" s="120" customFormat="1" x14ac:dyDescent="0.15"/>
    <row r="2558" s="120" customFormat="1" x14ac:dyDescent="0.15"/>
    <row r="2559" s="120" customFormat="1" x14ac:dyDescent="0.15"/>
    <row r="2560" s="120" customFormat="1" x14ac:dyDescent="0.15"/>
    <row r="2561" s="120" customFormat="1" x14ac:dyDescent="0.15"/>
    <row r="2562" s="120" customFormat="1" x14ac:dyDescent="0.15"/>
    <row r="2563" s="120" customFormat="1" x14ac:dyDescent="0.15"/>
    <row r="2564" s="120" customFormat="1" x14ac:dyDescent="0.15"/>
    <row r="2565" s="120" customFormat="1" x14ac:dyDescent="0.15"/>
    <row r="2566" s="120" customFormat="1" x14ac:dyDescent="0.15"/>
    <row r="2567" s="120" customFormat="1" x14ac:dyDescent="0.15"/>
    <row r="2568" s="120" customFormat="1" x14ac:dyDescent="0.15"/>
    <row r="2569" s="120" customFormat="1" x14ac:dyDescent="0.15"/>
    <row r="2570" s="120" customFormat="1" x14ac:dyDescent="0.15"/>
    <row r="2571" s="120" customFormat="1" x14ac:dyDescent="0.15"/>
    <row r="2572" s="120" customFormat="1" x14ac:dyDescent="0.15"/>
    <row r="2573" s="120" customFormat="1" x14ac:dyDescent="0.15"/>
    <row r="2574" s="120" customFormat="1" x14ac:dyDescent="0.15"/>
    <row r="2575" s="120" customFormat="1" x14ac:dyDescent="0.15"/>
    <row r="2576" s="120" customFormat="1" x14ac:dyDescent="0.15"/>
    <row r="2577" s="120" customFormat="1" x14ac:dyDescent="0.15"/>
    <row r="2578" s="120" customFormat="1" x14ac:dyDescent="0.15"/>
    <row r="2579" s="120" customFormat="1" x14ac:dyDescent="0.15"/>
    <row r="2580" s="120" customFormat="1" x14ac:dyDescent="0.15"/>
    <row r="2581" s="120" customFormat="1" x14ac:dyDescent="0.15"/>
    <row r="2582" s="120" customFormat="1" x14ac:dyDescent="0.15"/>
    <row r="2583" s="120" customFormat="1" x14ac:dyDescent="0.15"/>
    <row r="2584" s="120" customFormat="1" x14ac:dyDescent="0.15"/>
    <row r="2585" s="120" customFormat="1" x14ac:dyDescent="0.15"/>
    <row r="2586" s="120" customFormat="1" x14ac:dyDescent="0.15"/>
    <row r="2587" s="120" customFormat="1" x14ac:dyDescent="0.15"/>
    <row r="2588" s="120" customFormat="1" x14ac:dyDescent="0.15"/>
    <row r="2589" s="120" customFormat="1" x14ac:dyDescent="0.15"/>
    <row r="2590" s="120" customFormat="1" x14ac:dyDescent="0.15"/>
    <row r="2591" s="120" customFormat="1" x14ac:dyDescent="0.15"/>
    <row r="2592" s="120" customFormat="1" x14ac:dyDescent="0.15"/>
    <row r="2593" s="120" customFormat="1" x14ac:dyDescent="0.15"/>
    <row r="2594" s="120" customFormat="1" x14ac:dyDescent="0.15"/>
    <row r="2595" s="120" customFormat="1" x14ac:dyDescent="0.15"/>
    <row r="2596" s="120" customFormat="1" x14ac:dyDescent="0.15"/>
    <row r="2597" s="120" customFormat="1" x14ac:dyDescent="0.15"/>
    <row r="2598" s="120" customFormat="1" x14ac:dyDescent="0.15"/>
    <row r="2599" s="120" customFormat="1" x14ac:dyDescent="0.15"/>
    <row r="2600" s="120" customFormat="1" x14ac:dyDescent="0.15"/>
    <row r="2601" s="120" customFormat="1" x14ac:dyDescent="0.15"/>
    <row r="2602" s="120" customFormat="1" x14ac:dyDescent="0.15"/>
    <row r="2603" s="120" customFormat="1" x14ac:dyDescent="0.15"/>
    <row r="2604" s="120" customFormat="1" x14ac:dyDescent="0.15"/>
    <row r="2605" s="120" customFormat="1" x14ac:dyDescent="0.15"/>
    <row r="2606" s="120" customFormat="1" x14ac:dyDescent="0.15"/>
    <row r="2607" s="120" customFormat="1" x14ac:dyDescent="0.15"/>
    <row r="2608" s="120" customFormat="1" x14ac:dyDescent="0.15"/>
    <row r="2609" s="120" customFormat="1" x14ac:dyDescent="0.15"/>
    <row r="2610" s="120" customFormat="1" x14ac:dyDescent="0.15"/>
    <row r="2611" s="120" customFormat="1" x14ac:dyDescent="0.15"/>
    <row r="2612" s="120" customFormat="1" x14ac:dyDescent="0.15"/>
    <row r="2613" s="120" customFormat="1" x14ac:dyDescent="0.15"/>
    <row r="2614" s="120" customFormat="1" x14ac:dyDescent="0.15"/>
    <row r="2615" s="120" customFormat="1" x14ac:dyDescent="0.15"/>
    <row r="2616" s="120" customFormat="1" x14ac:dyDescent="0.15"/>
    <row r="2617" s="120" customFormat="1" x14ac:dyDescent="0.15"/>
    <row r="2618" s="120" customFormat="1" x14ac:dyDescent="0.15"/>
    <row r="2619" s="120" customFormat="1" x14ac:dyDescent="0.15"/>
    <row r="2620" s="120" customFormat="1" x14ac:dyDescent="0.15"/>
    <row r="2621" s="120" customFormat="1" x14ac:dyDescent="0.15"/>
    <row r="2622" s="120" customFormat="1" x14ac:dyDescent="0.15"/>
    <row r="2623" s="120" customFormat="1" x14ac:dyDescent="0.15"/>
    <row r="2624" s="120" customFormat="1" x14ac:dyDescent="0.15"/>
    <row r="2625" s="120" customFormat="1" x14ac:dyDescent="0.15"/>
    <row r="2626" s="120" customFormat="1" x14ac:dyDescent="0.15"/>
    <row r="2627" s="120" customFormat="1" x14ac:dyDescent="0.15"/>
    <row r="2628" s="120" customFormat="1" x14ac:dyDescent="0.15"/>
    <row r="2629" s="120" customFormat="1" x14ac:dyDescent="0.15"/>
    <row r="2630" s="120" customFormat="1" x14ac:dyDescent="0.15"/>
    <row r="2631" s="120" customFormat="1" x14ac:dyDescent="0.15"/>
    <row r="2632" s="120" customFormat="1" x14ac:dyDescent="0.15"/>
    <row r="2633" s="120" customFormat="1" x14ac:dyDescent="0.15"/>
    <row r="2634" s="120" customFormat="1" x14ac:dyDescent="0.15"/>
    <row r="2635" s="120" customFormat="1" x14ac:dyDescent="0.15"/>
    <row r="2636" s="120" customFormat="1" x14ac:dyDescent="0.15"/>
    <row r="2637" s="120" customFormat="1" x14ac:dyDescent="0.15"/>
    <row r="2638" s="120" customFormat="1" x14ac:dyDescent="0.15"/>
    <row r="2639" s="120" customFormat="1" x14ac:dyDescent="0.15"/>
    <row r="2640" s="120" customFormat="1" x14ac:dyDescent="0.15"/>
    <row r="2641" s="120" customFormat="1" x14ac:dyDescent="0.15"/>
    <row r="2642" s="120" customFormat="1" x14ac:dyDescent="0.15"/>
    <row r="2643" s="120" customFormat="1" x14ac:dyDescent="0.15"/>
    <row r="2644" s="120" customFormat="1" x14ac:dyDescent="0.15"/>
    <row r="2645" s="120" customFormat="1" x14ac:dyDescent="0.15"/>
    <row r="2646" s="120" customFormat="1" x14ac:dyDescent="0.15"/>
    <row r="2647" s="120" customFormat="1" x14ac:dyDescent="0.15"/>
    <row r="2648" s="120" customFormat="1" x14ac:dyDescent="0.15"/>
    <row r="2649" s="120" customFormat="1" x14ac:dyDescent="0.15"/>
    <row r="2650" s="120" customFormat="1" x14ac:dyDescent="0.15"/>
    <row r="2651" s="120" customFormat="1" x14ac:dyDescent="0.15"/>
    <row r="2652" s="120" customFormat="1" x14ac:dyDescent="0.15"/>
    <row r="2653" s="120" customFormat="1" x14ac:dyDescent="0.15"/>
    <row r="2654" s="120" customFormat="1" x14ac:dyDescent="0.15"/>
    <row r="2655" s="120" customFormat="1" x14ac:dyDescent="0.15"/>
    <row r="2656" s="120" customFormat="1" x14ac:dyDescent="0.15"/>
    <row r="2657" s="120" customFormat="1" x14ac:dyDescent="0.15"/>
    <row r="2658" s="120" customFormat="1" x14ac:dyDescent="0.15"/>
    <row r="2659" s="120" customFormat="1" x14ac:dyDescent="0.15"/>
    <row r="2660" s="120" customFormat="1" x14ac:dyDescent="0.15"/>
    <row r="2661" s="120" customFormat="1" x14ac:dyDescent="0.15"/>
    <row r="2662" s="120" customFormat="1" x14ac:dyDescent="0.15"/>
    <row r="2663" s="120" customFormat="1" x14ac:dyDescent="0.15"/>
    <row r="2664" s="120" customFormat="1" x14ac:dyDescent="0.15"/>
    <row r="2665" s="120" customFormat="1" x14ac:dyDescent="0.15"/>
    <row r="2666" s="120" customFormat="1" x14ac:dyDescent="0.15"/>
    <row r="2667" s="120" customFormat="1" x14ac:dyDescent="0.15"/>
    <row r="2668" s="120" customFormat="1" x14ac:dyDescent="0.15"/>
    <row r="2669" s="120" customFormat="1" x14ac:dyDescent="0.15"/>
    <row r="2670" s="120" customFormat="1" x14ac:dyDescent="0.15"/>
    <row r="2671" s="120" customFormat="1" x14ac:dyDescent="0.15"/>
    <row r="2672" s="120" customFormat="1" x14ac:dyDescent="0.15"/>
    <row r="2673" s="120" customFormat="1" x14ac:dyDescent="0.15"/>
    <row r="2674" s="120" customFormat="1" x14ac:dyDescent="0.15"/>
    <row r="2675" s="120" customFormat="1" x14ac:dyDescent="0.15"/>
    <row r="2676" s="120" customFormat="1" x14ac:dyDescent="0.15"/>
    <row r="2677" s="120" customFormat="1" x14ac:dyDescent="0.15"/>
    <row r="2678" s="120" customFormat="1" x14ac:dyDescent="0.15"/>
    <row r="2679" s="120" customFormat="1" x14ac:dyDescent="0.15"/>
    <row r="2680" s="120" customFormat="1" x14ac:dyDescent="0.15"/>
    <row r="2681" s="120" customFormat="1" x14ac:dyDescent="0.15"/>
    <row r="2682" s="120" customFormat="1" x14ac:dyDescent="0.15"/>
    <row r="2683" s="120" customFormat="1" x14ac:dyDescent="0.15"/>
    <row r="2684" s="120" customFormat="1" x14ac:dyDescent="0.15"/>
    <row r="2685" s="120" customFormat="1" x14ac:dyDescent="0.15"/>
    <row r="2686" s="120" customFormat="1" x14ac:dyDescent="0.15"/>
    <row r="2687" s="120" customFormat="1" x14ac:dyDescent="0.15"/>
    <row r="2688" s="120" customFormat="1" x14ac:dyDescent="0.15"/>
    <row r="2689" s="120" customFormat="1" x14ac:dyDescent="0.15"/>
    <row r="2690" s="120" customFormat="1" x14ac:dyDescent="0.15"/>
    <row r="2691" s="120" customFormat="1" x14ac:dyDescent="0.15"/>
    <row r="2692" s="120" customFormat="1" x14ac:dyDescent="0.15"/>
    <row r="2693" s="120" customFormat="1" x14ac:dyDescent="0.15"/>
    <row r="2694" s="120" customFormat="1" x14ac:dyDescent="0.15"/>
  </sheetData>
  <mergeCells count="693">
    <mergeCell ref="B311:C311"/>
    <mergeCell ref="A312:J312"/>
    <mergeCell ref="B346:C346"/>
    <mergeCell ref="B347:C347"/>
    <mergeCell ref="A348:J348"/>
    <mergeCell ref="A349:Q349"/>
    <mergeCell ref="B350:N350"/>
    <mergeCell ref="P350:Q350"/>
    <mergeCell ref="A351:Q351"/>
    <mergeCell ref="A344:A345"/>
    <mergeCell ref="B344:C345"/>
    <mergeCell ref="D344:G344"/>
    <mergeCell ref="H344:H345"/>
    <mergeCell ref="I344:I345"/>
    <mergeCell ref="J344:J345"/>
    <mergeCell ref="D330:G330"/>
    <mergeCell ref="H330:H331"/>
    <mergeCell ref="I330:I331"/>
    <mergeCell ref="J330:J331"/>
    <mergeCell ref="B325:C325"/>
    <mergeCell ref="A326:J326"/>
    <mergeCell ref="A327:Q327"/>
    <mergeCell ref="B328:N328"/>
    <mergeCell ref="P328:Q328"/>
    <mergeCell ref="D160:D161"/>
    <mergeCell ref="E160:G160"/>
    <mergeCell ref="H160:H161"/>
    <mergeCell ref="B339:C339"/>
    <mergeCell ref="A340:J340"/>
    <mergeCell ref="A341:Q341"/>
    <mergeCell ref="B342:N342"/>
    <mergeCell ref="P342:Q342"/>
    <mergeCell ref="A343:Q343"/>
    <mergeCell ref="A337:A338"/>
    <mergeCell ref="B337:C338"/>
    <mergeCell ref="D337:G337"/>
    <mergeCell ref="H337:H338"/>
    <mergeCell ref="I337:I338"/>
    <mergeCell ref="J337:J338"/>
    <mergeCell ref="B332:C332"/>
    <mergeCell ref="A333:J333"/>
    <mergeCell ref="A334:Q334"/>
    <mergeCell ref="B335:N335"/>
    <mergeCell ref="P335:Q335"/>
    <mergeCell ref="A336:Q336"/>
    <mergeCell ref="A329:Q329"/>
    <mergeCell ref="A330:A331"/>
    <mergeCell ref="B330:C331"/>
    <mergeCell ref="A124:Q124"/>
    <mergeCell ref="B125:N125"/>
    <mergeCell ref="P125:Q125"/>
    <mergeCell ref="A39:A40"/>
    <mergeCell ref="B39:C40"/>
    <mergeCell ref="D39:D40"/>
    <mergeCell ref="E39:G39"/>
    <mergeCell ref="H39:H40"/>
    <mergeCell ref="I39:I40"/>
    <mergeCell ref="J120:J121"/>
    <mergeCell ref="B122:C122"/>
    <mergeCell ref="A123:J123"/>
    <mergeCell ref="A120:A121"/>
    <mergeCell ref="B120:C121"/>
    <mergeCell ref="D120:D121"/>
    <mergeCell ref="E120:G120"/>
    <mergeCell ref="H120:H121"/>
    <mergeCell ref="I120:I121"/>
    <mergeCell ref="A117:Q117"/>
    <mergeCell ref="B118:N118"/>
    <mergeCell ref="P118:Q118"/>
    <mergeCell ref="A119:Q119"/>
    <mergeCell ref="B115:C115"/>
    <mergeCell ref="A116:J116"/>
    <mergeCell ref="B382:C382"/>
    <mergeCell ref="A383:J383"/>
    <mergeCell ref="A384:Q384"/>
    <mergeCell ref="A15:Q15"/>
    <mergeCell ref="B16:N16"/>
    <mergeCell ref="P16:Q16"/>
    <mergeCell ref="A17:Q17"/>
    <mergeCell ref="A18:A19"/>
    <mergeCell ref="B18:C19"/>
    <mergeCell ref="D18:D19"/>
    <mergeCell ref="A379:Q379"/>
    <mergeCell ref="A380:A381"/>
    <mergeCell ref="B380:C381"/>
    <mergeCell ref="D380:D381"/>
    <mergeCell ref="E380:G380"/>
    <mergeCell ref="H380:H381"/>
    <mergeCell ref="I380:I381"/>
    <mergeCell ref="J380:J381"/>
    <mergeCell ref="A377:Q377"/>
    <mergeCell ref="B378:N378"/>
    <mergeCell ref="B172:C172"/>
    <mergeCell ref="B173:C173"/>
    <mergeCell ref="B174:C174"/>
    <mergeCell ref="B175:C175"/>
    <mergeCell ref="P378:Q378"/>
    <mergeCell ref="B375:C375"/>
    <mergeCell ref="A376:J376"/>
    <mergeCell ref="A372:Q372"/>
    <mergeCell ref="A373:A374"/>
    <mergeCell ref="B373:C374"/>
    <mergeCell ref="D373:D374"/>
    <mergeCell ref="E373:G373"/>
    <mergeCell ref="H373:H374"/>
    <mergeCell ref="I373:I374"/>
    <mergeCell ref="J373:J374"/>
    <mergeCell ref="A370:Q370"/>
    <mergeCell ref="B371:N371"/>
    <mergeCell ref="P371:Q371"/>
    <mergeCell ref="J366:J367"/>
    <mergeCell ref="B368:C368"/>
    <mergeCell ref="A369:J369"/>
    <mergeCell ref="A366:A367"/>
    <mergeCell ref="B366:C367"/>
    <mergeCell ref="D366:D367"/>
    <mergeCell ref="E366:G366"/>
    <mergeCell ref="H366:H367"/>
    <mergeCell ref="I366:I367"/>
    <mergeCell ref="B361:C361"/>
    <mergeCell ref="A362:J362"/>
    <mergeCell ref="A363:Q363"/>
    <mergeCell ref="B364:N364"/>
    <mergeCell ref="P364:Q364"/>
    <mergeCell ref="A365:Q365"/>
    <mergeCell ref="A358:Q358"/>
    <mergeCell ref="A359:A360"/>
    <mergeCell ref="B359:C360"/>
    <mergeCell ref="D359:D360"/>
    <mergeCell ref="E359:G359"/>
    <mergeCell ref="H359:H360"/>
    <mergeCell ref="I359:I360"/>
    <mergeCell ref="J359:J360"/>
    <mergeCell ref="J352:J353"/>
    <mergeCell ref="B354:C354"/>
    <mergeCell ref="A355:J355"/>
    <mergeCell ref="A356:Q356"/>
    <mergeCell ref="B357:N357"/>
    <mergeCell ref="P357:Q357"/>
    <mergeCell ref="D352:G352"/>
    <mergeCell ref="A352:A353"/>
    <mergeCell ref="B352:C353"/>
    <mergeCell ref="H352:H353"/>
    <mergeCell ref="I352:I353"/>
    <mergeCell ref="A322:P322"/>
    <mergeCell ref="A323:A324"/>
    <mergeCell ref="B323:C324"/>
    <mergeCell ref="D323:D324"/>
    <mergeCell ref="E323:G323"/>
    <mergeCell ref="H323:H324"/>
    <mergeCell ref="I323:I324"/>
    <mergeCell ref="J323:J324"/>
    <mergeCell ref="J316:J317"/>
    <mergeCell ref="B318:C318"/>
    <mergeCell ref="A319:J319"/>
    <mergeCell ref="A320:Q320"/>
    <mergeCell ref="B321:N321"/>
    <mergeCell ref="P321:Q321"/>
    <mergeCell ref="A316:A317"/>
    <mergeCell ref="B316:C317"/>
    <mergeCell ref="D316:D317"/>
    <mergeCell ref="E316:G316"/>
    <mergeCell ref="H316:H317"/>
    <mergeCell ref="I316:I317"/>
    <mergeCell ref="A313:Q313"/>
    <mergeCell ref="B314:N314"/>
    <mergeCell ref="P314:Q314"/>
    <mergeCell ref="A315:P315"/>
    <mergeCell ref="J302:J303"/>
    <mergeCell ref="B304:C304"/>
    <mergeCell ref="A305:J305"/>
    <mergeCell ref="A302:A303"/>
    <mergeCell ref="B302:C303"/>
    <mergeCell ref="D302:D303"/>
    <mergeCell ref="E302:G302"/>
    <mergeCell ref="H302:H303"/>
    <mergeCell ref="I302:I303"/>
    <mergeCell ref="A306:Q306"/>
    <mergeCell ref="B307:N307"/>
    <mergeCell ref="P307:Q307"/>
    <mergeCell ref="A308:Q308"/>
    <mergeCell ref="A309:A310"/>
    <mergeCell ref="B309:C310"/>
    <mergeCell ref="D309:D310"/>
    <mergeCell ref="E309:G309"/>
    <mergeCell ref="H309:H310"/>
    <mergeCell ref="I309:I310"/>
    <mergeCell ref="J309:J310"/>
    <mergeCell ref="A299:Q299"/>
    <mergeCell ref="B300:N300"/>
    <mergeCell ref="P300:Q300"/>
    <mergeCell ref="A301:Q301"/>
    <mergeCell ref="B297:C297"/>
    <mergeCell ref="A298:J298"/>
    <mergeCell ref="A294:Q294"/>
    <mergeCell ref="A295:A296"/>
    <mergeCell ref="B295:C296"/>
    <mergeCell ref="D295:D296"/>
    <mergeCell ref="E295:G295"/>
    <mergeCell ref="H295:H296"/>
    <mergeCell ref="I295:I296"/>
    <mergeCell ref="J295:J296"/>
    <mergeCell ref="B290:C290"/>
    <mergeCell ref="A291:J291"/>
    <mergeCell ref="A292:Q292"/>
    <mergeCell ref="B293:N293"/>
    <mergeCell ref="P293:Q293"/>
    <mergeCell ref="B286:N286"/>
    <mergeCell ref="P286:Q286"/>
    <mergeCell ref="A287:Q287"/>
    <mergeCell ref="A288:A289"/>
    <mergeCell ref="B288:C289"/>
    <mergeCell ref="D288:D289"/>
    <mergeCell ref="E288:G288"/>
    <mergeCell ref="H288:H289"/>
    <mergeCell ref="I288:I289"/>
    <mergeCell ref="J288:J289"/>
    <mergeCell ref="B281:C281"/>
    <mergeCell ref="B282:C282"/>
    <mergeCell ref="B283:C283"/>
    <mergeCell ref="A284:J284"/>
    <mergeCell ref="A285:Q285"/>
    <mergeCell ref="A277:Q277"/>
    <mergeCell ref="A278:A279"/>
    <mergeCell ref="B278:C279"/>
    <mergeCell ref="D278:D279"/>
    <mergeCell ref="E278:G278"/>
    <mergeCell ref="H278:H279"/>
    <mergeCell ref="I278:I279"/>
    <mergeCell ref="J278:J279"/>
    <mergeCell ref="B280:C280"/>
    <mergeCell ref="A275:Q275"/>
    <mergeCell ref="B276:N276"/>
    <mergeCell ref="P276:Q276"/>
    <mergeCell ref="B273:C273"/>
    <mergeCell ref="A274:J274"/>
    <mergeCell ref="A270:Q270"/>
    <mergeCell ref="A271:A272"/>
    <mergeCell ref="B271:C272"/>
    <mergeCell ref="D271:D272"/>
    <mergeCell ref="E271:G271"/>
    <mergeCell ref="H271:H272"/>
    <mergeCell ref="I271:I272"/>
    <mergeCell ref="J271:J272"/>
    <mergeCell ref="J264:J265"/>
    <mergeCell ref="B266:C266"/>
    <mergeCell ref="A267:J267"/>
    <mergeCell ref="A268:Q268"/>
    <mergeCell ref="B269:N269"/>
    <mergeCell ref="P269:Q269"/>
    <mergeCell ref="A264:A265"/>
    <mergeCell ref="B264:C265"/>
    <mergeCell ref="D264:D265"/>
    <mergeCell ref="E264:G264"/>
    <mergeCell ref="H264:H265"/>
    <mergeCell ref="I264:I265"/>
    <mergeCell ref="B259:C259"/>
    <mergeCell ref="A260:J260"/>
    <mergeCell ref="A261:Q261"/>
    <mergeCell ref="B262:N262"/>
    <mergeCell ref="P262:Q262"/>
    <mergeCell ref="A263:Q263"/>
    <mergeCell ref="A256:Q256"/>
    <mergeCell ref="A257:A258"/>
    <mergeCell ref="B257:C258"/>
    <mergeCell ref="D257:D258"/>
    <mergeCell ref="E257:G257"/>
    <mergeCell ref="H257:H258"/>
    <mergeCell ref="I257:I258"/>
    <mergeCell ref="J257:J258"/>
    <mergeCell ref="A254:Q254"/>
    <mergeCell ref="B255:N255"/>
    <mergeCell ref="P255:Q255"/>
    <mergeCell ref="B252:C252"/>
    <mergeCell ref="A253:J253"/>
    <mergeCell ref="B248:N248"/>
    <mergeCell ref="P248:Q248"/>
    <mergeCell ref="A249:Q249"/>
    <mergeCell ref="A250:A251"/>
    <mergeCell ref="B250:C251"/>
    <mergeCell ref="D250:D251"/>
    <mergeCell ref="E250:G250"/>
    <mergeCell ref="H250:H251"/>
    <mergeCell ref="I250:I251"/>
    <mergeCell ref="J250:J251"/>
    <mergeCell ref="B245:C245"/>
    <mergeCell ref="A246:J246"/>
    <mergeCell ref="A247:Q247"/>
    <mergeCell ref="A242:Q242"/>
    <mergeCell ref="A243:A244"/>
    <mergeCell ref="B243:C244"/>
    <mergeCell ref="D243:D244"/>
    <mergeCell ref="E243:G243"/>
    <mergeCell ref="H243:H244"/>
    <mergeCell ref="I243:I244"/>
    <mergeCell ref="J243:J244"/>
    <mergeCell ref="A240:Q240"/>
    <mergeCell ref="B241:N241"/>
    <mergeCell ref="P241:Q241"/>
    <mergeCell ref="B238:C238"/>
    <mergeCell ref="A239:J239"/>
    <mergeCell ref="A235:Q235"/>
    <mergeCell ref="A236:A237"/>
    <mergeCell ref="B236:C237"/>
    <mergeCell ref="D236:D237"/>
    <mergeCell ref="E236:G236"/>
    <mergeCell ref="H236:H237"/>
    <mergeCell ref="I236:I237"/>
    <mergeCell ref="J236:J237"/>
    <mergeCell ref="A233:Q233"/>
    <mergeCell ref="B234:N234"/>
    <mergeCell ref="P234:Q234"/>
    <mergeCell ref="B231:C231"/>
    <mergeCell ref="A232:J232"/>
    <mergeCell ref="A228:Q228"/>
    <mergeCell ref="A229:A230"/>
    <mergeCell ref="B229:C230"/>
    <mergeCell ref="D229:D230"/>
    <mergeCell ref="E229:G229"/>
    <mergeCell ref="H229:H230"/>
    <mergeCell ref="I229:I230"/>
    <mergeCell ref="J229:J230"/>
    <mergeCell ref="A226:Q226"/>
    <mergeCell ref="B227:N227"/>
    <mergeCell ref="P227:Q227"/>
    <mergeCell ref="B224:C224"/>
    <mergeCell ref="A225:J225"/>
    <mergeCell ref="A221:Q221"/>
    <mergeCell ref="A222:A223"/>
    <mergeCell ref="B222:C223"/>
    <mergeCell ref="D222:D223"/>
    <mergeCell ref="E222:G222"/>
    <mergeCell ref="H222:H223"/>
    <mergeCell ref="I222:I223"/>
    <mergeCell ref="J222:J223"/>
    <mergeCell ref="B217:C217"/>
    <mergeCell ref="A218:J218"/>
    <mergeCell ref="A219:Q219"/>
    <mergeCell ref="B220:N220"/>
    <mergeCell ref="P220:Q220"/>
    <mergeCell ref="A214:Q214"/>
    <mergeCell ref="A215:A216"/>
    <mergeCell ref="B215:C216"/>
    <mergeCell ref="D215:D216"/>
    <mergeCell ref="E215:G215"/>
    <mergeCell ref="H215:H216"/>
    <mergeCell ref="I215:I216"/>
    <mergeCell ref="J215:J216"/>
    <mergeCell ref="J208:J209"/>
    <mergeCell ref="B210:C210"/>
    <mergeCell ref="A211:J211"/>
    <mergeCell ref="A212:Q212"/>
    <mergeCell ref="B213:N213"/>
    <mergeCell ref="P213:Q213"/>
    <mergeCell ref="A208:A209"/>
    <mergeCell ref="B208:C209"/>
    <mergeCell ref="D208:D209"/>
    <mergeCell ref="E208:G208"/>
    <mergeCell ref="H208:H209"/>
    <mergeCell ref="I208:I209"/>
    <mergeCell ref="B203:C203"/>
    <mergeCell ref="A204:J204"/>
    <mergeCell ref="A205:Q205"/>
    <mergeCell ref="B206:N206"/>
    <mergeCell ref="P206:Q206"/>
    <mergeCell ref="A207:Q207"/>
    <mergeCell ref="B199:N199"/>
    <mergeCell ref="P199:Q199"/>
    <mergeCell ref="A200:Q200"/>
    <mergeCell ref="A201:A202"/>
    <mergeCell ref="B201:C202"/>
    <mergeCell ref="D201:D202"/>
    <mergeCell ref="E201:G201"/>
    <mergeCell ref="H201:H202"/>
    <mergeCell ref="I201:I202"/>
    <mergeCell ref="J201:J202"/>
    <mergeCell ref="I194:I195"/>
    <mergeCell ref="J194:J195"/>
    <mergeCell ref="B196:C196"/>
    <mergeCell ref="A197:J197"/>
    <mergeCell ref="A198:Q198"/>
    <mergeCell ref="A190:J190"/>
    <mergeCell ref="A191:Q191"/>
    <mergeCell ref="B192:N192"/>
    <mergeCell ref="P192:Q192"/>
    <mergeCell ref="A193:Q193"/>
    <mergeCell ref="A194:A195"/>
    <mergeCell ref="B194:C195"/>
    <mergeCell ref="D194:D195"/>
    <mergeCell ref="E194:G194"/>
    <mergeCell ref="H194:H195"/>
    <mergeCell ref="B185:C185"/>
    <mergeCell ref="B186:C186"/>
    <mergeCell ref="B187:C187"/>
    <mergeCell ref="B188:C188"/>
    <mergeCell ref="B189:C189"/>
    <mergeCell ref="A167:Q167"/>
    <mergeCell ref="A168:A169"/>
    <mergeCell ref="B168:C169"/>
    <mergeCell ref="D168:D169"/>
    <mergeCell ref="E168:G168"/>
    <mergeCell ref="H168:H169"/>
    <mergeCell ref="I168:I169"/>
    <mergeCell ref="J168:J169"/>
    <mergeCell ref="J181:J182"/>
    <mergeCell ref="A178:Q178"/>
    <mergeCell ref="B179:N179"/>
    <mergeCell ref="P179:Q179"/>
    <mergeCell ref="A180:Q180"/>
    <mergeCell ref="A181:A182"/>
    <mergeCell ref="B181:C182"/>
    <mergeCell ref="D181:D182"/>
    <mergeCell ref="E181:G181"/>
    <mergeCell ref="H181:H182"/>
    <mergeCell ref="I181:I182"/>
    <mergeCell ref="H149:H150"/>
    <mergeCell ref="I149:I150"/>
    <mergeCell ref="I160:I161"/>
    <mergeCell ref="A177:J177"/>
    <mergeCell ref="B184:C184"/>
    <mergeCell ref="B183:C183"/>
    <mergeCell ref="B176:C176"/>
    <mergeCell ref="A156:J156"/>
    <mergeCell ref="B170:C170"/>
    <mergeCell ref="B163:C163"/>
    <mergeCell ref="J149:J150"/>
    <mergeCell ref="B151:C151"/>
    <mergeCell ref="B155:C155"/>
    <mergeCell ref="B153:C153"/>
    <mergeCell ref="B154:C154"/>
    <mergeCell ref="B166:N166"/>
    <mergeCell ref="B152:C152"/>
    <mergeCell ref="B171:C171"/>
    <mergeCell ref="J160:J161"/>
    <mergeCell ref="B162:C162"/>
    <mergeCell ref="A164:J164"/>
    <mergeCell ref="A165:Q165"/>
    <mergeCell ref="A160:A161"/>
    <mergeCell ref="B160:C161"/>
    <mergeCell ref="P166:Q166"/>
    <mergeCell ref="A157:Q157"/>
    <mergeCell ref="B158:N158"/>
    <mergeCell ref="P158:Q158"/>
    <mergeCell ref="A159:Q159"/>
    <mergeCell ref="B143:C143"/>
    <mergeCell ref="B144:C144"/>
    <mergeCell ref="A145:J145"/>
    <mergeCell ref="A140:Q140"/>
    <mergeCell ref="A141:A142"/>
    <mergeCell ref="B141:C142"/>
    <mergeCell ref="D141:D142"/>
    <mergeCell ref="E141:G141"/>
    <mergeCell ref="H141:H142"/>
    <mergeCell ref="I141:I142"/>
    <mergeCell ref="J141:J142"/>
    <mergeCell ref="A146:Q146"/>
    <mergeCell ref="B147:N147"/>
    <mergeCell ref="P147:Q147"/>
    <mergeCell ref="A148:Q148"/>
    <mergeCell ref="A149:A150"/>
    <mergeCell ref="B149:C150"/>
    <mergeCell ref="D149:D150"/>
    <mergeCell ref="E149:G149"/>
    <mergeCell ref="B136:C136"/>
    <mergeCell ref="A137:J137"/>
    <mergeCell ref="A138:Q138"/>
    <mergeCell ref="B139:N139"/>
    <mergeCell ref="P139:Q139"/>
    <mergeCell ref="B132:N132"/>
    <mergeCell ref="P132:Q132"/>
    <mergeCell ref="A133:Q133"/>
    <mergeCell ref="A134:A135"/>
    <mergeCell ref="B134:C135"/>
    <mergeCell ref="D134:D135"/>
    <mergeCell ref="E134:G134"/>
    <mergeCell ref="H134:H135"/>
    <mergeCell ref="I134:I135"/>
    <mergeCell ref="J134:J135"/>
    <mergeCell ref="A131:Q131"/>
    <mergeCell ref="A130:J130"/>
    <mergeCell ref="B129:C129"/>
    <mergeCell ref="A126:Q126"/>
    <mergeCell ref="A127:A128"/>
    <mergeCell ref="B127:C128"/>
    <mergeCell ref="D127:D128"/>
    <mergeCell ref="E127:G127"/>
    <mergeCell ref="H127:H128"/>
    <mergeCell ref="I127:I128"/>
    <mergeCell ref="J127:J128"/>
    <mergeCell ref="A112:Q112"/>
    <mergeCell ref="A113:A114"/>
    <mergeCell ref="B113:C114"/>
    <mergeCell ref="D113:D114"/>
    <mergeCell ref="E113:G113"/>
    <mergeCell ref="H113:H114"/>
    <mergeCell ref="I113:I114"/>
    <mergeCell ref="J113:J114"/>
    <mergeCell ref="B108:C108"/>
    <mergeCell ref="A109:J109"/>
    <mergeCell ref="A110:Q110"/>
    <mergeCell ref="B111:N111"/>
    <mergeCell ref="P111:Q111"/>
    <mergeCell ref="A105:Q105"/>
    <mergeCell ref="A106:A107"/>
    <mergeCell ref="B106:C107"/>
    <mergeCell ref="D106:D107"/>
    <mergeCell ref="E106:G106"/>
    <mergeCell ref="H106:H107"/>
    <mergeCell ref="I106:I107"/>
    <mergeCell ref="J106:J107"/>
    <mergeCell ref="A103:Q103"/>
    <mergeCell ref="B104:N104"/>
    <mergeCell ref="P104:Q104"/>
    <mergeCell ref="B101:C101"/>
    <mergeCell ref="A102:J102"/>
    <mergeCell ref="A98:Q98"/>
    <mergeCell ref="A99:A100"/>
    <mergeCell ref="B99:C100"/>
    <mergeCell ref="D99:D100"/>
    <mergeCell ref="E99:G99"/>
    <mergeCell ref="H99:H100"/>
    <mergeCell ref="I99:I100"/>
    <mergeCell ref="J99:J100"/>
    <mergeCell ref="J92:J93"/>
    <mergeCell ref="B94:C94"/>
    <mergeCell ref="A95:J95"/>
    <mergeCell ref="A96:Q96"/>
    <mergeCell ref="B97:N97"/>
    <mergeCell ref="P97:Q97"/>
    <mergeCell ref="A92:A93"/>
    <mergeCell ref="B92:C93"/>
    <mergeCell ref="D92:D93"/>
    <mergeCell ref="E92:G92"/>
    <mergeCell ref="H92:H93"/>
    <mergeCell ref="I92:I93"/>
    <mergeCell ref="A89:Q89"/>
    <mergeCell ref="B90:N90"/>
    <mergeCell ref="P90:Q90"/>
    <mergeCell ref="A91:Q91"/>
    <mergeCell ref="B87:C87"/>
    <mergeCell ref="A88:J88"/>
    <mergeCell ref="A84:Q84"/>
    <mergeCell ref="A85:A86"/>
    <mergeCell ref="B85:C86"/>
    <mergeCell ref="D85:D86"/>
    <mergeCell ref="E85:G85"/>
    <mergeCell ref="H85:H86"/>
    <mergeCell ref="I85:I86"/>
    <mergeCell ref="J85:J86"/>
    <mergeCell ref="J78:J79"/>
    <mergeCell ref="L78:Q81"/>
    <mergeCell ref="B80:C80"/>
    <mergeCell ref="A81:J81"/>
    <mergeCell ref="A82:Q82"/>
    <mergeCell ref="B83:N83"/>
    <mergeCell ref="P83:Q83"/>
    <mergeCell ref="A78:A79"/>
    <mergeCell ref="B78:C79"/>
    <mergeCell ref="D78:D79"/>
    <mergeCell ref="E78:G78"/>
    <mergeCell ref="H78:H79"/>
    <mergeCell ref="I78:I79"/>
    <mergeCell ref="A75:Q75"/>
    <mergeCell ref="B76:N76"/>
    <mergeCell ref="P76:Q76"/>
    <mergeCell ref="A77:Q77"/>
    <mergeCell ref="M70:Q74"/>
    <mergeCell ref="B72:C72"/>
    <mergeCell ref="B73:C73"/>
    <mergeCell ref="A74:K74"/>
    <mergeCell ref="B68:N68"/>
    <mergeCell ref="P68:Q68"/>
    <mergeCell ref="A69:Q69"/>
    <mergeCell ref="A70:A71"/>
    <mergeCell ref="B70:C71"/>
    <mergeCell ref="D70:G70"/>
    <mergeCell ref="H70:H71"/>
    <mergeCell ref="I70:I71"/>
    <mergeCell ref="J70:J71"/>
    <mergeCell ref="K70:K71"/>
    <mergeCell ref="I63:I64"/>
    <mergeCell ref="J63:J64"/>
    <mergeCell ref="B65:C65"/>
    <mergeCell ref="A66:J66"/>
    <mergeCell ref="A67:Q67"/>
    <mergeCell ref="A59:J59"/>
    <mergeCell ref="A60:Q60"/>
    <mergeCell ref="B61:N61"/>
    <mergeCell ref="P61:Q61"/>
    <mergeCell ref="A62:Q62"/>
    <mergeCell ref="A63:A64"/>
    <mergeCell ref="B63:C64"/>
    <mergeCell ref="D63:D64"/>
    <mergeCell ref="E63:G63"/>
    <mergeCell ref="H63:H64"/>
    <mergeCell ref="I55:I56"/>
    <mergeCell ref="J55:J56"/>
    <mergeCell ref="B57:C57"/>
    <mergeCell ref="B58:C58"/>
    <mergeCell ref="A51:J51"/>
    <mergeCell ref="A52:Q52"/>
    <mergeCell ref="B53:N53"/>
    <mergeCell ref="P53:Q53"/>
    <mergeCell ref="A54:Q54"/>
    <mergeCell ref="A55:A56"/>
    <mergeCell ref="B55:C56"/>
    <mergeCell ref="D55:D56"/>
    <mergeCell ref="E55:G55"/>
    <mergeCell ref="H55:H56"/>
    <mergeCell ref="B49:C49"/>
    <mergeCell ref="E49:F49"/>
    <mergeCell ref="B50:C50"/>
    <mergeCell ref="E50:F50"/>
    <mergeCell ref="A45:Q45"/>
    <mergeCell ref="A46:A47"/>
    <mergeCell ref="B46:C47"/>
    <mergeCell ref="D46:D47"/>
    <mergeCell ref="E46:G46"/>
    <mergeCell ref="H46:H47"/>
    <mergeCell ref="I46:I47"/>
    <mergeCell ref="J46:J47"/>
    <mergeCell ref="L46:Q51"/>
    <mergeCell ref="E47:F47"/>
    <mergeCell ref="A43:Q43"/>
    <mergeCell ref="B44:N44"/>
    <mergeCell ref="P44:Q44"/>
    <mergeCell ref="A36:Q36"/>
    <mergeCell ref="B37:N37"/>
    <mergeCell ref="P37:Q37"/>
    <mergeCell ref="A38:Q38"/>
    <mergeCell ref="B48:C48"/>
    <mergeCell ref="E48:F48"/>
    <mergeCell ref="J39:J40"/>
    <mergeCell ref="L39:Q42"/>
    <mergeCell ref="B41:C41"/>
    <mergeCell ref="A42:J42"/>
    <mergeCell ref="B30:N30"/>
    <mergeCell ref="P30:Q30"/>
    <mergeCell ref="A31:Q31"/>
    <mergeCell ref="A32:A33"/>
    <mergeCell ref="B32:C33"/>
    <mergeCell ref="D32:D33"/>
    <mergeCell ref="E32:G32"/>
    <mergeCell ref="H32:H33"/>
    <mergeCell ref="I32:I33"/>
    <mergeCell ref="J32:J33"/>
    <mergeCell ref="L32:Q35"/>
    <mergeCell ref="B34:C34"/>
    <mergeCell ref="A35:J35"/>
    <mergeCell ref="I25:I26"/>
    <mergeCell ref="J25:J26"/>
    <mergeCell ref="L25:Q28"/>
    <mergeCell ref="B27:C27"/>
    <mergeCell ref="A28:J28"/>
    <mergeCell ref="A29:Q29"/>
    <mergeCell ref="A22:Q22"/>
    <mergeCell ref="B23:N23"/>
    <mergeCell ref="P23:Q23"/>
    <mergeCell ref="A24:Q24"/>
    <mergeCell ref="A25:A26"/>
    <mergeCell ref="B25:C26"/>
    <mergeCell ref="D25:D26"/>
    <mergeCell ref="E25:G25"/>
    <mergeCell ref="H25:H26"/>
    <mergeCell ref="J11:J12"/>
    <mergeCell ref="L11:Q14"/>
    <mergeCell ref="B13:C13"/>
    <mergeCell ref="A14:J14"/>
    <mergeCell ref="E18:G18"/>
    <mergeCell ref="H18:H19"/>
    <mergeCell ref="I18:I19"/>
    <mergeCell ref="A11:A12"/>
    <mergeCell ref="B11:C12"/>
    <mergeCell ref="D11:D12"/>
    <mergeCell ref="E11:G11"/>
    <mergeCell ref="H11:H12"/>
    <mergeCell ref="I11:I12"/>
    <mergeCell ref="J18:J19"/>
    <mergeCell ref="L18:Q21"/>
    <mergeCell ref="B20:C20"/>
    <mergeCell ref="A21:J21"/>
    <mergeCell ref="A6:Q6"/>
    <mergeCell ref="B7:Q7"/>
    <mergeCell ref="B8:Q8"/>
    <mergeCell ref="B9:N9"/>
    <mergeCell ref="P9:Q9"/>
    <mergeCell ref="A10:Q10"/>
    <mergeCell ref="A1:N1"/>
    <mergeCell ref="O1:Q4"/>
    <mergeCell ref="A2:N2"/>
    <mergeCell ref="A3:N3"/>
    <mergeCell ref="A4:N4"/>
    <mergeCell ref="A5:Q5"/>
  </mergeCells>
  <pageMargins left="0.39370078740157483" right="0.27559055118110237" top="0.6692913385826772" bottom="0.55118110236220474" header="0.31496062992125984" footer="0.31496062992125984"/>
  <pageSetup scale="7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39997558519241921"/>
  </sheetPr>
  <dimension ref="A1:T2705"/>
  <sheetViews>
    <sheetView topLeftCell="A94" zoomScale="115" zoomScaleNormal="115" zoomScaleSheetLayoutView="100" workbookViewId="0">
      <selection activeCell="D114" sqref="D114"/>
    </sheetView>
  </sheetViews>
  <sheetFormatPr baseColWidth="10" defaultColWidth="15.83203125" defaultRowHeight="13" x14ac:dyDescent="0.15"/>
  <cols>
    <col min="1" max="1" width="6.83203125" style="120" customWidth="1"/>
    <col min="2" max="3" width="12.1640625" style="120" customWidth="1"/>
    <col min="4" max="6" width="10.6640625" style="120" customWidth="1"/>
    <col min="7" max="7" width="9.33203125" style="120" customWidth="1"/>
    <col min="8" max="8" width="10.6640625" style="120" customWidth="1"/>
    <col min="9" max="10" width="10.6640625" style="145" customWidth="1"/>
    <col min="11" max="11" width="12.5" style="120" customWidth="1"/>
    <col min="12" max="12" width="13.33203125" style="120" customWidth="1"/>
    <col min="13" max="17" width="10.6640625" style="120" customWidth="1"/>
    <col min="18" max="19" width="10.83203125" style="120" customWidth="1"/>
    <col min="20" max="20" width="22.5" style="120" customWidth="1"/>
    <col min="21" max="256" width="10.83203125" style="120" customWidth="1"/>
    <col min="257" max="16384" width="15.83203125" style="120"/>
  </cols>
  <sheetData>
    <row r="1" spans="1:17" customFormat="1" ht="41.25" customHeight="1" x14ac:dyDescent="0.15">
      <c r="A1" s="765" t="s">
        <v>874</v>
      </c>
      <c r="B1" s="765"/>
      <c r="C1" s="765"/>
      <c r="D1" s="765"/>
      <c r="E1" s="765"/>
      <c r="F1" s="765"/>
      <c r="G1" s="765"/>
      <c r="H1" s="765"/>
      <c r="I1" s="765"/>
      <c r="J1" s="765"/>
      <c r="K1" s="765"/>
      <c r="L1" s="765"/>
      <c r="M1" s="765"/>
      <c r="N1" s="765"/>
      <c r="O1" s="797"/>
      <c r="P1" s="797"/>
      <c r="Q1" s="797"/>
    </row>
    <row r="2" spans="1:17" customFormat="1" ht="14.25" customHeight="1" x14ac:dyDescent="0.15">
      <c r="A2" s="798" t="s">
        <v>875</v>
      </c>
      <c r="B2" s="798"/>
      <c r="C2" s="798"/>
      <c r="D2" s="798"/>
      <c r="E2" s="798"/>
      <c r="F2" s="798"/>
      <c r="G2" s="798"/>
      <c r="H2" s="798"/>
      <c r="I2" s="798"/>
      <c r="J2" s="798"/>
      <c r="K2" s="798"/>
      <c r="L2" s="798"/>
      <c r="M2" s="798"/>
      <c r="N2" s="798"/>
      <c r="O2" s="797"/>
      <c r="P2" s="797"/>
      <c r="Q2" s="797"/>
    </row>
    <row r="3" spans="1:17" customFormat="1" ht="14.25" customHeight="1" x14ac:dyDescent="0.15">
      <c r="A3" s="798" t="s">
        <v>876</v>
      </c>
      <c r="B3" s="798"/>
      <c r="C3" s="798"/>
      <c r="D3" s="798"/>
      <c r="E3" s="798"/>
      <c r="F3" s="798"/>
      <c r="G3" s="798"/>
      <c r="H3" s="798"/>
      <c r="I3" s="798"/>
      <c r="J3" s="798"/>
      <c r="K3" s="798"/>
      <c r="L3" s="798"/>
      <c r="M3" s="798"/>
      <c r="N3" s="798"/>
      <c r="O3" s="797"/>
      <c r="P3" s="797"/>
      <c r="Q3" s="797"/>
    </row>
    <row r="4" spans="1:17" customFormat="1" ht="30.75" customHeight="1" x14ac:dyDescent="0.15">
      <c r="A4" s="768" t="s">
        <v>836</v>
      </c>
      <c r="B4" s="768"/>
      <c r="C4" s="768"/>
      <c r="D4" s="768"/>
      <c r="E4" s="768"/>
      <c r="F4" s="768"/>
      <c r="G4" s="768"/>
      <c r="H4" s="768"/>
      <c r="I4" s="768"/>
      <c r="J4" s="768"/>
      <c r="K4" s="768"/>
      <c r="L4" s="768"/>
      <c r="M4" s="768"/>
      <c r="N4" s="768"/>
      <c r="O4" s="797"/>
      <c r="P4" s="797"/>
      <c r="Q4" s="797"/>
    </row>
    <row r="5" spans="1:17" customFormat="1" ht="19.5" customHeight="1" x14ac:dyDescent="0.15">
      <c r="A5" s="799" t="s">
        <v>966</v>
      </c>
      <c r="B5" s="800"/>
      <c r="C5" s="800"/>
      <c r="D5" s="800"/>
      <c r="E5" s="800"/>
      <c r="F5" s="800"/>
      <c r="G5" s="800"/>
      <c r="H5" s="800"/>
      <c r="I5" s="800"/>
      <c r="J5" s="800"/>
      <c r="K5" s="800"/>
      <c r="L5" s="800"/>
      <c r="M5" s="800"/>
      <c r="N5" s="800"/>
      <c r="O5" s="800"/>
      <c r="P5" s="800"/>
      <c r="Q5" s="801"/>
    </row>
    <row r="6" spans="1:17" x14ac:dyDescent="0.15">
      <c r="A6" s="790"/>
      <c r="B6" s="791"/>
      <c r="C6" s="791"/>
      <c r="D6" s="791"/>
      <c r="E6" s="791"/>
      <c r="F6" s="791"/>
      <c r="G6" s="791"/>
      <c r="H6" s="791"/>
      <c r="I6" s="791"/>
      <c r="J6" s="791"/>
      <c r="K6" s="791"/>
      <c r="L6" s="791"/>
      <c r="M6" s="791"/>
      <c r="N6" s="791"/>
      <c r="O6" s="791"/>
      <c r="P6" s="791"/>
      <c r="Q6" s="792"/>
    </row>
    <row r="7" spans="1:17" customFormat="1" ht="19.5" customHeight="1" x14ac:dyDescent="0.15">
      <c r="A7" s="132" t="s">
        <v>185</v>
      </c>
      <c r="B7" s="818" t="s">
        <v>875</v>
      </c>
      <c r="C7" s="819"/>
      <c r="D7" s="819"/>
      <c r="E7" s="819"/>
      <c r="F7" s="819"/>
      <c r="G7" s="819"/>
      <c r="H7" s="819"/>
      <c r="I7" s="819"/>
      <c r="J7" s="819"/>
      <c r="K7" s="819"/>
      <c r="L7" s="819"/>
      <c r="M7" s="819"/>
      <c r="N7" s="819"/>
      <c r="O7" s="819"/>
      <c r="P7" s="819"/>
      <c r="Q7" s="820"/>
    </row>
    <row r="8" spans="1:17" customFormat="1" ht="19.5" customHeight="1" x14ac:dyDescent="0.15">
      <c r="A8" s="132"/>
      <c r="B8" s="818" t="s">
        <v>1430</v>
      </c>
      <c r="C8" s="819"/>
      <c r="D8" s="819"/>
      <c r="E8" s="819"/>
      <c r="F8" s="819"/>
      <c r="G8" s="819"/>
      <c r="H8" s="819"/>
      <c r="I8" s="819"/>
      <c r="J8" s="819"/>
      <c r="K8" s="819"/>
      <c r="L8" s="819"/>
      <c r="M8" s="819"/>
      <c r="N8" s="819"/>
      <c r="O8" s="819"/>
      <c r="P8" s="819"/>
      <c r="Q8" s="820"/>
    </row>
    <row r="9" spans="1:17" x14ac:dyDescent="0.15">
      <c r="A9" s="790"/>
      <c r="B9" s="791"/>
      <c r="C9" s="791"/>
      <c r="D9" s="791"/>
      <c r="E9" s="791"/>
      <c r="F9" s="791"/>
      <c r="G9" s="791"/>
      <c r="H9" s="791"/>
      <c r="I9" s="791"/>
      <c r="J9" s="791"/>
      <c r="K9" s="791"/>
      <c r="L9" s="791"/>
      <c r="M9" s="791"/>
      <c r="N9" s="791"/>
      <c r="O9" s="791"/>
      <c r="P9" s="791"/>
      <c r="Q9" s="792"/>
    </row>
    <row r="10" spans="1:17" s="121" customFormat="1" ht="18" customHeight="1" x14ac:dyDescent="0.15">
      <c r="A10" s="218" t="s">
        <v>0</v>
      </c>
      <c r="B10" s="793" t="s">
        <v>971</v>
      </c>
      <c r="C10" s="794"/>
      <c r="D10" s="794"/>
      <c r="E10" s="794"/>
      <c r="F10" s="794"/>
      <c r="G10" s="794"/>
      <c r="H10" s="794"/>
      <c r="I10" s="794"/>
      <c r="J10" s="794"/>
      <c r="K10" s="794"/>
      <c r="L10" s="794"/>
      <c r="M10" s="794"/>
      <c r="N10" s="821"/>
      <c r="O10" s="216" t="s">
        <v>73</v>
      </c>
      <c r="P10" s="795" t="s">
        <v>5</v>
      </c>
      <c r="Q10" s="796"/>
    </row>
    <row r="11" spans="1:17" x14ac:dyDescent="0.15">
      <c r="A11" s="790"/>
      <c r="B11" s="791"/>
      <c r="C11" s="791"/>
      <c r="D11" s="791"/>
      <c r="E11" s="791"/>
      <c r="F11" s="791"/>
      <c r="G11" s="791"/>
      <c r="H11" s="791"/>
      <c r="I11" s="791"/>
      <c r="J11" s="791"/>
      <c r="K11" s="791"/>
      <c r="L11" s="791"/>
      <c r="M11" s="791"/>
      <c r="N11" s="791"/>
      <c r="O11" s="791"/>
      <c r="P11" s="791"/>
      <c r="Q11" s="792"/>
    </row>
    <row r="12" spans="1:17" s="126" customFormat="1" x14ac:dyDescent="0.15">
      <c r="A12" s="822" t="s">
        <v>150</v>
      </c>
      <c r="B12" s="823" t="s">
        <v>151</v>
      </c>
      <c r="C12" s="823"/>
      <c r="D12" s="802" t="s">
        <v>658</v>
      </c>
      <c r="E12" s="823" t="s">
        <v>152</v>
      </c>
      <c r="F12" s="823"/>
      <c r="G12" s="823"/>
      <c r="H12" s="804" t="s">
        <v>153</v>
      </c>
      <c r="I12" s="802" t="s">
        <v>159</v>
      </c>
      <c r="J12" s="804" t="s">
        <v>73</v>
      </c>
      <c r="K12" s="216" t="s">
        <v>154</v>
      </c>
      <c r="L12" s="806"/>
      <c r="M12" s="807"/>
      <c r="N12" s="807"/>
      <c r="O12" s="807"/>
      <c r="P12" s="807"/>
      <c r="Q12" s="808"/>
    </row>
    <row r="13" spans="1:17" s="130" customFormat="1" x14ac:dyDescent="0.15">
      <c r="A13" s="822"/>
      <c r="B13" s="823"/>
      <c r="C13" s="823"/>
      <c r="D13" s="803"/>
      <c r="E13" s="217" t="s">
        <v>155</v>
      </c>
      <c r="F13" s="217" t="s">
        <v>156</v>
      </c>
      <c r="G13" s="217" t="s">
        <v>157</v>
      </c>
      <c r="H13" s="805"/>
      <c r="I13" s="803"/>
      <c r="J13" s="805"/>
      <c r="K13" s="216" t="s">
        <v>158</v>
      </c>
      <c r="L13" s="809"/>
      <c r="M13" s="810"/>
      <c r="N13" s="810"/>
      <c r="O13" s="810"/>
      <c r="P13" s="810"/>
      <c r="Q13" s="811"/>
    </row>
    <row r="14" spans="1:17" customFormat="1" ht="19.5" customHeight="1" x14ac:dyDescent="0.15">
      <c r="A14" s="696" t="s">
        <v>185</v>
      </c>
      <c r="B14" s="856" t="s">
        <v>1437</v>
      </c>
      <c r="C14" s="857"/>
      <c r="D14" s="857"/>
      <c r="E14" s="857"/>
      <c r="F14" s="857"/>
      <c r="G14" s="857"/>
      <c r="H14" s="857"/>
      <c r="I14" s="857"/>
      <c r="J14" s="857"/>
      <c r="K14" s="858"/>
      <c r="L14" s="809"/>
      <c r="M14" s="810"/>
      <c r="N14" s="810"/>
      <c r="O14" s="810"/>
      <c r="P14" s="810"/>
      <c r="Q14" s="811"/>
    </row>
    <row r="15" spans="1:17" ht="22.5" customHeight="1" x14ac:dyDescent="0.15">
      <c r="A15" s="131"/>
      <c r="B15" s="815" t="s">
        <v>972</v>
      </c>
      <c r="C15" s="816"/>
      <c r="D15" s="219">
        <v>28</v>
      </c>
      <c r="E15" s="132">
        <v>0</v>
      </c>
      <c r="F15" s="144">
        <v>0</v>
      </c>
      <c r="G15" s="144">
        <v>0.03</v>
      </c>
      <c r="H15" s="132">
        <v>1</v>
      </c>
      <c r="I15" s="132">
        <f>D15</f>
        <v>28</v>
      </c>
      <c r="J15" s="144" t="s">
        <v>5</v>
      </c>
      <c r="K15" s="219">
        <f>I15*H15</f>
        <v>28</v>
      </c>
      <c r="L15" s="809"/>
      <c r="M15" s="810"/>
      <c r="N15" s="810"/>
      <c r="O15" s="810"/>
      <c r="P15" s="810"/>
      <c r="Q15" s="811"/>
    </row>
    <row r="16" spans="1:17" customFormat="1" ht="19.5" customHeight="1" x14ac:dyDescent="0.15">
      <c r="A16" s="696" t="s">
        <v>247</v>
      </c>
      <c r="B16" s="856" t="s">
        <v>1452</v>
      </c>
      <c r="C16" s="857"/>
      <c r="D16" s="857"/>
      <c r="E16" s="857"/>
      <c r="F16" s="857"/>
      <c r="G16" s="857"/>
      <c r="H16" s="857"/>
      <c r="I16" s="857"/>
      <c r="J16" s="857"/>
      <c r="K16" s="858"/>
      <c r="L16" s="809"/>
      <c r="M16" s="810"/>
      <c r="N16" s="810"/>
      <c r="O16" s="810"/>
      <c r="P16" s="810"/>
      <c r="Q16" s="811"/>
    </row>
    <row r="17" spans="1:17" ht="22.5" customHeight="1" x14ac:dyDescent="0.15">
      <c r="A17" s="131"/>
      <c r="B17" s="815" t="s">
        <v>972</v>
      </c>
      <c r="C17" s="816"/>
      <c r="D17" s="219">
        <v>44.51</v>
      </c>
      <c r="E17" s="132">
        <v>0</v>
      </c>
      <c r="F17" s="144">
        <v>0</v>
      </c>
      <c r="G17" s="144">
        <v>0.03</v>
      </c>
      <c r="H17" s="132">
        <v>1</v>
      </c>
      <c r="I17" s="132">
        <f>D17</f>
        <v>44.51</v>
      </c>
      <c r="J17" s="144" t="s">
        <v>5</v>
      </c>
      <c r="K17" s="219">
        <f>I17*H17</f>
        <v>44.51</v>
      </c>
      <c r="L17" s="809"/>
      <c r="M17" s="810"/>
      <c r="N17" s="810"/>
      <c r="O17" s="810"/>
      <c r="P17" s="810"/>
      <c r="Q17" s="811"/>
    </row>
    <row r="18" spans="1:17" ht="22.5" customHeight="1" x14ac:dyDescent="0.15">
      <c r="A18" s="795" t="s">
        <v>149</v>
      </c>
      <c r="B18" s="817"/>
      <c r="C18" s="817"/>
      <c r="D18" s="817"/>
      <c r="E18" s="817"/>
      <c r="F18" s="817"/>
      <c r="G18" s="817"/>
      <c r="H18" s="817"/>
      <c r="I18" s="817"/>
      <c r="J18" s="796"/>
      <c r="K18" s="416">
        <f>SUM(K15:K17)</f>
        <v>72.509999999999991</v>
      </c>
      <c r="L18" s="812"/>
      <c r="M18" s="813"/>
      <c r="N18" s="813"/>
      <c r="O18" s="813"/>
      <c r="P18" s="813"/>
      <c r="Q18" s="814"/>
    </row>
    <row r="19" spans="1:17" x14ac:dyDescent="0.15">
      <c r="A19" s="790"/>
      <c r="B19" s="791"/>
      <c r="C19" s="791"/>
      <c r="D19" s="791"/>
      <c r="E19" s="791"/>
      <c r="F19" s="791"/>
      <c r="G19" s="791"/>
      <c r="H19" s="791"/>
      <c r="I19" s="791"/>
      <c r="J19" s="791"/>
      <c r="K19" s="791"/>
      <c r="L19" s="791"/>
      <c r="M19" s="791"/>
      <c r="N19" s="791"/>
      <c r="O19" s="791"/>
      <c r="P19" s="791"/>
      <c r="Q19" s="792"/>
    </row>
    <row r="20" spans="1:17" s="121" customFormat="1" ht="18" customHeight="1" x14ac:dyDescent="0.15">
      <c r="A20" s="218" t="s">
        <v>0</v>
      </c>
      <c r="B20" s="793" t="s">
        <v>1145</v>
      </c>
      <c r="C20" s="794"/>
      <c r="D20" s="794"/>
      <c r="E20" s="794"/>
      <c r="F20" s="794"/>
      <c r="G20" s="794"/>
      <c r="H20" s="794"/>
      <c r="I20" s="794"/>
      <c r="J20" s="794"/>
      <c r="K20" s="794"/>
      <c r="L20" s="794"/>
      <c r="M20" s="794"/>
      <c r="N20" s="821"/>
      <c r="O20" s="216" t="s">
        <v>73</v>
      </c>
      <c r="P20" s="795" t="s">
        <v>5</v>
      </c>
      <c r="Q20" s="796"/>
    </row>
    <row r="21" spans="1:17" x14ac:dyDescent="0.15">
      <c r="A21" s="790"/>
      <c r="B21" s="791"/>
      <c r="C21" s="791"/>
      <c r="D21" s="791"/>
      <c r="E21" s="791"/>
      <c r="F21" s="791"/>
      <c r="G21" s="791"/>
      <c r="H21" s="791"/>
      <c r="I21" s="791"/>
      <c r="J21" s="791"/>
      <c r="K21" s="791"/>
      <c r="L21" s="791"/>
      <c r="M21" s="791"/>
      <c r="N21" s="791"/>
      <c r="O21" s="791"/>
      <c r="P21" s="791"/>
      <c r="Q21" s="792"/>
    </row>
    <row r="22" spans="1:17" s="126" customFormat="1" x14ac:dyDescent="0.15">
      <c r="A22" s="822" t="s">
        <v>150</v>
      </c>
      <c r="B22" s="823" t="s">
        <v>151</v>
      </c>
      <c r="C22" s="823"/>
      <c r="D22" s="802" t="s">
        <v>658</v>
      </c>
      <c r="E22" s="823" t="s">
        <v>152</v>
      </c>
      <c r="F22" s="823"/>
      <c r="G22" s="823"/>
      <c r="H22" s="804" t="s">
        <v>153</v>
      </c>
      <c r="I22" s="802" t="s">
        <v>159</v>
      </c>
      <c r="J22" s="804" t="s">
        <v>73</v>
      </c>
      <c r="K22" s="216" t="s">
        <v>154</v>
      </c>
      <c r="L22" s="806"/>
      <c r="M22" s="807"/>
      <c r="N22" s="807"/>
      <c r="O22" s="807"/>
      <c r="P22" s="807"/>
      <c r="Q22" s="808"/>
    </row>
    <row r="23" spans="1:17" s="130" customFormat="1" x14ac:dyDescent="0.15">
      <c r="A23" s="822"/>
      <c r="B23" s="823"/>
      <c r="C23" s="823"/>
      <c r="D23" s="803"/>
      <c r="E23" s="217" t="s">
        <v>155</v>
      </c>
      <c r="F23" s="217" t="s">
        <v>156</v>
      </c>
      <c r="G23" s="217" t="s">
        <v>157</v>
      </c>
      <c r="H23" s="805"/>
      <c r="I23" s="803"/>
      <c r="J23" s="805"/>
      <c r="K23" s="216" t="s">
        <v>158</v>
      </c>
      <c r="L23" s="809"/>
      <c r="M23" s="810"/>
      <c r="N23" s="810"/>
      <c r="O23" s="810"/>
      <c r="P23" s="810"/>
      <c r="Q23" s="811"/>
    </row>
    <row r="24" spans="1:17" customFormat="1" ht="19.5" customHeight="1" x14ac:dyDescent="0.15">
      <c r="A24" s="696" t="s">
        <v>185</v>
      </c>
      <c r="B24" s="856" t="s">
        <v>1437</v>
      </c>
      <c r="C24" s="857"/>
      <c r="D24" s="857"/>
      <c r="E24" s="857"/>
      <c r="F24" s="857"/>
      <c r="G24" s="857"/>
      <c r="H24" s="857"/>
      <c r="I24" s="857"/>
      <c r="J24" s="857"/>
      <c r="K24" s="858"/>
      <c r="L24" s="809"/>
      <c r="M24" s="810"/>
      <c r="N24" s="810"/>
      <c r="O24" s="810"/>
      <c r="P24" s="810"/>
      <c r="Q24" s="811"/>
    </row>
    <row r="25" spans="1:17" ht="22.5" customHeight="1" x14ac:dyDescent="0.15">
      <c r="A25" s="131"/>
      <c r="B25" s="815" t="s">
        <v>1456</v>
      </c>
      <c r="C25" s="816"/>
      <c r="D25" s="219">
        <v>0</v>
      </c>
      <c r="E25" s="132">
        <f>31.5+10.26</f>
        <v>41.76</v>
      </c>
      <c r="F25" s="144">
        <v>0</v>
      </c>
      <c r="G25" s="144">
        <v>2</v>
      </c>
      <c r="H25" s="132">
        <v>1</v>
      </c>
      <c r="I25" s="132">
        <f>G25*E25</f>
        <v>83.52</v>
      </c>
      <c r="J25" s="144" t="s">
        <v>5</v>
      </c>
      <c r="K25" s="219">
        <f>I25*H25</f>
        <v>83.52</v>
      </c>
      <c r="L25" s="809"/>
      <c r="M25" s="810"/>
      <c r="N25" s="810"/>
      <c r="O25" s="810"/>
      <c r="P25" s="810"/>
      <c r="Q25" s="811"/>
    </row>
    <row r="26" spans="1:17" customFormat="1" ht="19.5" customHeight="1" x14ac:dyDescent="0.15">
      <c r="A26" s="696" t="s">
        <v>247</v>
      </c>
      <c r="B26" s="856" t="s">
        <v>1452</v>
      </c>
      <c r="C26" s="857"/>
      <c r="D26" s="857"/>
      <c r="E26" s="857"/>
      <c r="F26" s="857"/>
      <c r="G26" s="857"/>
      <c r="H26" s="857"/>
      <c r="I26" s="857"/>
      <c r="J26" s="857"/>
      <c r="K26" s="858"/>
      <c r="L26" s="809"/>
      <c r="M26" s="810"/>
      <c r="N26" s="810"/>
      <c r="O26" s="810"/>
      <c r="P26" s="810"/>
      <c r="Q26" s="811"/>
    </row>
    <row r="27" spans="1:17" ht="22.5" customHeight="1" x14ac:dyDescent="0.15">
      <c r="A27" s="131"/>
      <c r="B27" s="815" t="s">
        <v>1438</v>
      </c>
      <c r="C27" s="816"/>
      <c r="D27" s="219">
        <v>22.12</v>
      </c>
      <c r="E27" s="132">
        <v>0</v>
      </c>
      <c r="F27" s="144">
        <v>0</v>
      </c>
      <c r="G27" s="144">
        <v>0.13</v>
      </c>
      <c r="H27" s="132">
        <v>1</v>
      </c>
      <c r="I27" s="132">
        <f>D27</f>
        <v>22.12</v>
      </c>
      <c r="J27" s="144" t="s">
        <v>5</v>
      </c>
      <c r="K27" s="219">
        <f>I27*H27</f>
        <v>22.12</v>
      </c>
      <c r="L27" s="809"/>
      <c r="M27" s="810"/>
      <c r="N27" s="810"/>
      <c r="O27" s="810"/>
      <c r="P27" s="810"/>
      <c r="Q27" s="811"/>
    </row>
    <row r="28" spans="1:17" customFormat="1" ht="19.5" customHeight="1" x14ac:dyDescent="0.15">
      <c r="A28" s="696" t="s">
        <v>1440</v>
      </c>
      <c r="B28" s="856" t="s">
        <v>1439</v>
      </c>
      <c r="C28" s="857"/>
      <c r="D28" s="857"/>
      <c r="E28" s="857"/>
      <c r="F28" s="857"/>
      <c r="G28" s="857"/>
      <c r="H28" s="857"/>
      <c r="I28" s="857"/>
      <c r="J28" s="857"/>
      <c r="K28" s="858"/>
      <c r="L28" s="809"/>
      <c r="M28" s="810"/>
      <c r="N28" s="810"/>
      <c r="O28" s="810"/>
      <c r="P28" s="810"/>
      <c r="Q28" s="811"/>
    </row>
    <row r="29" spans="1:17" ht="22.5" customHeight="1" x14ac:dyDescent="0.15">
      <c r="A29" s="131"/>
      <c r="B29" s="815" t="s">
        <v>1438</v>
      </c>
      <c r="C29" s="816"/>
      <c r="D29" s="219">
        <v>6</v>
      </c>
      <c r="E29" s="132">
        <v>0</v>
      </c>
      <c r="F29" s="144">
        <v>0</v>
      </c>
      <c r="G29" s="144">
        <v>0.13</v>
      </c>
      <c r="H29" s="132">
        <v>1</v>
      </c>
      <c r="I29" s="132">
        <f>D29</f>
        <v>6</v>
      </c>
      <c r="J29" s="144" t="s">
        <v>5</v>
      </c>
      <c r="K29" s="219">
        <f>I29*H29</f>
        <v>6</v>
      </c>
      <c r="L29" s="809"/>
      <c r="M29" s="810"/>
      <c r="N29" s="810"/>
      <c r="O29" s="810"/>
      <c r="P29" s="810"/>
      <c r="Q29" s="811"/>
    </row>
    <row r="30" spans="1:17" ht="22.5" customHeight="1" x14ac:dyDescent="0.15">
      <c r="A30" s="795" t="s">
        <v>149</v>
      </c>
      <c r="B30" s="817"/>
      <c r="C30" s="817"/>
      <c r="D30" s="817"/>
      <c r="E30" s="817"/>
      <c r="F30" s="817"/>
      <c r="G30" s="817"/>
      <c r="H30" s="817"/>
      <c r="I30" s="817"/>
      <c r="J30" s="796"/>
      <c r="K30" s="416">
        <f>SUM(K25:K29)</f>
        <v>111.64</v>
      </c>
      <c r="L30" s="812"/>
      <c r="M30" s="813"/>
      <c r="N30" s="813"/>
      <c r="O30" s="813"/>
      <c r="P30" s="813"/>
      <c r="Q30" s="814"/>
    </row>
    <row r="31" spans="1:17" x14ac:dyDescent="0.15">
      <c r="A31" s="790"/>
      <c r="B31" s="791"/>
      <c r="C31" s="791"/>
      <c r="D31" s="791"/>
      <c r="E31" s="791"/>
      <c r="F31" s="791"/>
      <c r="G31" s="791"/>
      <c r="H31" s="791"/>
      <c r="I31" s="791"/>
      <c r="J31" s="791"/>
      <c r="K31" s="791"/>
      <c r="L31" s="791"/>
      <c r="M31" s="791"/>
      <c r="N31" s="791"/>
      <c r="O31" s="791"/>
      <c r="P31" s="791"/>
      <c r="Q31" s="792"/>
    </row>
    <row r="32" spans="1:17" s="121" customFormat="1" ht="18" customHeight="1" x14ac:dyDescent="0.15">
      <c r="A32" s="218" t="s">
        <v>0</v>
      </c>
      <c r="B32" s="793" t="s">
        <v>1167</v>
      </c>
      <c r="C32" s="794"/>
      <c r="D32" s="794"/>
      <c r="E32" s="794"/>
      <c r="F32" s="794"/>
      <c r="G32" s="794"/>
      <c r="H32" s="794"/>
      <c r="I32" s="794"/>
      <c r="J32" s="794"/>
      <c r="K32" s="794"/>
      <c r="L32" s="794"/>
      <c r="M32" s="794"/>
      <c r="N32" s="821"/>
      <c r="O32" s="216" t="s">
        <v>73</v>
      </c>
      <c r="P32" s="795" t="s">
        <v>5</v>
      </c>
      <c r="Q32" s="796"/>
    </row>
    <row r="33" spans="1:17" x14ac:dyDescent="0.15">
      <c r="A33" s="790"/>
      <c r="B33" s="791"/>
      <c r="C33" s="791"/>
      <c r="D33" s="791"/>
      <c r="E33" s="791"/>
      <c r="F33" s="791"/>
      <c r="G33" s="791"/>
      <c r="H33" s="791"/>
      <c r="I33" s="791"/>
      <c r="J33" s="791"/>
      <c r="K33" s="791"/>
      <c r="L33" s="791"/>
      <c r="M33" s="791"/>
      <c r="N33" s="791"/>
      <c r="O33" s="791"/>
      <c r="P33" s="791"/>
      <c r="Q33" s="792"/>
    </row>
    <row r="34" spans="1:17" s="126" customFormat="1" x14ac:dyDescent="0.15">
      <c r="A34" s="822" t="s">
        <v>150</v>
      </c>
      <c r="B34" s="823" t="s">
        <v>151</v>
      </c>
      <c r="C34" s="823"/>
      <c r="D34" s="802" t="s">
        <v>658</v>
      </c>
      <c r="E34" s="823" t="s">
        <v>152</v>
      </c>
      <c r="F34" s="823"/>
      <c r="G34" s="823"/>
      <c r="H34" s="804" t="s">
        <v>153</v>
      </c>
      <c r="I34" s="802" t="s">
        <v>159</v>
      </c>
      <c r="J34" s="804" t="s">
        <v>73</v>
      </c>
      <c r="K34" s="216" t="s">
        <v>154</v>
      </c>
      <c r="L34" s="806"/>
      <c r="M34" s="807"/>
      <c r="N34" s="807"/>
      <c r="O34" s="807"/>
      <c r="P34" s="807"/>
      <c r="Q34" s="808"/>
    </row>
    <row r="35" spans="1:17" s="130" customFormat="1" x14ac:dyDescent="0.15">
      <c r="A35" s="822"/>
      <c r="B35" s="823"/>
      <c r="C35" s="823"/>
      <c r="D35" s="803"/>
      <c r="E35" s="217" t="s">
        <v>155</v>
      </c>
      <c r="F35" s="217" t="s">
        <v>156</v>
      </c>
      <c r="G35" s="217" t="s">
        <v>157</v>
      </c>
      <c r="H35" s="805"/>
      <c r="I35" s="803"/>
      <c r="J35" s="805"/>
      <c r="K35" s="216" t="s">
        <v>158</v>
      </c>
      <c r="L35" s="809"/>
      <c r="M35" s="810"/>
      <c r="N35" s="810"/>
      <c r="O35" s="810"/>
      <c r="P35" s="810"/>
      <c r="Q35" s="811"/>
    </row>
    <row r="36" spans="1:17" customFormat="1" ht="19.5" customHeight="1" x14ac:dyDescent="0.15">
      <c r="A36" s="696" t="s">
        <v>185</v>
      </c>
      <c r="B36" s="856" t="s">
        <v>1437</v>
      </c>
      <c r="C36" s="857"/>
      <c r="D36" s="857"/>
      <c r="E36" s="857"/>
      <c r="F36" s="857"/>
      <c r="G36" s="857"/>
      <c r="H36" s="857"/>
      <c r="I36" s="857"/>
      <c r="J36" s="857"/>
      <c r="K36" s="858"/>
      <c r="L36" s="809"/>
      <c r="M36" s="810"/>
      <c r="N36" s="810"/>
      <c r="O36" s="810"/>
      <c r="P36" s="810"/>
      <c r="Q36" s="811"/>
    </row>
    <row r="37" spans="1:17" ht="22.5" customHeight="1" x14ac:dyDescent="0.15">
      <c r="A37" s="131"/>
      <c r="B37" s="815" t="s">
        <v>1441</v>
      </c>
      <c r="C37" s="816"/>
      <c r="D37" s="219">
        <v>67.5</v>
      </c>
      <c r="E37" s="132">
        <v>0</v>
      </c>
      <c r="F37" s="144">
        <v>0</v>
      </c>
      <c r="G37" s="144">
        <v>0</v>
      </c>
      <c r="H37" s="132">
        <v>1</v>
      </c>
      <c r="I37" s="132">
        <f>D37</f>
        <v>67.5</v>
      </c>
      <c r="J37" s="144" t="s">
        <v>5</v>
      </c>
      <c r="K37" s="219">
        <f>I37*H37</f>
        <v>67.5</v>
      </c>
      <c r="L37" s="809"/>
      <c r="M37" s="810"/>
      <c r="N37" s="810"/>
      <c r="O37" s="810"/>
      <c r="P37" s="810"/>
      <c r="Q37" s="811"/>
    </row>
    <row r="38" spans="1:17" ht="22.5" customHeight="1" x14ac:dyDescent="0.15">
      <c r="A38" s="795" t="s">
        <v>149</v>
      </c>
      <c r="B38" s="817"/>
      <c r="C38" s="817"/>
      <c r="D38" s="817"/>
      <c r="E38" s="817"/>
      <c r="F38" s="817"/>
      <c r="G38" s="817"/>
      <c r="H38" s="817"/>
      <c r="I38" s="817"/>
      <c r="J38" s="796"/>
      <c r="K38" s="416">
        <f>SUM(K37:K37)</f>
        <v>67.5</v>
      </c>
      <c r="L38" s="812"/>
      <c r="M38" s="813"/>
      <c r="N38" s="813"/>
      <c r="O38" s="813"/>
      <c r="P38" s="813"/>
      <c r="Q38" s="814"/>
    </row>
    <row r="39" spans="1:17" x14ac:dyDescent="0.15">
      <c r="A39" s="790"/>
      <c r="B39" s="791"/>
      <c r="C39" s="791"/>
      <c r="D39" s="791"/>
      <c r="E39" s="791"/>
      <c r="F39" s="791"/>
      <c r="G39" s="791"/>
      <c r="H39" s="791"/>
      <c r="I39" s="791"/>
      <c r="J39" s="791"/>
      <c r="K39" s="791"/>
      <c r="L39" s="791"/>
      <c r="M39" s="791"/>
      <c r="N39" s="791"/>
      <c r="O39" s="791"/>
      <c r="P39" s="791"/>
      <c r="Q39" s="792"/>
    </row>
    <row r="40" spans="1:17" s="121" customFormat="1" ht="18" customHeight="1" x14ac:dyDescent="0.15">
      <c r="A40" s="218" t="s">
        <v>0</v>
      </c>
      <c r="B40" s="793" t="s">
        <v>1178</v>
      </c>
      <c r="C40" s="794"/>
      <c r="D40" s="794"/>
      <c r="E40" s="794"/>
      <c r="F40" s="794"/>
      <c r="G40" s="794"/>
      <c r="H40" s="794"/>
      <c r="I40" s="794"/>
      <c r="J40" s="794"/>
      <c r="K40" s="794"/>
      <c r="L40" s="794"/>
      <c r="M40" s="794"/>
      <c r="N40" s="821"/>
      <c r="O40" s="216" t="s">
        <v>73</v>
      </c>
      <c r="P40" s="795" t="s">
        <v>319</v>
      </c>
      <c r="Q40" s="796"/>
    </row>
    <row r="41" spans="1:17" x14ac:dyDescent="0.15">
      <c r="A41" s="790"/>
      <c r="B41" s="791"/>
      <c r="C41" s="791"/>
      <c r="D41" s="791"/>
      <c r="E41" s="791"/>
      <c r="F41" s="791"/>
      <c r="G41" s="791"/>
      <c r="H41" s="791"/>
      <c r="I41" s="791"/>
      <c r="J41" s="791"/>
      <c r="K41" s="791"/>
      <c r="L41" s="791"/>
      <c r="M41" s="791"/>
      <c r="N41" s="791"/>
      <c r="O41" s="791"/>
      <c r="P41" s="791"/>
      <c r="Q41" s="792"/>
    </row>
    <row r="42" spans="1:17" s="126" customFormat="1" x14ac:dyDescent="0.15">
      <c r="A42" s="822" t="s">
        <v>150</v>
      </c>
      <c r="B42" s="823" t="s">
        <v>151</v>
      </c>
      <c r="C42" s="823"/>
      <c r="D42" s="802"/>
      <c r="E42" s="823" t="s">
        <v>152</v>
      </c>
      <c r="F42" s="823"/>
      <c r="G42" s="823"/>
      <c r="H42" s="802" t="s">
        <v>153</v>
      </c>
      <c r="I42" s="802" t="s">
        <v>479</v>
      </c>
      <c r="J42" s="804" t="s">
        <v>73</v>
      </c>
      <c r="K42" s="216" t="s">
        <v>154</v>
      </c>
      <c r="L42" s="123"/>
      <c r="M42" s="124"/>
      <c r="N42" s="124"/>
      <c r="O42" s="124"/>
      <c r="P42" s="124"/>
      <c r="Q42" s="125"/>
    </row>
    <row r="43" spans="1:17" s="130" customFormat="1" x14ac:dyDescent="0.15">
      <c r="A43" s="822"/>
      <c r="B43" s="823"/>
      <c r="C43" s="823"/>
      <c r="D43" s="803"/>
      <c r="E43" s="217" t="s">
        <v>155</v>
      </c>
      <c r="F43" s="217" t="s">
        <v>156</v>
      </c>
      <c r="G43" s="217" t="s">
        <v>157</v>
      </c>
      <c r="H43" s="803"/>
      <c r="I43" s="803"/>
      <c r="J43" s="805"/>
      <c r="K43" s="216" t="s">
        <v>158</v>
      </c>
      <c r="L43" s="127"/>
      <c r="M43" s="128"/>
      <c r="N43" s="128"/>
      <c r="O43" s="128"/>
      <c r="P43" s="128"/>
      <c r="Q43" s="129"/>
    </row>
    <row r="44" spans="1:17" customFormat="1" ht="19.5" customHeight="1" x14ac:dyDescent="0.15">
      <c r="A44" s="696" t="s">
        <v>185</v>
      </c>
      <c r="B44" s="856" t="s">
        <v>1437</v>
      </c>
      <c r="C44" s="857"/>
      <c r="D44" s="857"/>
      <c r="E44" s="857"/>
      <c r="F44" s="857"/>
      <c r="G44" s="857"/>
      <c r="H44" s="857"/>
      <c r="I44" s="857"/>
      <c r="J44" s="857"/>
      <c r="K44" s="858"/>
      <c r="L44" s="127"/>
      <c r="M44" s="128"/>
      <c r="N44" s="128"/>
      <c r="O44" s="128"/>
      <c r="P44" s="128"/>
      <c r="Q44" s="129"/>
    </row>
    <row r="45" spans="1:17" ht="19.5" customHeight="1" x14ac:dyDescent="0.15">
      <c r="A45" s="148"/>
      <c r="B45" s="788" t="s">
        <v>1442</v>
      </c>
      <c r="C45" s="789"/>
      <c r="D45" s="149"/>
      <c r="E45" s="143">
        <v>1</v>
      </c>
      <c r="F45" s="143">
        <v>0</v>
      </c>
      <c r="G45" s="143">
        <v>2</v>
      </c>
      <c r="H45" s="143">
        <v>1</v>
      </c>
      <c r="I45" s="143">
        <v>1</v>
      </c>
      <c r="J45" s="133" t="s">
        <v>319</v>
      </c>
      <c r="K45" s="143">
        <f t="shared" ref="K45:K50" si="0">I45*H45</f>
        <v>1</v>
      </c>
      <c r="L45" s="127"/>
      <c r="M45" s="128"/>
      <c r="N45" s="128"/>
      <c r="O45" s="128"/>
      <c r="P45" s="128"/>
      <c r="Q45" s="129"/>
    </row>
    <row r="46" spans="1:17" ht="19.5" customHeight="1" x14ac:dyDescent="0.15">
      <c r="A46" s="148"/>
      <c r="B46" s="788" t="s">
        <v>1443</v>
      </c>
      <c r="C46" s="789"/>
      <c r="D46" s="149"/>
      <c r="E46" s="143">
        <v>1</v>
      </c>
      <c r="F46" s="143">
        <v>0</v>
      </c>
      <c r="G46" s="143">
        <v>2</v>
      </c>
      <c r="H46" s="143">
        <v>1</v>
      </c>
      <c r="I46" s="143">
        <v>1</v>
      </c>
      <c r="J46" s="133" t="s">
        <v>319</v>
      </c>
      <c r="K46" s="143">
        <f t="shared" si="0"/>
        <v>1</v>
      </c>
      <c r="L46" s="127"/>
      <c r="M46" s="128"/>
      <c r="N46" s="128"/>
      <c r="O46" s="128"/>
      <c r="P46" s="128"/>
      <c r="Q46" s="129"/>
    </row>
    <row r="47" spans="1:17" ht="19.5" customHeight="1" x14ac:dyDescent="0.15">
      <c r="A47" s="148"/>
      <c r="B47" s="788" t="s">
        <v>1444</v>
      </c>
      <c r="C47" s="789"/>
      <c r="D47" s="149"/>
      <c r="E47" s="143">
        <v>1</v>
      </c>
      <c r="F47" s="143">
        <v>0</v>
      </c>
      <c r="G47" s="143">
        <v>2</v>
      </c>
      <c r="H47" s="143">
        <v>1</v>
      </c>
      <c r="I47" s="143">
        <v>1</v>
      </c>
      <c r="J47" s="133" t="s">
        <v>319</v>
      </c>
      <c r="K47" s="143">
        <f t="shared" si="0"/>
        <v>1</v>
      </c>
      <c r="L47" s="127"/>
      <c r="M47" s="128"/>
      <c r="N47" s="128"/>
      <c r="O47" s="128"/>
      <c r="P47" s="128"/>
      <c r="Q47" s="129"/>
    </row>
    <row r="48" spans="1:17" ht="19.5" customHeight="1" x14ac:dyDescent="0.15">
      <c r="A48" s="148"/>
      <c r="B48" s="788" t="s">
        <v>1445</v>
      </c>
      <c r="C48" s="789"/>
      <c r="D48" s="149"/>
      <c r="E48" s="143">
        <v>1</v>
      </c>
      <c r="F48" s="143">
        <v>0</v>
      </c>
      <c r="G48" s="143">
        <v>2</v>
      </c>
      <c r="H48" s="143">
        <v>1</v>
      </c>
      <c r="I48" s="143">
        <v>1</v>
      </c>
      <c r="J48" s="133" t="s">
        <v>319</v>
      </c>
      <c r="K48" s="143">
        <f t="shared" si="0"/>
        <v>1</v>
      </c>
      <c r="L48" s="127"/>
      <c r="M48" s="128"/>
      <c r="N48" s="128"/>
      <c r="O48" s="128"/>
      <c r="P48" s="128"/>
      <c r="Q48" s="129"/>
    </row>
    <row r="49" spans="1:17" ht="19.5" customHeight="1" x14ac:dyDescent="0.15">
      <c r="A49" s="148"/>
      <c r="B49" s="788" t="s">
        <v>1446</v>
      </c>
      <c r="C49" s="789"/>
      <c r="D49" s="149"/>
      <c r="E49" s="143">
        <v>1</v>
      </c>
      <c r="F49" s="143">
        <v>0</v>
      </c>
      <c r="G49" s="143">
        <v>2</v>
      </c>
      <c r="H49" s="143">
        <v>1</v>
      </c>
      <c r="I49" s="143">
        <v>1</v>
      </c>
      <c r="J49" s="133" t="s">
        <v>319</v>
      </c>
      <c r="K49" s="143">
        <f t="shared" si="0"/>
        <v>1</v>
      </c>
      <c r="L49" s="127"/>
      <c r="M49" s="128"/>
      <c r="N49" s="128"/>
      <c r="O49" s="128"/>
      <c r="P49" s="128"/>
      <c r="Q49" s="129"/>
    </row>
    <row r="50" spans="1:17" ht="19.5" customHeight="1" x14ac:dyDescent="0.15">
      <c r="A50" s="148"/>
      <c r="B50" s="788" t="s">
        <v>1447</v>
      </c>
      <c r="C50" s="789"/>
      <c r="D50" s="149"/>
      <c r="E50" s="143">
        <v>1</v>
      </c>
      <c r="F50" s="143">
        <v>0</v>
      </c>
      <c r="G50" s="143">
        <v>2</v>
      </c>
      <c r="H50" s="143">
        <v>1</v>
      </c>
      <c r="I50" s="143">
        <v>1</v>
      </c>
      <c r="J50" s="133" t="s">
        <v>319</v>
      </c>
      <c r="K50" s="143">
        <f t="shared" si="0"/>
        <v>1</v>
      </c>
      <c r="L50" s="127"/>
      <c r="M50" s="128"/>
      <c r="N50" s="128"/>
      <c r="O50" s="128"/>
      <c r="P50" s="128"/>
      <c r="Q50" s="129"/>
    </row>
    <row r="51" spans="1:17" customFormat="1" ht="19.5" customHeight="1" x14ac:dyDescent="0.15">
      <c r="A51" s="696" t="s">
        <v>247</v>
      </c>
      <c r="B51" s="856" t="s">
        <v>1452</v>
      </c>
      <c r="C51" s="857"/>
      <c r="D51" s="857"/>
      <c r="E51" s="857"/>
      <c r="F51" s="857"/>
      <c r="G51" s="857"/>
      <c r="H51" s="857"/>
      <c r="I51" s="857"/>
      <c r="J51" s="857"/>
      <c r="K51" s="858"/>
      <c r="L51" s="127"/>
      <c r="M51" s="128"/>
      <c r="N51" s="128"/>
      <c r="O51" s="128"/>
      <c r="P51" s="128"/>
      <c r="Q51" s="129"/>
    </row>
    <row r="52" spans="1:17" ht="19.5" customHeight="1" x14ac:dyDescent="0.15">
      <c r="A52" s="148"/>
      <c r="B52" s="788" t="s">
        <v>1448</v>
      </c>
      <c r="C52" s="789"/>
      <c r="D52" s="149"/>
      <c r="E52" s="143">
        <v>1</v>
      </c>
      <c r="F52" s="143">
        <v>0</v>
      </c>
      <c r="G52" s="143">
        <v>2</v>
      </c>
      <c r="H52" s="143">
        <v>2</v>
      </c>
      <c r="I52" s="143">
        <v>1</v>
      </c>
      <c r="J52" s="133" t="s">
        <v>319</v>
      </c>
      <c r="K52" s="143">
        <f>I52*H52</f>
        <v>2</v>
      </c>
      <c r="L52" s="127"/>
      <c r="M52" s="128"/>
      <c r="N52" s="128"/>
      <c r="O52" s="128"/>
      <c r="P52" s="128"/>
      <c r="Q52" s="129"/>
    </row>
    <row r="53" spans="1:17" ht="14" x14ac:dyDescent="0.15">
      <c r="A53" s="795" t="s">
        <v>149</v>
      </c>
      <c r="B53" s="817"/>
      <c r="C53" s="817"/>
      <c r="D53" s="817"/>
      <c r="E53" s="817"/>
      <c r="F53" s="817"/>
      <c r="G53" s="817"/>
      <c r="H53" s="817"/>
      <c r="I53" s="817"/>
      <c r="J53" s="796"/>
      <c r="K53" s="416">
        <f>SUM(K45:K52)</f>
        <v>8</v>
      </c>
      <c r="L53" s="134"/>
      <c r="M53" s="135"/>
      <c r="N53" s="135"/>
      <c r="O53" s="135"/>
      <c r="P53" s="135"/>
      <c r="Q53" s="136"/>
    </row>
    <row r="54" spans="1:17" x14ac:dyDescent="0.15">
      <c r="A54" s="790"/>
      <c r="B54" s="791"/>
      <c r="C54" s="791"/>
      <c r="D54" s="791"/>
      <c r="E54" s="791"/>
      <c r="F54" s="791"/>
      <c r="G54" s="791"/>
      <c r="H54" s="791"/>
      <c r="I54" s="791"/>
      <c r="J54" s="791"/>
      <c r="K54" s="791"/>
      <c r="L54" s="791"/>
      <c r="M54" s="791"/>
      <c r="N54" s="791"/>
      <c r="O54" s="791"/>
      <c r="P54" s="791"/>
      <c r="Q54" s="792"/>
    </row>
    <row r="55" spans="1:17" s="121" customFormat="1" ht="18" customHeight="1" x14ac:dyDescent="0.15">
      <c r="A55" s="218" t="s">
        <v>0</v>
      </c>
      <c r="B55" s="793" t="s">
        <v>1179</v>
      </c>
      <c r="C55" s="794"/>
      <c r="D55" s="794"/>
      <c r="E55" s="794"/>
      <c r="F55" s="794"/>
      <c r="G55" s="794"/>
      <c r="H55" s="794"/>
      <c r="I55" s="794"/>
      <c r="J55" s="794"/>
      <c r="K55" s="794"/>
      <c r="L55" s="794"/>
      <c r="M55" s="794"/>
      <c r="N55" s="821"/>
      <c r="O55" s="216" t="s">
        <v>73</v>
      </c>
      <c r="P55" s="795" t="s">
        <v>319</v>
      </c>
      <c r="Q55" s="796"/>
    </row>
    <row r="56" spans="1:17" x14ac:dyDescent="0.15">
      <c r="A56" s="790"/>
      <c r="B56" s="791"/>
      <c r="C56" s="791"/>
      <c r="D56" s="791"/>
      <c r="E56" s="791"/>
      <c r="F56" s="791"/>
      <c r="G56" s="791"/>
      <c r="H56" s="791"/>
      <c r="I56" s="791"/>
      <c r="J56" s="791"/>
      <c r="K56" s="791"/>
      <c r="L56" s="791"/>
      <c r="M56" s="791"/>
      <c r="N56" s="791"/>
      <c r="O56" s="791"/>
      <c r="P56" s="791"/>
      <c r="Q56" s="792"/>
    </row>
    <row r="57" spans="1:17" s="126" customFormat="1" x14ac:dyDescent="0.15">
      <c r="A57" s="822" t="s">
        <v>150</v>
      </c>
      <c r="B57" s="823" t="s">
        <v>151</v>
      </c>
      <c r="C57" s="823"/>
      <c r="D57" s="802"/>
      <c r="E57" s="823" t="s">
        <v>152</v>
      </c>
      <c r="F57" s="823"/>
      <c r="G57" s="823"/>
      <c r="H57" s="802" t="s">
        <v>153</v>
      </c>
      <c r="I57" s="802" t="s">
        <v>479</v>
      </c>
      <c r="J57" s="804" t="s">
        <v>73</v>
      </c>
      <c r="K57" s="216" t="s">
        <v>154</v>
      </c>
      <c r="L57" s="123"/>
      <c r="M57" s="124"/>
      <c r="N57" s="124"/>
      <c r="O57" s="124"/>
      <c r="P57" s="124"/>
      <c r="Q57" s="125"/>
    </row>
    <row r="58" spans="1:17" s="130" customFormat="1" x14ac:dyDescent="0.15">
      <c r="A58" s="822"/>
      <c r="B58" s="823"/>
      <c r="C58" s="823"/>
      <c r="D58" s="803"/>
      <c r="E58" s="217" t="s">
        <v>155</v>
      </c>
      <c r="F58" s="217" t="s">
        <v>156</v>
      </c>
      <c r="G58" s="217" t="s">
        <v>157</v>
      </c>
      <c r="H58" s="803"/>
      <c r="I58" s="803"/>
      <c r="J58" s="805"/>
      <c r="K58" s="216" t="s">
        <v>158</v>
      </c>
      <c r="L58" s="127"/>
      <c r="M58" s="128"/>
      <c r="N58" s="128"/>
      <c r="O58" s="128"/>
      <c r="P58" s="128"/>
      <c r="Q58" s="129"/>
    </row>
    <row r="59" spans="1:17" customFormat="1" ht="19.5" customHeight="1" x14ac:dyDescent="0.15">
      <c r="A59" s="696" t="s">
        <v>1440</v>
      </c>
      <c r="B59" s="856" t="s">
        <v>1439</v>
      </c>
      <c r="C59" s="857"/>
      <c r="D59" s="857"/>
      <c r="E59" s="857"/>
      <c r="F59" s="857"/>
      <c r="G59" s="857"/>
      <c r="H59" s="857"/>
      <c r="I59" s="857"/>
      <c r="J59" s="857"/>
      <c r="K59" s="858"/>
      <c r="L59" s="127"/>
      <c r="M59" s="128"/>
      <c r="N59" s="128"/>
      <c r="O59" s="128"/>
      <c r="P59" s="128"/>
      <c r="Q59" s="129"/>
    </row>
    <row r="60" spans="1:17" ht="21.75" customHeight="1" x14ac:dyDescent="0.15">
      <c r="A60" s="148"/>
      <c r="B60" s="788" t="s">
        <v>1183</v>
      </c>
      <c r="C60" s="789"/>
      <c r="D60" s="149"/>
      <c r="E60" s="143">
        <v>2</v>
      </c>
      <c r="F60" s="143">
        <v>0</v>
      </c>
      <c r="G60" s="143">
        <v>1</v>
      </c>
      <c r="H60" s="143">
        <v>1</v>
      </c>
      <c r="I60" s="143">
        <v>1</v>
      </c>
      <c r="J60" s="133" t="s">
        <v>319</v>
      </c>
      <c r="K60" s="143">
        <f>I60*H60</f>
        <v>1</v>
      </c>
      <c r="L60" s="127"/>
      <c r="M60" s="128"/>
      <c r="N60" s="128"/>
      <c r="O60" s="128"/>
      <c r="P60" s="128"/>
      <c r="Q60" s="129"/>
    </row>
    <row r="61" spans="1:17" ht="14" x14ac:dyDescent="0.15">
      <c r="A61" s="795" t="s">
        <v>149</v>
      </c>
      <c r="B61" s="817"/>
      <c r="C61" s="817"/>
      <c r="D61" s="817"/>
      <c r="E61" s="817"/>
      <c r="F61" s="817"/>
      <c r="G61" s="817"/>
      <c r="H61" s="817"/>
      <c r="I61" s="817"/>
      <c r="J61" s="796"/>
      <c r="K61" s="416">
        <f>SUM(K60:K60)</f>
        <v>1</v>
      </c>
      <c r="L61" s="134"/>
      <c r="M61" s="135"/>
      <c r="N61" s="135"/>
      <c r="O61" s="135"/>
      <c r="P61" s="135"/>
      <c r="Q61" s="136"/>
    </row>
    <row r="62" spans="1:17" x14ac:dyDescent="0.15">
      <c r="A62" s="790"/>
      <c r="B62" s="791"/>
      <c r="C62" s="791"/>
      <c r="D62" s="791"/>
      <c r="E62" s="791"/>
      <c r="F62" s="791"/>
      <c r="G62" s="791"/>
      <c r="H62" s="791"/>
      <c r="I62" s="791"/>
      <c r="J62" s="791"/>
      <c r="K62" s="791"/>
      <c r="L62" s="791"/>
      <c r="M62" s="791"/>
      <c r="N62" s="791"/>
      <c r="O62" s="791"/>
      <c r="P62" s="791"/>
      <c r="Q62" s="792"/>
    </row>
    <row r="63" spans="1:17" s="121" customFormat="1" ht="18" customHeight="1" x14ac:dyDescent="0.15">
      <c r="A63" s="218" t="s">
        <v>0</v>
      </c>
      <c r="B63" s="793" t="s">
        <v>1449</v>
      </c>
      <c r="C63" s="794"/>
      <c r="D63" s="794"/>
      <c r="E63" s="794"/>
      <c r="F63" s="794"/>
      <c r="G63" s="794"/>
      <c r="H63" s="794"/>
      <c r="I63" s="794"/>
      <c r="J63" s="794"/>
      <c r="K63" s="794"/>
      <c r="L63" s="794"/>
      <c r="M63" s="794"/>
      <c r="N63" s="821"/>
      <c r="O63" s="216" t="s">
        <v>73</v>
      </c>
      <c r="P63" s="795" t="s">
        <v>319</v>
      </c>
      <c r="Q63" s="796"/>
    </row>
    <row r="64" spans="1:17" x14ac:dyDescent="0.15">
      <c r="A64" s="790"/>
      <c r="B64" s="791"/>
      <c r="C64" s="791"/>
      <c r="D64" s="791"/>
      <c r="E64" s="791"/>
      <c r="F64" s="791"/>
      <c r="G64" s="791"/>
      <c r="H64" s="791"/>
      <c r="I64" s="791"/>
      <c r="J64" s="791"/>
      <c r="K64" s="791"/>
      <c r="L64" s="791"/>
      <c r="M64" s="791"/>
      <c r="N64" s="791"/>
      <c r="O64" s="791"/>
      <c r="P64" s="791"/>
      <c r="Q64" s="792"/>
    </row>
    <row r="65" spans="1:18" s="126" customFormat="1" x14ac:dyDescent="0.15">
      <c r="A65" s="822" t="s">
        <v>150</v>
      </c>
      <c r="B65" s="823" t="s">
        <v>151</v>
      </c>
      <c r="C65" s="823"/>
      <c r="D65" s="802"/>
      <c r="E65" s="823" t="s">
        <v>152</v>
      </c>
      <c r="F65" s="823"/>
      <c r="G65" s="823"/>
      <c r="H65" s="802" t="s">
        <v>153</v>
      </c>
      <c r="I65" s="802" t="s">
        <v>479</v>
      </c>
      <c r="J65" s="804" t="s">
        <v>73</v>
      </c>
      <c r="K65" s="216" t="s">
        <v>154</v>
      </c>
      <c r="L65" s="123"/>
      <c r="M65" s="124"/>
      <c r="N65" s="124"/>
      <c r="O65" s="124"/>
      <c r="P65" s="124"/>
      <c r="Q65" s="125"/>
    </row>
    <row r="66" spans="1:18" s="130" customFormat="1" x14ac:dyDescent="0.15">
      <c r="A66" s="822"/>
      <c r="B66" s="823"/>
      <c r="C66" s="823"/>
      <c r="D66" s="803"/>
      <c r="E66" s="217" t="s">
        <v>155</v>
      </c>
      <c r="F66" s="217" t="s">
        <v>156</v>
      </c>
      <c r="G66" s="217" t="s">
        <v>157</v>
      </c>
      <c r="H66" s="803"/>
      <c r="I66" s="803"/>
      <c r="J66" s="805"/>
      <c r="K66" s="216" t="s">
        <v>158</v>
      </c>
      <c r="L66" s="127"/>
      <c r="M66" s="128"/>
      <c r="N66" s="128"/>
      <c r="O66" s="128"/>
      <c r="P66" s="128"/>
      <c r="Q66" s="129"/>
    </row>
    <row r="67" spans="1:18" customFormat="1" ht="19.5" customHeight="1" x14ac:dyDescent="0.15">
      <c r="A67" s="696" t="s">
        <v>1440</v>
      </c>
      <c r="B67" s="856" t="s">
        <v>1439</v>
      </c>
      <c r="C67" s="857"/>
      <c r="D67" s="857"/>
      <c r="E67" s="857"/>
      <c r="F67" s="857"/>
      <c r="G67" s="857"/>
      <c r="H67" s="857"/>
      <c r="I67" s="857"/>
      <c r="J67" s="857"/>
      <c r="K67" s="858"/>
      <c r="L67" s="127"/>
      <c r="M67" s="128"/>
      <c r="N67" s="128"/>
      <c r="O67" s="128"/>
      <c r="P67" s="128"/>
      <c r="Q67" s="129"/>
    </row>
    <row r="68" spans="1:18" ht="21.75" customHeight="1" x14ac:dyDescent="0.15">
      <c r="A68" s="148"/>
      <c r="B68" s="788" t="s">
        <v>1450</v>
      </c>
      <c r="C68" s="789"/>
      <c r="D68" s="149"/>
      <c r="E68" s="143">
        <v>0</v>
      </c>
      <c r="F68" s="143">
        <v>0</v>
      </c>
      <c r="G68" s="143">
        <v>0</v>
      </c>
      <c r="H68" s="143">
        <v>1</v>
      </c>
      <c r="I68" s="143">
        <v>1</v>
      </c>
      <c r="J68" s="133" t="s">
        <v>319</v>
      </c>
      <c r="K68" s="143">
        <f>I68*H68</f>
        <v>1</v>
      </c>
      <c r="L68" s="127"/>
      <c r="M68" s="128"/>
      <c r="N68" s="128"/>
      <c r="O68" s="128"/>
      <c r="P68" s="128"/>
      <c r="Q68" s="129"/>
    </row>
    <row r="69" spans="1:18" ht="14" x14ac:dyDescent="0.15">
      <c r="A69" s="795" t="s">
        <v>149</v>
      </c>
      <c r="B69" s="817"/>
      <c r="C69" s="817"/>
      <c r="D69" s="817"/>
      <c r="E69" s="817"/>
      <c r="F69" s="817"/>
      <c r="G69" s="817"/>
      <c r="H69" s="817"/>
      <c r="I69" s="817"/>
      <c r="J69" s="796"/>
      <c r="K69" s="416">
        <f>SUM(K68:K68)</f>
        <v>1</v>
      </c>
      <c r="L69" s="134"/>
      <c r="M69" s="135"/>
      <c r="N69" s="135"/>
      <c r="O69" s="135"/>
      <c r="P69" s="135"/>
      <c r="Q69" s="136"/>
    </row>
    <row r="70" spans="1:18" x14ac:dyDescent="0.15">
      <c r="A70" s="790"/>
      <c r="B70" s="791"/>
      <c r="C70" s="791"/>
      <c r="D70" s="791"/>
      <c r="E70" s="791"/>
      <c r="F70" s="791"/>
      <c r="G70" s="791"/>
      <c r="H70" s="791"/>
      <c r="I70" s="791"/>
      <c r="J70" s="791"/>
      <c r="K70" s="791"/>
      <c r="L70" s="791"/>
      <c r="M70" s="791"/>
      <c r="N70" s="791"/>
      <c r="O70" s="791"/>
      <c r="P70" s="791"/>
      <c r="Q70" s="792"/>
    </row>
    <row r="71" spans="1:18" s="121" customFormat="1" ht="18" customHeight="1" x14ac:dyDescent="0.15">
      <c r="A71" s="218" t="s">
        <v>0</v>
      </c>
      <c r="B71" s="827" t="s">
        <v>1532</v>
      </c>
      <c r="C71" s="828"/>
      <c r="D71" s="828"/>
      <c r="E71" s="828"/>
      <c r="F71" s="828"/>
      <c r="G71" s="828"/>
      <c r="H71" s="828"/>
      <c r="I71" s="828"/>
      <c r="J71" s="828"/>
      <c r="K71" s="828"/>
      <c r="L71" s="828"/>
      <c r="M71" s="828"/>
      <c r="N71" s="829"/>
      <c r="O71" s="216" t="s">
        <v>73</v>
      </c>
      <c r="P71" s="795" t="s">
        <v>6</v>
      </c>
      <c r="Q71" s="796"/>
    </row>
    <row r="72" spans="1:18" x14ac:dyDescent="0.15">
      <c r="A72" s="790"/>
      <c r="B72" s="791"/>
      <c r="C72" s="791"/>
      <c r="D72" s="791"/>
      <c r="E72" s="791"/>
      <c r="F72" s="791"/>
      <c r="G72" s="791"/>
      <c r="H72" s="791"/>
      <c r="I72" s="791"/>
      <c r="J72" s="791"/>
      <c r="K72" s="791"/>
      <c r="L72" s="791"/>
      <c r="M72" s="791"/>
      <c r="N72" s="791"/>
      <c r="O72" s="791"/>
      <c r="P72" s="791"/>
      <c r="Q72" s="792"/>
    </row>
    <row r="73" spans="1:18" s="126" customFormat="1" x14ac:dyDescent="0.15">
      <c r="A73" s="822" t="s">
        <v>150</v>
      </c>
      <c r="B73" s="823" t="s">
        <v>151</v>
      </c>
      <c r="C73" s="823"/>
      <c r="D73" s="802" t="s">
        <v>493</v>
      </c>
      <c r="E73" s="823" t="s">
        <v>152</v>
      </c>
      <c r="F73" s="823"/>
      <c r="G73" s="823"/>
      <c r="H73" s="804" t="s">
        <v>153</v>
      </c>
      <c r="I73" s="802" t="s">
        <v>160</v>
      </c>
      <c r="J73" s="804" t="s">
        <v>73</v>
      </c>
      <c r="K73" s="216" t="s">
        <v>154</v>
      </c>
      <c r="L73" s="806"/>
      <c r="M73" s="807"/>
      <c r="N73" s="807"/>
      <c r="O73" s="807"/>
      <c r="P73" s="807"/>
      <c r="Q73" s="808"/>
    </row>
    <row r="74" spans="1:18" s="130" customFormat="1" x14ac:dyDescent="0.15">
      <c r="A74" s="822"/>
      <c r="B74" s="823"/>
      <c r="C74" s="823"/>
      <c r="D74" s="803"/>
      <c r="E74" s="825" t="s">
        <v>657</v>
      </c>
      <c r="F74" s="826"/>
      <c r="G74" s="217" t="s">
        <v>659</v>
      </c>
      <c r="H74" s="805"/>
      <c r="I74" s="803"/>
      <c r="J74" s="805"/>
      <c r="K74" s="216" t="s">
        <v>158</v>
      </c>
      <c r="L74" s="809"/>
      <c r="M74" s="810"/>
      <c r="N74" s="810"/>
      <c r="O74" s="810"/>
      <c r="P74" s="810"/>
      <c r="Q74" s="811"/>
    </row>
    <row r="75" spans="1:18" ht="19.5" customHeight="1" x14ac:dyDescent="0.15">
      <c r="A75" s="131"/>
      <c r="B75" s="815" t="s">
        <v>1451</v>
      </c>
      <c r="C75" s="816"/>
      <c r="D75" s="219">
        <v>1.3</v>
      </c>
      <c r="E75" s="824">
        <f>K18</f>
        <v>72.509999999999991</v>
      </c>
      <c r="F75" s="824"/>
      <c r="G75" s="219">
        <v>0.03</v>
      </c>
      <c r="H75" s="132">
        <v>1</v>
      </c>
      <c r="I75" s="132">
        <f>E75*G75</f>
        <v>2.1752999999999996</v>
      </c>
      <c r="J75" s="144" t="s">
        <v>6</v>
      </c>
      <c r="K75" s="219">
        <f>I75*D75</f>
        <v>2.8278899999999996</v>
      </c>
      <c r="L75" s="809"/>
      <c r="M75" s="810"/>
      <c r="N75" s="810"/>
      <c r="O75" s="810"/>
      <c r="P75" s="810"/>
      <c r="Q75" s="811"/>
      <c r="R75" s="221"/>
    </row>
    <row r="76" spans="1:18" ht="19.5" customHeight="1" x14ac:dyDescent="0.15">
      <c r="A76" s="131"/>
      <c r="B76" s="815" t="s">
        <v>1229</v>
      </c>
      <c r="C76" s="816"/>
      <c r="D76" s="219">
        <v>1.3</v>
      </c>
      <c r="E76" s="824">
        <f>K30</f>
        <v>111.64</v>
      </c>
      <c r="F76" s="824"/>
      <c r="G76" s="219">
        <v>0.13</v>
      </c>
      <c r="H76" s="132">
        <v>1</v>
      </c>
      <c r="I76" s="132">
        <f>E76*G76</f>
        <v>14.513200000000001</v>
      </c>
      <c r="J76" s="144" t="s">
        <v>6</v>
      </c>
      <c r="K76" s="219">
        <f>I76*D76</f>
        <v>18.867160000000002</v>
      </c>
      <c r="L76" s="809"/>
      <c r="M76" s="810"/>
      <c r="N76" s="810"/>
      <c r="O76" s="810"/>
      <c r="P76" s="810"/>
      <c r="Q76" s="811"/>
    </row>
    <row r="77" spans="1:18" ht="19.5" customHeight="1" x14ac:dyDescent="0.15">
      <c r="A77" s="131"/>
      <c r="B77" s="815" t="s">
        <v>1393</v>
      </c>
      <c r="C77" s="816"/>
      <c r="D77" s="219">
        <v>1.3</v>
      </c>
      <c r="E77" s="824">
        <f>K38</f>
        <v>67.5</v>
      </c>
      <c r="F77" s="824"/>
      <c r="G77" s="219">
        <v>0.05</v>
      </c>
      <c r="H77" s="132">
        <v>1</v>
      </c>
      <c r="I77" s="132">
        <f>E77*G77</f>
        <v>3.375</v>
      </c>
      <c r="J77" s="144" t="s">
        <v>6</v>
      </c>
      <c r="K77" s="219">
        <f>I77*D77</f>
        <v>4.3875000000000002</v>
      </c>
      <c r="L77" s="809"/>
      <c r="M77" s="810"/>
      <c r="N77" s="810"/>
      <c r="O77" s="810"/>
      <c r="P77" s="810"/>
      <c r="Q77" s="811"/>
    </row>
    <row r="78" spans="1:18" ht="19.5" customHeight="1" x14ac:dyDescent="0.15">
      <c r="A78" s="131"/>
      <c r="B78" s="815" t="s">
        <v>1455</v>
      </c>
      <c r="C78" s="816"/>
      <c r="D78" s="219">
        <v>1.3</v>
      </c>
      <c r="E78" s="824">
        <v>3</v>
      </c>
      <c r="F78" s="824"/>
      <c r="G78" s="219">
        <v>0.1</v>
      </c>
      <c r="H78" s="132">
        <v>1</v>
      </c>
      <c r="I78" s="132">
        <f>E78*G78</f>
        <v>0.30000000000000004</v>
      </c>
      <c r="J78" s="144" t="s">
        <v>6</v>
      </c>
      <c r="K78" s="219">
        <f>I78*D78</f>
        <v>0.39000000000000007</v>
      </c>
      <c r="L78" s="809"/>
      <c r="M78" s="810"/>
      <c r="N78" s="810"/>
      <c r="O78" s="810"/>
      <c r="P78" s="810"/>
      <c r="Q78" s="811"/>
    </row>
    <row r="79" spans="1:18" ht="22.5" customHeight="1" x14ac:dyDescent="0.15">
      <c r="A79" s="795" t="s">
        <v>149</v>
      </c>
      <c r="B79" s="817"/>
      <c r="C79" s="817"/>
      <c r="D79" s="817"/>
      <c r="E79" s="817"/>
      <c r="F79" s="817"/>
      <c r="G79" s="817"/>
      <c r="H79" s="817"/>
      <c r="I79" s="817"/>
      <c r="J79" s="796"/>
      <c r="K79" s="416">
        <f>SUM(K75:K77)</f>
        <v>26.082550000000001</v>
      </c>
      <c r="L79" s="812"/>
      <c r="M79" s="813"/>
      <c r="N79" s="813"/>
      <c r="O79" s="813"/>
      <c r="P79" s="813"/>
      <c r="Q79" s="814"/>
    </row>
    <row r="80" spans="1:18" x14ac:dyDescent="0.15">
      <c r="A80" s="790"/>
      <c r="B80" s="791"/>
      <c r="C80" s="791"/>
      <c r="D80" s="791"/>
      <c r="E80" s="791"/>
      <c r="F80" s="791"/>
      <c r="G80" s="791"/>
      <c r="H80" s="791"/>
      <c r="I80" s="791"/>
      <c r="J80" s="791"/>
      <c r="K80" s="791"/>
      <c r="L80" s="791"/>
      <c r="M80" s="791"/>
      <c r="N80" s="791"/>
      <c r="O80" s="791"/>
      <c r="P80" s="791"/>
      <c r="Q80" s="792"/>
    </row>
    <row r="81" spans="1:19" s="121" customFormat="1" ht="18" customHeight="1" x14ac:dyDescent="0.15">
      <c r="A81" s="218" t="s">
        <v>0</v>
      </c>
      <c r="B81" s="830" t="s">
        <v>561</v>
      </c>
      <c r="C81" s="831"/>
      <c r="D81" s="831"/>
      <c r="E81" s="831"/>
      <c r="F81" s="831"/>
      <c r="G81" s="831"/>
      <c r="H81" s="831"/>
      <c r="I81" s="831"/>
      <c r="J81" s="831"/>
      <c r="K81" s="831"/>
      <c r="L81" s="831"/>
      <c r="M81" s="831"/>
      <c r="N81" s="831"/>
      <c r="O81" s="216" t="s">
        <v>73</v>
      </c>
      <c r="P81" s="795" t="s">
        <v>6</v>
      </c>
      <c r="Q81" s="796"/>
    </row>
    <row r="82" spans="1:19" x14ac:dyDescent="0.15">
      <c r="A82" s="790"/>
      <c r="B82" s="791"/>
      <c r="C82" s="791"/>
      <c r="D82" s="791"/>
      <c r="E82" s="791"/>
      <c r="F82" s="791"/>
      <c r="G82" s="791"/>
      <c r="H82" s="791"/>
      <c r="I82" s="791"/>
      <c r="J82" s="791"/>
      <c r="K82" s="791"/>
      <c r="L82" s="791"/>
      <c r="M82" s="791"/>
      <c r="N82" s="791"/>
      <c r="O82" s="791"/>
      <c r="P82" s="791"/>
      <c r="Q82" s="792"/>
    </row>
    <row r="83" spans="1:19" s="126" customFormat="1" x14ac:dyDescent="0.15">
      <c r="A83" s="822" t="s">
        <v>150</v>
      </c>
      <c r="B83" s="823" t="s">
        <v>151</v>
      </c>
      <c r="C83" s="823"/>
      <c r="D83" s="802"/>
      <c r="E83" s="823" t="s">
        <v>152</v>
      </c>
      <c r="F83" s="823"/>
      <c r="G83" s="823"/>
      <c r="H83" s="802" t="s">
        <v>153</v>
      </c>
      <c r="I83" s="802" t="s">
        <v>160</v>
      </c>
      <c r="J83" s="804" t="s">
        <v>73</v>
      </c>
      <c r="K83" s="216" t="s">
        <v>154</v>
      </c>
      <c r="L83" s="123"/>
      <c r="M83" s="124"/>
      <c r="N83" s="124"/>
      <c r="O83" s="124"/>
      <c r="P83" s="124"/>
      <c r="Q83" s="125"/>
    </row>
    <row r="84" spans="1:19" s="130" customFormat="1" x14ac:dyDescent="0.15">
      <c r="A84" s="822"/>
      <c r="B84" s="823"/>
      <c r="C84" s="823"/>
      <c r="D84" s="803"/>
      <c r="E84" s="217" t="s">
        <v>155</v>
      </c>
      <c r="F84" s="217" t="s">
        <v>156</v>
      </c>
      <c r="G84" s="217" t="s">
        <v>157</v>
      </c>
      <c r="H84" s="803"/>
      <c r="I84" s="803"/>
      <c r="J84" s="805"/>
      <c r="K84" s="216" t="s">
        <v>158</v>
      </c>
      <c r="L84" s="127"/>
      <c r="M84" s="128"/>
      <c r="N84" s="128"/>
      <c r="O84" s="128"/>
      <c r="P84" s="128"/>
      <c r="Q84" s="129"/>
    </row>
    <row r="85" spans="1:19" customFormat="1" ht="19.5" customHeight="1" x14ac:dyDescent="0.15">
      <c r="A85" s="696" t="s">
        <v>185</v>
      </c>
      <c r="B85" s="856" t="s">
        <v>1437</v>
      </c>
      <c r="C85" s="857"/>
      <c r="D85" s="857"/>
      <c r="E85" s="857"/>
      <c r="F85" s="857"/>
      <c r="G85" s="857"/>
      <c r="H85" s="857"/>
      <c r="I85" s="857"/>
      <c r="J85" s="857"/>
      <c r="K85" s="858"/>
      <c r="L85" s="127"/>
      <c r="M85" s="128"/>
      <c r="N85" s="128"/>
      <c r="O85" s="128"/>
      <c r="P85" s="128"/>
      <c r="Q85" s="129"/>
    </row>
    <row r="86" spans="1:19" ht="31.5" customHeight="1" x14ac:dyDescent="0.15">
      <c r="A86" s="148"/>
      <c r="B86" s="788" t="s">
        <v>1533</v>
      </c>
      <c r="C86" s="789"/>
      <c r="D86" s="149"/>
      <c r="E86" s="143">
        <v>0.4</v>
      </c>
      <c r="F86" s="143">
        <v>0.4</v>
      </c>
      <c r="G86" s="143">
        <v>0.9</v>
      </c>
      <c r="H86" s="143">
        <v>14</v>
      </c>
      <c r="I86" s="143">
        <f t="shared" ref="I86:I87" si="1">(E86*F86*G86)</f>
        <v>0.14400000000000004</v>
      </c>
      <c r="J86" s="133" t="s">
        <v>6</v>
      </c>
      <c r="K86" s="143">
        <f t="shared" ref="K86:K87" si="2">I86*H86</f>
        <v>2.0160000000000005</v>
      </c>
      <c r="L86" s="127"/>
      <c r="M86" s="128"/>
      <c r="N86" s="128"/>
      <c r="O86" s="128"/>
      <c r="P86" s="128"/>
      <c r="Q86" s="129"/>
      <c r="S86" s="369"/>
    </row>
    <row r="87" spans="1:19" ht="31.5" customHeight="1" x14ac:dyDescent="0.15">
      <c r="A87" s="148"/>
      <c r="B87" s="788" t="s">
        <v>1091</v>
      </c>
      <c r="C87" s="789"/>
      <c r="D87" s="149"/>
      <c r="E87" s="132">
        <f>31.5+10.26</f>
        <v>41.76</v>
      </c>
      <c r="F87" s="143">
        <v>0.25</v>
      </c>
      <c r="G87" s="143">
        <v>0.25</v>
      </c>
      <c r="H87" s="143">
        <v>1</v>
      </c>
      <c r="I87" s="143">
        <f t="shared" si="1"/>
        <v>2.61</v>
      </c>
      <c r="J87" s="133" t="s">
        <v>6</v>
      </c>
      <c r="K87" s="143">
        <f t="shared" si="2"/>
        <v>2.61</v>
      </c>
      <c r="L87" s="127"/>
      <c r="M87" s="128"/>
      <c r="N87" s="128"/>
      <c r="O87" s="128"/>
      <c r="P87" s="128"/>
      <c r="Q87" s="129"/>
    </row>
    <row r="88" spans="1:19" customFormat="1" ht="19.5" customHeight="1" x14ac:dyDescent="0.15">
      <c r="A88" s="696" t="s">
        <v>247</v>
      </c>
      <c r="B88" s="856" t="s">
        <v>1452</v>
      </c>
      <c r="C88" s="857"/>
      <c r="D88" s="857"/>
      <c r="E88" s="857"/>
      <c r="F88" s="857"/>
      <c r="G88" s="857"/>
      <c r="H88" s="857"/>
      <c r="I88" s="857"/>
      <c r="J88" s="857"/>
      <c r="K88" s="858"/>
      <c r="L88" s="127"/>
      <c r="M88" s="128"/>
      <c r="N88" s="128"/>
      <c r="O88" s="128"/>
      <c r="P88" s="128"/>
      <c r="Q88" s="129"/>
    </row>
    <row r="89" spans="1:19" ht="31.5" customHeight="1" x14ac:dyDescent="0.15">
      <c r="A89" s="148"/>
      <c r="B89" s="788" t="s">
        <v>1510</v>
      </c>
      <c r="C89" s="789"/>
      <c r="D89" s="149"/>
      <c r="E89" s="143">
        <v>13.5</v>
      </c>
      <c r="F89" s="143">
        <v>0.25</v>
      </c>
      <c r="G89" s="143">
        <v>0.25</v>
      </c>
      <c r="H89" s="143">
        <v>1</v>
      </c>
      <c r="I89" s="143">
        <f t="shared" ref="I89:I91" si="3">(E89*F89*G89)</f>
        <v>0.84375</v>
      </c>
      <c r="J89" s="133" t="s">
        <v>6</v>
      </c>
      <c r="K89" s="143">
        <f t="shared" ref="K89:K91" si="4">I89*H89</f>
        <v>0.84375</v>
      </c>
      <c r="L89" s="127"/>
      <c r="M89" s="128"/>
      <c r="N89" s="128"/>
      <c r="O89" s="128"/>
      <c r="P89" s="128"/>
      <c r="Q89" s="129"/>
    </row>
    <row r="90" spans="1:19" customFormat="1" ht="19.5" customHeight="1" x14ac:dyDescent="0.15">
      <c r="A90" s="696" t="s">
        <v>1440</v>
      </c>
      <c r="B90" s="856" t="s">
        <v>1439</v>
      </c>
      <c r="C90" s="857"/>
      <c r="D90" s="857"/>
      <c r="E90" s="857"/>
      <c r="F90" s="857"/>
      <c r="G90" s="857"/>
      <c r="H90" s="857"/>
      <c r="I90" s="857"/>
      <c r="J90" s="857"/>
      <c r="K90" s="858"/>
      <c r="L90" s="127"/>
      <c r="M90" s="128"/>
      <c r="N90" s="128"/>
      <c r="O90" s="128"/>
      <c r="P90" s="128"/>
      <c r="Q90" s="129"/>
    </row>
    <row r="91" spans="1:19" ht="31.5" customHeight="1" x14ac:dyDescent="0.15">
      <c r="A91" s="148"/>
      <c r="B91" s="788" t="s">
        <v>1510</v>
      </c>
      <c r="C91" s="789"/>
      <c r="D91" s="149"/>
      <c r="E91" s="143">
        <v>6</v>
      </c>
      <c r="F91" s="143">
        <v>0.25</v>
      </c>
      <c r="G91" s="143">
        <v>0.25</v>
      </c>
      <c r="H91" s="143">
        <v>1</v>
      </c>
      <c r="I91" s="143">
        <f t="shared" si="3"/>
        <v>0.375</v>
      </c>
      <c r="J91" s="133" t="s">
        <v>6</v>
      </c>
      <c r="K91" s="143">
        <f t="shared" si="4"/>
        <v>0.375</v>
      </c>
      <c r="L91" s="127"/>
      <c r="M91" s="128"/>
      <c r="N91" s="128"/>
      <c r="O91" s="128"/>
      <c r="P91" s="128"/>
      <c r="Q91" s="129"/>
    </row>
    <row r="92" spans="1:19" ht="14" x14ac:dyDescent="0.15">
      <c r="A92" s="795" t="s">
        <v>149</v>
      </c>
      <c r="B92" s="817"/>
      <c r="C92" s="817"/>
      <c r="D92" s="817"/>
      <c r="E92" s="817"/>
      <c r="F92" s="817"/>
      <c r="G92" s="817"/>
      <c r="H92" s="817"/>
      <c r="I92" s="817"/>
      <c r="J92" s="796"/>
      <c r="K92" s="416">
        <f>SUM(K86:K91)</f>
        <v>5.8447500000000003</v>
      </c>
      <c r="L92" s="134"/>
      <c r="M92" s="135"/>
      <c r="N92" s="135"/>
      <c r="O92" s="135"/>
      <c r="P92" s="135"/>
      <c r="Q92" s="136"/>
    </row>
    <row r="93" spans="1:19" x14ac:dyDescent="0.15">
      <c r="A93" s="790"/>
      <c r="B93" s="791"/>
      <c r="C93" s="791"/>
      <c r="D93" s="791"/>
      <c r="E93" s="791"/>
      <c r="F93" s="791"/>
      <c r="G93" s="791"/>
      <c r="H93" s="791"/>
      <c r="I93" s="791"/>
      <c r="J93" s="791"/>
      <c r="K93" s="791"/>
      <c r="L93" s="791"/>
      <c r="M93" s="791"/>
      <c r="N93" s="791"/>
      <c r="O93" s="791"/>
      <c r="P93" s="791"/>
      <c r="Q93" s="792"/>
    </row>
    <row r="94" spans="1:19" s="121" customFormat="1" ht="18" customHeight="1" x14ac:dyDescent="0.15">
      <c r="A94" s="218" t="s">
        <v>0</v>
      </c>
      <c r="B94" s="830" t="s">
        <v>523</v>
      </c>
      <c r="C94" s="831"/>
      <c r="D94" s="831"/>
      <c r="E94" s="831"/>
      <c r="F94" s="831"/>
      <c r="G94" s="831"/>
      <c r="H94" s="831"/>
      <c r="I94" s="831"/>
      <c r="J94" s="831"/>
      <c r="K94" s="831"/>
      <c r="L94" s="831"/>
      <c r="M94" s="831"/>
      <c r="N94" s="831"/>
      <c r="O94" s="216" t="s">
        <v>73</v>
      </c>
      <c r="P94" s="795" t="s">
        <v>6</v>
      </c>
      <c r="Q94" s="796"/>
    </row>
    <row r="95" spans="1:19" x14ac:dyDescent="0.15">
      <c r="A95" s="790"/>
      <c r="B95" s="791"/>
      <c r="C95" s="791"/>
      <c r="D95" s="791"/>
      <c r="E95" s="791"/>
      <c r="F95" s="791"/>
      <c r="G95" s="791"/>
      <c r="H95" s="791"/>
      <c r="I95" s="791"/>
      <c r="J95" s="791"/>
      <c r="K95" s="791"/>
      <c r="L95" s="791"/>
      <c r="M95" s="791"/>
      <c r="N95" s="791"/>
      <c r="O95" s="791"/>
      <c r="P95" s="791"/>
      <c r="Q95" s="792"/>
    </row>
    <row r="96" spans="1:19" s="126" customFormat="1" x14ac:dyDescent="0.15">
      <c r="A96" s="822" t="s">
        <v>150</v>
      </c>
      <c r="B96" s="823" t="s">
        <v>151</v>
      </c>
      <c r="C96" s="823"/>
      <c r="D96" s="832" t="s">
        <v>490</v>
      </c>
      <c r="E96" s="823" t="s">
        <v>152</v>
      </c>
      <c r="F96" s="823"/>
      <c r="G96" s="823"/>
      <c r="H96" s="802" t="s">
        <v>153</v>
      </c>
      <c r="I96" s="802" t="s">
        <v>160</v>
      </c>
      <c r="J96" s="804" t="s">
        <v>73</v>
      </c>
      <c r="K96" s="216" t="s">
        <v>154</v>
      </c>
      <c r="L96" s="123"/>
      <c r="M96" s="124"/>
      <c r="N96" s="124"/>
      <c r="O96" s="124"/>
      <c r="P96" s="124"/>
      <c r="Q96" s="125"/>
    </row>
    <row r="97" spans="1:17" s="130" customFormat="1" x14ac:dyDescent="0.15">
      <c r="A97" s="822"/>
      <c r="B97" s="823"/>
      <c r="C97" s="823"/>
      <c r="D97" s="833"/>
      <c r="E97" s="217" t="s">
        <v>155</v>
      </c>
      <c r="F97" s="217" t="s">
        <v>156</v>
      </c>
      <c r="G97" s="217" t="s">
        <v>157</v>
      </c>
      <c r="H97" s="803"/>
      <c r="I97" s="803"/>
      <c r="J97" s="805"/>
      <c r="K97" s="216" t="s">
        <v>158</v>
      </c>
      <c r="L97" s="127"/>
      <c r="M97" s="128"/>
      <c r="N97" s="128"/>
      <c r="O97" s="128"/>
      <c r="P97" s="128"/>
      <c r="Q97" s="129"/>
    </row>
    <row r="98" spans="1:17" customFormat="1" ht="19.5" customHeight="1" x14ac:dyDescent="0.15">
      <c r="A98" s="696" t="s">
        <v>185</v>
      </c>
      <c r="B98" s="856" t="s">
        <v>1437</v>
      </c>
      <c r="C98" s="857"/>
      <c r="D98" s="857"/>
      <c r="E98" s="857"/>
      <c r="F98" s="857"/>
      <c r="G98" s="857"/>
      <c r="H98" s="857"/>
      <c r="I98" s="857"/>
      <c r="J98" s="857"/>
      <c r="K98" s="858"/>
      <c r="L98" s="127"/>
      <c r="M98" s="128"/>
      <c r="N98" s="128"/>
      <c r="O98" s="128"/>
      <c r="P98" s="128"/>
      <c r="Q98" s="129"/>
    </row>
    <row r="99" spans="1:17" ht="33" customHeight="1" x14ac:dyDescent="0.15">
      <c r="A99" s="148"/>
      <c r="B99" s="788" t="s">
        <v>1533</v>
      </c>
      <c r="C99" s="789"/>
      <c r="D99" s="143">
        <f>(0.25*0.25*0.4*H99)</f>
        <v>0.35000000000000003</v>
      </c>
      <c r="E99" s="143">
        <v>0.4</v>
      </c>
      <c r="F99" s="143">
        <v>0.4</v>
      </c>
      <c r="G99" s="143">
        <v>0.4</v>
      </c>
      <c r="H99" s="143">
        <v>14</v>
      </c>
      <c r="I99" s="143">
        <f t="shared" ref="I99" si="5">(E99*F99*G99)</f>
        <v>6.4000000000000015E-2</v>
      </c>
      <c r="J99" s="133" t="s">
        <v>6</v>
      </c>
      <c r="K99" s="143">
        <f t="shared" ref="K99" si="6">(I99*H99)-D99</f>
        <v>0.54600000000000026</v>
      </c>
      <c r="L99" s="127"/>
      <c r="M99" s="128"/>
      <c r="N99" s="128"/>
      <c r="O99" s="128"/>
      <c r="P99" s="128"/>
      <c r="Q99" s="129"/>
    </row>
    <row r="100" spans="1:17" ht="14" x14ac:dyDescent="0.15">
      <c r="A100" s="795" t="s">
        <v>149</v>
      </c>
      <c r="B100" s="817"/>
      <c r="C100" s="817"/>
      <c r="D100" s="817"/>
      <c r="E100" s="817"/>
      <c r="F100" s="817"/>
      <c r="G100" s="817"/>
      <c r="H100" s="817"/>
      <c r="I100" s="817"/>
      <c r="J100" s="796"/>
      <c r="K100" s="416">
        <f>SUM(K98:K99)</f>
        <v>0.54600000000000026</v>
      </c>
      <c r="L100" s="134"/>
      <c r="M100" s="135"/>
      <c r="N100" s="135"/>
      <c r="O100" s="135"/>
      <c r="P100" s="135"/>
      <c r="Q100" s="136"/>
    </row>
    <row r="101" spans="1:17" x14ac:dyDescent="0.15">
      <c r="A101" s="790"/>
      <c r="B101" s="791"/>
      <c r="C101" s="791"/>
      <c r="D101" s="791"/>
      <c r="E101" s="791"/>
      <c r="F101" s="791"/>
      <c r="G101" s="791"/>
      <c r="H101" s="791"/>
      <c r="I101" s="791"/>
      <c r="J101" s="791"/>
      <c r="K101" s="791"/>
      <c r="L101" s="791"/>
      <c r="M101" s="791"/>
      <c r="N101" s="791"/>
      <c r="O101" s="791"/>
      <c r="P101" s="791"/>
      <c r="Q101" s="792"/>
    </row>
    <row r="102" spans="1:17" s="121" customFormat="1" ht="18" customHeight="1" x14ac:dyDescent="0.15">
      <c r="A102" s="218" t="s">
        <v>0</v>
      </c>
      <c r="B102" s="830" t="s">
        <v>1003</v>
      </c>
      <c r="C102" s="831"/>
      <c r="D102" s="831"/>
      <c r="E102" s="831"/>
      <c r="F102" s="831"/>
      <c r="G102" s="831"/>
      <c r="H102" s="831"/>
      <c r="I102" s="831"/>
      <c r="J102" s="831"/>
      <c r="K102" s="831"/>
      <c r="L102" s="831"/>
      <c r="M102" s="831"/>
      <c r="N102" s="831"/>
      <c r="O102" s="216" t="s">
        <v>73</v>
      </c>
      <c r="P102" s="795" t="s">
        <v>6</v>
      </c>
      <c r="Q102" s="796"/>
    </row>
    <row r="103" spans="1:17" x14ac:dyDescent="0.15">
      <c r="A103" s="790"/>
      <c r="B103" s="791"/>
      <c r="C103" s="791"/>
      <c r="D103" s="791"/>
      <c r="E103" s="791"/>
      <c r="F103" s="791"/>
      <c r="G103" s="791"/>
      <c r="H103" s="791"/>
      <c r="I103" s="791"/>
      <c r="J103" s="791"/>
      <c r="K103" s="791"/>
      <c r="L103" s="791"/>
      <c r="M103" s="791"/>
      <c r="N103" s="791"/>
      <c r="O103" s="791"/>
      <c r="P103" s="791"/>
      <c r="Q103" s="792"/>
    </row>
    <row r="104" spans="1:17" s="126" customFormat="1" x14ac:dyDescent="0.15">
      <c r="A104" s="822" t="s">
        <v>150</v>
      </c>
      <c r="B104" s="823" t="s">
        <v>151</v>
      </c>
      <c r="C104" s="823"/>
      <c r="D104" s="825" t="s">
        <v>152</v>
      </c>
      <c r="E104" s="826"/>
      <c r="F104" s="826"/>
      <c r="G104" s="834"/>
      <c r="H104" s="802" t="s">
        <v>153</v>
      </c>
      <c r="I104" s="802" t="s">
        <v>160</v>
      </c>
      <c r="J104" s="832" t="s">
        <v>495</v>
      </c>
      <c r="K104" s="804" t="s">
        <v>73</v>
      </c>
      <c r="L104" s="216" t="s">
        <v>154</v>
      </c>
      <c r="M104" s="806"/>
      <c r="N104" s="807"/>
      <c r="O104" s="807"/>
      <c r="P104" s="807"/>
      <c r="Q104" s="808"/>
    </row>
    <row r="105" spans="1:17" s="130" customFormat="1" x14ac:dyDescent="0.15">
      <c r="A105" s="822"/>
      <c r="B105" s="823"/>
      <c r="C105" s="823"/>
      <c r="D105" s="217" t="s">
        <v>624</v>
      </c>
      <c r="E105" s="217" t="s">
        <v>155</v>
      </c>
      <c r="F105" s="217" t="s">
        <v>156</v>
      </c>
      <c r="G105" s="217" t="s">
        <v>157</v>
      </c>
      <c r="H105" s="803"/>
      <c r="I105" s="803"/>
      <c r="J105" s="833"/>
      <c r="K105" s="805"/>
      <c r="L105" s="216" t="s">
        <v>158</v>
      </c>
      <c r="M105" s="809"/>
      <c r="N105" s="810"/>
      <c r="O105" s="810"/>
      <c r="P105" s="810"/>
      <c r="Q105" s="811"/>
    </row>
    <row r="106" spans="1:17" customFormat="1" ht="19.5" customHeight="1" x14ac:dyDescent="0.15">
      <c r="A106" s="696" t="s">
        <v>185</v>
      </c>
      <c r="B106" s="856" t="s">
        <v>1437</v>
      </c>
      <c r="C106" s="857"/>
      <c r="D106" s="857"/>
      <c r="E106" s="857"/>
      <c r="F106" s="857"/>
      <c r="G106" s="857"/>
      <c r="H106" s="857"/>
      <c r="I106" s="857"/>
      <c r="J106" s="857"/>
      <c r="K106" s="858"/>
      <c r="L106" s="127"/>
      <c r="M106" s="809"/>
      <c r="N106" s="810"/>
      <c r="O106" s="810"/>
      <c r="P106" s="810"/>
      <c r="Q106" s="811"/>
    </row>
    <row r="107" spans="1:17" ht="33" customHeight="1" x14ac:dyDescent="0.15">
      <c r="A107" s="148"/>
      <c r="B107" s="788" t="s">
        <v>1533</v>
      </c>
      <c r="C107" s="789"/>
      <c r="D107" s="143">
        <v>0</v>
      </c>
      <c r="E107" s="143">
        <v>0.4</v>
      </c>
      <c r="F107" s="143">
        <v>0.4</v>
      </c>
      <c r="G107" s="143">
        <v>0.1</v>
      </c>
      <c r="H107" s="143">
        <v>14</v>
      </c>
      <c r="I107" s="143">
        <f t="shared" ref="I107" si="7">E107*F107*G107</f>
        <v>1.6000000000000004E-2</v>
      </c>
      <c r="J107" s="143">
        <v>0</v>
      </c>
      <c r="K107" s="133" t="s">
        <v>6</v>
      </c>
      <c r="L107" s="143">
        <f t="shared" ref="L107" si="8">H107*I107</f>
        <v>0.22400000000000006</v>
      </c>
      <c r="M107" s="809"/>
      <c r="N107" s="810"/>
      <c r="O107" s="810"/>
      <c r="P107" s="810"/>
      <c r="Q107" s="811"/>
    </row>
    <row r="108" spans="1:17" ht="14" x14ac:dyDescent="0.15">
      <c r="A108" s="795"/>
      <c r="B108" s="817"/>
      <c r="C108" s="817"/>
      <c r="D108" s="817"/>
      <c r="E108" s="817"/>
      <c r="F108" s="817"/>
      <c r="G108" s="817"/>
      <c r="H108" s="817"/>
      <c r="I108" s="817"/>
      <c r="J108" s="817"/>
      <c r="K108" s="796"/>
      <c r="L108" s="416">
        <f>SUM(L107:L107)</f>
        <v>0.22400000000000006</v>
      </c>
      <c r="M108" s="812"/>
      <c r="N108" s="813"/>
      <c r="O108" s="813"/>
      <c r="P108" s="813"/>
      <c r="Q108" s="814"/>
    </row>
    <row r="109" spans="1:17" x14ac:dyDescent="0.15">
      <c r="A109" s="790"/>
      <c r="B109" s="791"/>
      <c r="C109" s="791"/>
      <c r="D109" s="791"/>
      <c r="E109" s="791"/>
      <c r="F109" s="791"/>
      <c r="G109" s="791"/>
      <c r="H109" s="791"/>
      <c r="I109" s="791"/>
      <c r="J109" s="791"/>
      <c r="K109" s="791"/>
      <c r="L109" s="791"/>
      <c r="M109" s="791"/>
      <c r="N109" s="791"/>
      <c r="O109" s="791"/>
      <c r="P109" s="791"/>
      <c r="Q109" s="792"/>
    </row>
    <row r="110" spans="1:17" s="121" customFormat="1" ht="18" customHeight="1" x14ac:dyDescent="0.15">
      <c r="A110" s="218" t="s">
        <v>0</v>
      </c>
      <c r="B110" s="830" t="s">
        <v>562</v>
      </c>
      <c r="C110" s="831"/>
      <c r="D110" s="831"/>
      <c r="E110" s="831"/>
      <c r="F110" s="831"/>
      <c r="G110" s="831"/>
      <c r="H110" s="831"/>
      <c r="I110" s="831"/>
      <c r="J110" s="831"/>
      <c r="K110" s="831"/>
      <c r="L110" s="831"/>
      <c r="M110" s="831"/>
      <c r="N110" s="831"/>
      <c r="O110" s="216" t="s">
        <v>73</v>
      </c>
      <c r="P110" s="795" t="s">
        <v>6</v>
      </c>
      <c r="Q110" s="796"/>
    </row>
    <row r="111" spans="1:17" x14ac:dyDescent="0.15">
      <c r="A111" s="790"/>
      <c r="B111" s="791"/>
      <c r="C111" s="791"/>
      <c r="D111" s="791"/>
      <c r="E111" s="791"/>
      <c r="F111" s="791"/>
      <c r="G111" s="791"/>
      <c r="H111" s="791"/>
      <c r="I111" s="791"/>
      <c r="J111" s="791"/>
      <c r="K111" s="791"/>
      <c r="L111" s="791"/>
      <c r="M111" s="791"/>
      <c r="N111" s="791"/>
      <c r="O111" s="791"/>
      <c r="P111" s="791"/>
      <c r="Q111" s="792"/>
    </row>
    <row r="112" spans="1:17" s="126" customFormat="1" x14ac:dyDescent="0.15">
      <c r="A112" s="822" t="s">
        <v>150</v>
      </c>
      <c r="B112" s="823" t="s">
        <v>151</v>
      </c>
      <c r="C112" s="823"/>
      <c r="D112" s="802" t="s">
        <v>493</v>
      </c>
      <c r="E112" s="823" t="s">
        <v>152</v>
      </c>
      <c r="F112" s="823"/>
      <c r="G112" s="823"/>
      <c r="H112" s="804" t="s">
        <v>153</v>
      </c>
      <c r="I112" s="802" t="s">
        <v>160</v>
      </c>
      <c r="J112" s="804" t="s">
        <v>73</v>
      </c>
      <c r="K112" s="216" t="s">
        <v>154</v>
      </c>
      <c r="L112" s="806"/>
      <c r="M112" s="807"/>
      <c r="N112" s="807"/>
      <c r="O112" s="807"/>
      <c r="P112" s="807"/>
      <c r="Q112" s="808"/>
    </row>
    <row r="113" spans="1:19" s="130" customFormat="1" x14ac:dyDescent="0.15">
      <c r="A113" s="822"/>
      <c r="B113" s="823"/>
      <c r="C113" s="823"/>
      <c r="D113" s="803"/>
      <c r="E113" s="217" t="s">
        <v>155</v>
      </c>
      <c r="F113" s="217" t="s">
        <v>156</v>
      </c>
      <c r="G113" s="217" t="s">
        <v>157</v>
      </c>
      <c r="H113" s="805"/>
      <c r="I113" s="803"/>
      <c r="J113" s="805"/>
      <c r="K113" s="216" t="s">
        <v>158</v>
      </c>
      <c r="L113" s="809"/>
      <c r="M113" s="810"/>
      <c r="N113" s="810"/>
      <c r="O113" s="810"/>
      <c r="P113" s="810"/>
      <c r="Q113" s="811"/>
    </row>
    <row r="114" spans="1:19" ht="28.5" customHeight="1" x14ac:dyDescent="0.15">
      <c r="A114" s="131"/>
      <c r="B114" s="788" t="s">
        <v>496</v>
      </c>
      <c r="C114" s="789"/>
      <c r="D114" s="219">
        <v>1.3</v>
      </c>
      <c r="E114" s="143">
        <v>0</v>
      </c>
      <c r="F114" s="672">
        <v>0</v>
      </c>
      <c r="G114" s="672">
        <v>0</v>
      </c>
      <c r="H114" s="143">
        <v>1</v>
      </c>
      <c r="I114" s="143">
        <f>K92-K100</f>
        <v>5.2987500000000001</v>
      </c>
      <c r="J114" s="672" t="s">
        <v>5</v>
      </c>
      <c r="K114" s="671">
        <f>I114*D114</f>
        <v>6.8883749999999999</v>
      </c>
      <c r="L114" s="809"/>
      <c r="M114" s="810"/>
      <c r="N114" s="810"/>
      <c r="O114" s="810"/>
      <c r="P114" s="810"/>
      <c r="Q114" s="811"/>
    </row>
    <row r="115" spans="1:19" ht="22.5" customHeight="1" x14ac:dyDescent="0.15">
      <c r="A115" s="795" t="s">
        <v>149</v>
      </c>
      <c r="B115" s="817"/>
      <c r="C115" s="817"/>
      <c r="D115" s="817"/>
      <c r="E115" s="817"/>
      <c r="F115" s="817"/>
      <c r="G115" s="817"/>
      <c r="H115" s="817"/>
      <c r="I115" s="817"/>
      <c r="J115" s="796"/>
      <c r="K115" s="416">
        <f>SUM(K114:K114)</f>
        <v>6.8883749999999999</v>
      </c>
      <c r="L115" s="812"/>
      <c r="M115" s="813"/>
      <c r="N115" s="813"/>
      <c r="O115" s="813"/>
      <c r="P115" s="813"/>
      <c r="Q115" s="814"/>
    </row>
    <row r="116" spans="1:19" x14ac:dyDescent="0.15">
      <c r="A116" s="790"/>
      <c r="B116" s="791"/>
      <c r="C116" s="791"/>
      <c r="D116" s="791"/>
      <c r="E116" s="791"/>
      <c r="F116" s="791"/>
      <c r="G116" s="791"/>
      <c r="H116" s="791"/>
      <c r="I116" s="791"/>
      <c r="J116" s="791"/>
      <c r="K116" s="791"/>
      <c r="L116" s="791"/>
      <c r="M116" s="791"/>
      <c r="N116" s="791"/>
      <c r="O116" s="791"/>
      <c r="P116" s="791"/>
      <c r="Q116" s="792"/>
    </row>
    <row r="117" spans="1:19" s="121" customFormat="1" ht="18" customHeight="1" x14ac:dyDescent="0.15">
      <c r="A117" s="218" t="s">
        <v>0</v>
      </c>
      <c r="B117" s="793" t="s">
        <v>566</v>
      </c>
      <c r="C117" s="794"/>
      <c r="D117" s="794"/>
      <c r="E117" s="794"/>
      <c r="F117" s="794"/>
      <c r="G117" s="794"/>
      <c r="H117" s="794"/>
      <c r="I117" s="794"/>
      <c r="J117" s="794"/>
      <c r="K117" s="794"/>
      <c r="L117" s="794"/>
      <c r="M117" s="794"/>
      <c r="N117" s="794"/>
      <c r="O117" s="216" t="s">
        <v>73</v>
      </c>
      <c r="P117" s="795" t="s">
        <v>6</v>
      </c>
      <c r="Q117" s="796"/>
    </row>
    <row r="118" spans="1:19" x14ac:dyDescent="0.15">
      <c r="A118" s="790"/>
      <c r="B118" s="791"/>
      <c r="C118" s="791"/>
      <c r="D118" s="791"/>
      <c r="E118" s="791"/>
      <c r="F118" s="791"/>
      <c r="G118" s="791"/>
      <c r="H118" s="791"/>
      <c r="I118" s="791"/>
      <c r="J118" s="791"/>
      <c r="K118" s="791"/>
      <c r="L118" s="791"/>
      <c r="M118" s="791"/>
      <c r="N118" s="791"/>
      <c r="O118" s="791"/>
      <c r="P118" s="791"/>
      <c r="Q118" s="792"/>
    </row>
    <row r="119" spans="1:19" s="126" customFormat="1" x14ac:dyDescent="0.15">
      <c r="A119" s="822" t="s">
        <v>150</v>
      </c>
      <c r="B119" s="823" t="s">
        <v>151</v>
      </c>
      <c r="C119" s="823"/>
      <c r="D119" s="802"/>
      <c r="E119" s="823" t="s">
        <v>152</v>
      </c>
      <c r="F119" s="823"/>
      <c r="G119" s="823"/>
      <c r="H119" s="802" t="s">
        <v>153</v>
      </c>
      <c r="I119" s="802" t="s">
        <v>160</v>
      </c>
      <c r="J119" s="804" t="s">
        <v>73</v>
      </c>
      <c r="K119" s="216" t="s">
        <v>154</v>
      </c>
      <c r="L119" s="123"/>
      <c r="M119" s="124"/>
      <c r="N119" s="124"/>
      <c r="O119" s="124"/>
      <c r="P119" s="124"/>
      <c r="Q119" s="125"/>
    </row>
    <row r="120" spans="1:19" s="130" customFormat="1" x14ac:dyDescent="0.15">
      <c r="A120" s="822"/>
      <c r="B120" s="823"/>
      <c r="C120" s="823"/>
      <c r="D120" s="803"/>
      <c r="E120" s="217" t="s">
        <v>155</v>
      </c>
      <c r="F120" s="217" t="s">
        <v>156</v>
      </c>
      <c r="G120" s="217" t="s">
        <v>157</v>
      </c>
      <c r="H120" s="803"/>
      <c r="I120" s="803"/>
      <c r="J120" s="805"/>
      <c r="K120" s="216" t="s">
        <v>158</v>
      </c>
      <c r="L120" s="127"/>
      <c r="M120" s="128"/>
      <c r="N120" s="128"/>
      <c r="O120" s="128"/>
      <c r="P120" s="128"/>
      <c r="Q120" s="129"/>
    </row>
    <row r="121" spans="1:19" customFormat="1" ht="19.5" customHeight="1" x14ac:dyDescent="0.15">
      <c r="A121" s="696" t="s">
        <v>185</v>
      </c>
      <c r="B121" s="856" t="s">
        <v>1437</v>
      </c>
      <c r="C121" s="857"/>
      <c r="D121" s="857"/>
      <c r="E121" s="857"/>
      <c r="F121" s="857"/>
      <c r="G121" s="857"/>
      <c r="H121" s="857"/>
      <c r="I121" s="857"/>
      <c r="J121" s="857"/>
      <c r="K121" s="858"/>
      <c r="L121" s="127"/>
      <c r="M121" s="128"/>
      <c r="N121" s="128"/>
      <c r="O121" s="128"/>
      <c r="P121" s="128"/>
      <c r="Q121" s="129"/>
    </row>
    <row r="122" spans="1:19" ht="31.5" customHeight="1" x14ac:dyDescent="0.15">
      <c r="A122" s="148"/>
      <c r="B122" s="788" t="s">
        <v>1533</v>
      </c>
      <c r="C122" s="789"/>
      <c r="D122" s="149"/>
      <c r="E122" s="143">
        <v>0.4</v>
      </c>
      <c r="F122" s="143">
        <v>0.4</v>
      </c>
      <c r="G122" s="143">
        <v>0.05</v>
      </c>
      <c r="H122" s="143">
        <v>14</v>
      </c>
      <c r="I122" s="143">
        <f t="shared" ref="I122" si="9">(E122*F122*G122)</f>
        <v>8.0000000000000019E-3</v>
      </c>
      <c r="J122" s="133" t="s">
        <v>6</v>
      </c>
      <c r="K122" s="143">
        <f t="shared" ref="K122" si="10">I122*H122</f>
        <v>0.11200000000000003</v>
      </c>
      <c r="L122" s="127"/>
      <c r="M122" s="128"/>
      <c r="N122" s="128"/>
      <c r="O122" s="128"/>
      <c r="P122" s="128"/>
      <c r="Q122" s="129"/>
      <c r="S122" s="369"/>
    </row>
    <row r="123" spans="1:19" ht="14" x14ac:dyDescent="0.15">
      <c r="A123" s="795" t="s">
        <v>149</v>
      </c>
      <c r="B123" s="817"/>
      <c r="C123" s="817"/>
      <c r="D123" s="817"/>
      <c r="E123" s="817"/>
      <c r="F123" s="817"/>
      <c r="G123" s="817"/>
      <c r="H123" s="817"/>
      <c r="I123" s="817"/>
      <c r="J123" s="796"/>
      <c r="K123" s="416">
        <f>SUM(K122:K122)</f>
        <v>0.11200000000000003</v>
      </c>
      <c r="L123" s="134"/>
      <c r="M123" s="135"/>
      <c r="N123" s="135"/>
      <c r="O123" s="135"/>
      <c r="P123" s="135"/>
      <c r="Q123" s="136"/>
      <c r="R123" s="221"/>
    </row>
    <row r="124" spans="1:19" x14ac:dyDescent="0.15">
      <c r="A124" s="790"/>
      <c r="B124" s="791"/>
      <c r="C124" s="791"/>
      <c r="D124" s="791"/>
      <c r="E124" s="791"/>
      <c r="F124" s="791"/>
      <c r="G124" s="791"/>
      <c r="H124" s="791"/>
      <c r="I124" s="791"/>
      <c r="J124" s="791"/>
      <c r="K124" s="791"/>
      <c r="L124" s="791"/>
      <c r="M124" s="791"/>
      <c r="N124" s="791"/>
      <c r="O124" s="791"/>
      <c r="P124" s="791"/>
      <c r="Q124" s="792"/>
    </row>
    <row r="125" spans="1:19" s="121" customFormat="1" ht="18" customHeight="1" x14ac:dyDescent="0.15">
      <c r="A125" s="218" t="s">
        <v>0</v>
      </c>
      <c r="B125" s="793" t="s">
        <v>1535</v>
      </c>
      <c r="C125" s="794"/>
      <c r="D125" s="794"/>
      <c r="E125" s="794"/>
      <c r="F125" s="794"/>
      <c r="G125" s="794"/>
      <c r="H125" s="794"/>
      <c r="I125" s="794"/>
      <c r="J125" s="794"/>
      <c r="K125" s="794"/>
      <c r="L125" s="794"/>
      <c r="M125" s="794"/>
      <c r="N125" s="794"/>
      <c r="O125" s="216" t="s">
        <v>73</v>
      </c>
      <c r="P125" s="795" t="s">
        <v>319</v>
      </c>
      <c r="Q125" s="796"/>
    </row>
    <row r="126" spans="1:19" x14ac:dyDescent="0.15">
      <c r="A126" s="790"/>
      <c r="B126" s="791"/>
      <c r="C126" s="791"/>
      <c r="D126" s="791"/>
      <c r="E126" s="791"/>
      <c r="F126" s="791"/>
      <c r="G126" s="791"/>
      <c r="H126" s="791"/>
      <c r="I126" s="791"/>
      <c r="J126" s="791"/>
      <c r="K126" s="791"/>
      <c r="L126" s="791"/>
      <c r="M126" s="791"/>
      <c r="N126" s="791"/>
      <c r="O126" s="791"/>
      <c r="P126" s="791"/>
      <c r="Q126" s="792"/>
    </row>
    <row r="127" spans="1:19" s="126" customFormat="1" x14ac:dyDescent="0.15">
      <c r="A127" s="822" t="s">
        <v>150</v>
      </c>
      <c r="B127" s="823" t="s">
        <v>151</v>
      </c>
      <c r="C127" s="823"/>
      <c r="D127" s="802"/>
      <c r="E127" s="823" t="s">
        <v>152</v>
      </c>
      <c r="F127" s="823"/>
      <c r="G127" s="823"/>
      <c r="H127" s="802" t="s">
        <v>153</v>
      </c>
      <c r="I127" s="802" t="s">
        <v>479</v>
      </c>
      <c r="J127" s="804" t="s">
        <v>73</v>
      </c>
      <c r="K127" s="216" t="s">
        <v>154</v>
      </c>
      <c r="L127" s="123"/>
      <c r="M127" s="124"/>
      <c r="N127" s="124"/>
      <c r="O127" s="124"/>
      <c r="P127" s="124"/>
      <c r="Q127" s="125"/>
    </row>
    <row r="128" spans="1:19" s="130" customFormat="1" x14ac:dyDescent="0.15">
      <c r="A128" s="822"/>
      <c r="B128" s="823"/>
      <c r="C128" s="823"/>
      <c r="D128" s="803"/>
      <c r="E128" s="217" t="s">
        <v>155</v>
      </c>
      <c r="F128" s="217" t="s">
        <v>156</v>
      </c>
      <c r="G128" s="217" t="s">
        <v>157</v>
      </c>
      <c r="H128" s="803"/>
      <c r="I128" s="803"/>
      <c r="J128" s="805"/>
      <c r="K128" s="216" t="s">
        <v>158</v>
      </c>
      <c r="L128" s="127"/>
      <c r="M128" s="128"/>
      <c r="N128" s="128"/>
      <c r="O128" s="128"/>
      <c r="P128" s="128"/>
      <c r="Q128" s="129"/>
    </row>
    <row r="129" spans="1:17" customFormat="1" ht="19.5" customHeight="1" x14ac:dyDescent="0.15">
      <c r="A129" s="696" t="s">
        <v>185</v>
      </c>
      <c r="B129" s="856" t="s">
        <v>1437</v>
      </c>
      <c r="C129" s="857"/>
      <c r="D129" s="857"/>
      <c r="E129" s="857"/>
      <c r="F129" s="857"/>
      <c r="G129" s="857"/>
      <c r="H129" s="857"/>
      <c r="I129" s="857"/>
      <c r="J129" s="857"/>
      <c r="K129" s="858"/>
      <c r="L129" s="127"/>
      <c r="M129" s="128"/>
      <c r="N129" s="128"/>
      <c r="O129" s="128"/>
      <c r="P129" s="128"/>
      <c r="Q129" s="129"/>
    </row>
    <row r="130" spans="1:17" ht="27.75" customHeight="1" x14ac:dyDescent="0.15">
      <c r="A130" s="148"/>
      <c r="B130" s="788" t="s">
        <v>1533</v>
      </c>
      <c r="C130" s="789"/>
      <c r="D130" s="149"/>
      <c r="E130" s="143">
        <v>0.4</v>
      </c>
      <c r="F130" s="143">
        <v>0.4</v>
      </c>
      <c r="G130" s="143">
        <v>0.25</v>
      </c>
      <c r="H130" s="143">
        <v>14</v>
      </c>
      <c r="I130" s="143">
        <v>1</v>
      </c>
      <c r="J130" s="133" t="s">
        <v>319</v>
      </c>
      <c r="K130" s="143">
        <f>I130*H130</f>
        <v>14</v>
      </c>
      <c r="L130" s="127"/>
      <c r="M130" s="128"/>
      <c r="N130" s="128"/>
      <c r="O130" s="128"/>
      <c r="P130" s="128"/>
      <c r="Q130" s="129"/>
    </row>
    <row r="131" spans="1:17" ht="14" x14ac:dyDescent="0.15">
      <c r="A131" s="795" t="s">
        <v>149</v>
      </c>
      <c r="B131" s="817"/>
      <c r="C131" s="817"/>
      <c r="D131" s="817"/>
      <c r="E131" s="817"/>
      <c r="F131" s="817"/>
      <c r="G131" s="817"/>
      <c r="H131" s="817"/>
      <c r="I131" s="817"/>
      <c r="J131" s="796"/>
      <c r="K131" s="416">
        <f>SUM(K130:K130)</f>
        <v>14</v>
      </c>
      <c r="L131" s="134"/>
      <c r="M131" s="135"/>
      <c r="N131" s="135"/>
      <c r="O131" s="135"/>
      <c r="P131" s="135"/>
      <c r="Q131" s="136"/>
    </row>
    <row r="132" spans="1:17" x14ac:dyDescent="0.15">
      <c r="A132" s="790"/>
      <c r="B132" s="791"/>
      <c r="C132" s="791"/>
      <c r="D132" s="791"/>
      <c r="E132" s="791"/>
      <c r="F132" s="791"/>
      <c r="G132" s="791"/>
      <c r="H132" s="791"/>
      <c r="I132" s="791"/>
      <c r="J132" s="791"/>
      <c r="K132" s="791"/>
      <c r="L132" s="791"/>
      <c r="M132" s="791"/>
      <c r="N132" s="791"/>
      <c r="O132" s="791"/>
      <c r="P132" s="791"/>
      <c r="Q132" s="792"/>
    </row>
    <row r="133" spans="1:17" s="121" customFormat="1" ht="18" customHeight="1" x14ac:dyDescent="0.15">
      <c r="A133" s="218" t="s">
        <v>0</v>
      </c>
      <c r="B133" s="793" t="s">
        <v>1518</v>
      </c>
      <c r="C133" s="794"/>
      <c r="D133" s="794"/>
      <c r="E133" s="794"/>
      <c r="F133" s="794"/>
      <c r="G133" s="794"/>
      <c r="H133" s="794"/>
      <c r="I133" s="794"/>
      <c r="J133" s="794"/>
      <c r="K133" s="794"/>
      <c r="L133" s="794"/>
      <c r="M133" s="794"/>
      <c r="N133" s="794"/>
      <c r="O133" s="216" t="s">
        <v>73</v>
      </c>
      <c r="P133" s="795" t="s">
        <v>193</v>
      </c>
      <c r="Q133" s="796"/>
    </row>
    <row r="134" spans="1:17" x14ac:dyDescent="0.15">
      <c r="A134" s="790"/>
      <c r="B134" s="791"/>
      <c r="C134" s="791"/>
      <c r="D134" s="791"/>
      <c r="E134" s="791"/>
      <c r="F134" s="791"/>
      <c r="G134" s="791"/>
      <c r="H134" s="791"/>
      <c r="I134" s="791"/>
      <c r="J134" s="791"/>
      <c r="K134" s="791"/>
      <c r="L134" s="791"/>
      <c r="M134" s="791"/>
      <c r="N134" s="791"/>
      <c r="O134" s="791"/>
      <c r="P134" s="791"/>
      <c r="Q134" s="792"/>
    </row>
    <row r="135" spans="1:17" s="126" customFormat="1" x14ac:dyDescent="0.15">
      <c r="A135" s="822" t="s">
        <v>150</v>
      </c>
      <c r="B135" s="823" t="s">
        <v>151</v>
      </c>
      <c r="C135" s="823"/>
      <c r="D135" s="802"/>
      <c r="E135" s="823" t="s">
        <v>152</v>
      </c>
      <c r="F135" s="823"/>
      <c r="G135" s="823"/>
      <c r="H135" s="802" t="s">
        <v>153</v>
      </c>
      <c r="I135" s="802" t="s">
        <v>242</v>
      </c>
      <c r="J135" s="804" t="s">
        <v>73</v>
      </c>
      <c r="K135" s="216" t="s">
        <v>154</v>
      </c>
      <c r="L135" s="123"/>
      <c r="M135" s="124"/>
      <c r="N135" s="124"/>
      <c r="O135" s="124"/>
      <c r="P135" s="124"/>
      <c r="Q135" s="125"/>
    </row>
    <row r="136" spans="1:17" s="130" customFormat="1" x14ac:dyDescent="0.15">
      <c r="A136" s="822"/>
      <c r="B136" s="823"/>
      <c r="C136" s="823"/>
      <c r="D136" s="803"/>
      <c r="E136" s="217" t="s">
        <v>155</v>
      </c>
      <c r="F136" s="217" t="s">
        <v>156</v>
      </c>
      <c r="G136" s="217" t="s">
        <v>157</v>
      </c>
      <c r="H136" s="803"/>
      <c r="I136" s="803"/>
      <c r="J136" s="805"/>
      <c r="K136" s="216" t="s">
        <v>158</v>
      </c>
      <c r="L136" s="127"/>
      <c r="M136" s="128"/>
      <c r="N136" s="128"/>
      <c r="O136" s="128"/>
      <c r="P136" s="128"/>
      <c r="Q136" s="129"/>
    </row>
    <row r="137" spans="1:17" customFormat="1" ht="19.5" customHeight="1" x14ac:dyDescent="0.15">
      <c r="A137" s="696" t="s">
        <v>185</v>
      </c>
      <c r="B137" s="856" t="s">
        <v>1437</v>
      </c>
      <c r="C137" s="857"/>
      <c r="D137" s="857"/>
      <c r="E137" s="857"/>
      <c r="F137" s="857"/>
      <c r="G137" s="857"/>
      <c r="H137" s="857"/>
      <c r="I137" s="857"/>
      <c r="J137" s="857"/>
      <c r="K137" s="858"/>
      <c r="L137" s="127"/>
      <c r="M137" s="128"/>
      <c r="N137" s="128"/>
      <c r="O137" s="128"/>
      <c r="P137" s="128"/>
      <c r="Q137" s="129"/>
    </row>
    <row r="138" spans="1:17" ht="39.75" customHeight="1" x14ac:dyDescent="0.15">
      <c r="A138" s="148"/>
      <c r="B138" s="788" t="s">
        <v>1091</v>
      </c>
      <c r="C138" s="789"/>
      <c r="D138" s="149"/>
      <c r="E138" s="132">
        <f>31.5+10.26</f>
        <v>41.76</v>
      </c>
      <c r="F138" s="143">
        <v>0.25</v>
      </c>
      <c r="G138" s="143">
        <v>0.25</v>
      </c>
      <c r="H138" s="143">
        <v>1</v>
      </c>
      <c r="I138" s="143">
        <f t="shared" ref="I138" si="11">E138</f>
        <v>41.76</v>
      </c>
      <c r="J138" s="133" t="s">
        <v>193</v>
      </c>
      <c r="K138" s="143">
        <f t="shared" ref="K138" si="12">I138*H138</f>
        <v>41.76</v>
      </c>
      <c r="L138" s="127"/>
      <c r="M138" s="128"/>
      <c r="N138" s="128"/>
      <c r="O138" s="128"/>
      <c r="P138" s="128"/>
      <c r="Q138" s="129"/>
    </row>
    <row r="139" spans="1:17" customFormat="1" ht="19.5" customHeight="1" x14ac:dyDescent="0.15">
      <c r="A139" s="696" t="s">
        <v>247</v>
      </c>
      <c r="B139" s="856" t="s">
        <v>1452</v>
      </c>
      <c r="C139" s="857"/>
      <c r="D139" s="857"/>
      <c r="E139" s="857"/>
      <c r="F139" s="857"/>
      <c r="G139" s="857"/>
      <c r="H139" s="857"/>
      <c r="I139" s="857"/>
      <c r="J139" s="857"/>
      <c r="K139" s="858"/>
      <c r="L139" s="127"/>
      <c r="M139" s="128"/>
      <c r="N139" s="128"/>
      <c r="O139" s="128"/>
      <c r="P139" s="128"/>
      <c r="Q139" s="129"/>
    </row>
    <row r="140" spans="1:17" ht="33" customHeight="1" x14ac:dyDescent="0.15">
      <c r="A140" s="148"/>
      <c r="B140" s="788" t="s">
        <v>1510</v>
      </c>
      <c r="C140" s="789"/>
      <c r="D140" s="149"/>
      <c r="E140" s="143">
        <v>13.5</v>
      </c>
      <c r="F140" s="143">
        <v>0.25</v>
      </c>
      <c r="G140" s="143">
        <v>0.25</v>
      </c>
      <c r="H140" s="143">
        <v>1</v>
      </c>
      <c r="I140" s="143">
        <f t="shared" ref="I140:I142" si="13">E140</f>
        <v>13.5</v>
      </c>
      <c r="J140" s="133" t="s">
        <v>193</v>
      </c>
      <c r="K140" s="143">
        <f t="shared" ref="K140:K142" si="14">I140*H140</f>
        <v>13.5</v>
      </c>
      <c r="L140" s="127"/>
      <c r="M140" s="128"/>
      <c r="N140" s="128"/>
      <c r="O140" s="128"/>
      <c r="P140" s="128"/>
      <c r="Q140" s="129"/>
    </row>
    <row r="141" spans="1:17" customFormat="1" ht="19.5" customHeight="1" x14ac:dyDescent="0.15">
      <c r="A141" s="696" t="s">
        <v>1440</v>
      </c>
      <c r="B141" s="856" t="s">
        <v>1439</v>
      </c>
      <c r="C141" s="857"/>
      <c r="D141" s="857"/>
      <c r="E141" s="857"/>
      <c r="F141" s="857"/>
      <c r="G141" s="857"/>
      <c r="H141" s="857"/>
      <c r="I141" s="857"/>
      <c r="J141" s="857"/>
      <c r="K141" s="858"/>
      <c r="L141" s="127"/>
      <c r="M141" s="128"/>
      <c r="N141" s="128"/>
      <c r="O141" s="128"/>
      <c r="P141" s="128"/>
      <c r="Q141" s="129"/>
    </row>
    <row r="142" spans="1:17" ht="33" customHeight="1" x14ac:dyDescent="0.15">
      <c r="A142" s="148"/>
      <c r="B142" s="788" t="s">
        <v>1510</v>
      </c>
      <c r="C142" s="789"/>
      <c r="D142" s="149"/>
      <c r="E142" s="143">
        <v>6</v>
      </c>
      <c r="F142" s="143">
        <v>0.25</v>
      </c>
      <c r="G142" s="143">
        <v>0.25</v>
      </c>
      <c r="H142" s="143">
        <v>1</v>
      </c>
      <c r="I142" s="143">
        <f t="shared" si="13"/>
        <v>6</v>
      </c>
      <c r="J142" s="133" t="s">
        <v>193</v>
      </c>
      <c r="K142" s="143">
        <f t="shared" si="14"/>
        <v>6</v>
      </c>
      <c r="L142" s="127"/>
      <c r="M142" s="128"/>
      <c r="N142" s="128"/>
      <c r="O142" s="128"/>
      <c r="P142" s="128"/>
      <c r="Q142" s="129"/>
    </row>
    <row r="143" spans="1:17" ht="14" x14ac:dyDescent="0.15">
      <c r="A143" s="795" t="s">
        <v>149</v>
      </c>
      <c r="B143" s="817"/>
      <c r="C143" s="817"/>
      <c r="D143" s="817"/>
      <c r="E143" s="817"/>
      <c r="F143" s="817"/>
      <c r="G143" s="817"/>
      <c r="H143" s="817"/>
      <c r="I143" s="817"/>
      <c r="J143" s="796"/>
      <c r="K143" s="416">
        <f>SUM(K138:K142)</f>
        <v>61.26</v>
      </c>
      <c r="L143" s="134"/>
      <c r="M143" s="135"/>
      <c r="N143" s="135"/>
      <c r="O143" s="135"/>
      <c r="P143" s="135"/>
      <c r="Q143" s="136"/>
    </row>
    <row r="144" spans="1:17" x14ac:dyDescent="0.15">
      <c r="A144" s="790"/>
      <c r="B144" s="791"/>
      <c r="C144" s="791"/>
      <c r="D144" s="791"/>
      <c r="E144" s="791"/>
      <c r="F144" s="791"/>
      <c r="G144" s="791"/>
      <c r="H144" s="791"/>
      <c r="I144" s="791"/>
      <c r="J144" s="791"/>
      <c r="K144" s="791"/>
      <c r="L144" s="791"/>
      <c r="M144" s="791"/>
      <c r="N144" s="791"/>
      <c r="O144" s="791"/>
      <c r="P144" s="791"/>
      <c r="Q144" s="792"/>
    </row>
    <row r="145" spans="1:17" s="121" customFormat="1" ht="18" customHeight="1" x14ac:dyDescent="0.15">
      <c r="A145" s="218" t="s">
        <v>0</v>
      </c>
      <c r="B145" s="793" t="s">
        <v>1514</v>
      </c>
      <c r="C145" s="794"/>
      <c r="D145" s="794"/>
      <c r="E145" s="794"/>
      <c r="F145" s="794"/>
      <c r="G145" s="794"/>
      <c r="H145" s="794"/>
      <c r="I145" s="794"/>
      <c r="J145" s="794"/>
      <c r="K145" s="794"/>
      <c r="L145" s="794"/>
      <c r="M145" s="794"/>
      <c r="N145" s="794"/>
      <c r="O145" s="216" t="s">
        <v>73</v>
      </c>
      <c r="P145" s="795" t="s">
        <v>193</v>
      </c>
      <c r="Q145" s="796"/>
    </row>
    <row r="146" spans="1:17" x14ac:dyDescent="0.15">
      <c r="A146" s="790"/>
      <c r="B146" s="791"/>
      <c r="C146" s="791"/>
      <c r="D146" s="791"/>
      <c r="E146" s="791"/>
      <c r="F146" s="791"/>
      <c r="G146" s="791"/>
      <c r="H146" s="791"/>
      <c r="I146" s="791"/>
      <c r="J146" s="791"/>
      <c r="K146" s="791"/>
      <c r="L146" s="791"/>
      <c r="M146" s="791"/>
      <c r="N146" s="791"/>
      <c r="O146" s="791"/>
      <c r="P146" s="791"/>
      <c r="Q146" s="792"/>
    </row>
    <row r="147" spans="1:17" s="126" customFormat="1" x14ac:dyDescent="0.15">
      <c r="A147" s="822" t="s">
        <v>150</v>
      </c>
      <c r="B147" s="823" t="s">
        <v>151</v>
      </c>
      <c r="C147" s="823"/>
      <c r="D147" s="802"/>
      <c r="E147" s="823" t="s">
        <v>152</v>
      </c>
      <c r="F147" s="823"/>
      <c r="G147" s="823"/>
      <c r="H147" s="802" t="s">
        <v>153</v>
      </c>
      <c r="I147" s="802" t="s">
        <v>242</v>
      </c>
      <c r="J147" s="804" t="s">
        <v>73</v>
      </c>
      <c r="K147" s="216" t="s">
        <v>154</v>
      </c>
      <c r="L147" s="123"/>
      <c r="M147" s="124"/>
      <c r="N147" s="124"/>
      <c r="O147" s="124"/>
      <c r="P147" s="124"/>
      <c r="Q147" s="125"/>
    </row>
    <row r="148" spans="1:17" s="130" customFormat="1" x14ac:dyDescent="0.15">
      <c r="A148" s="822"/>
      <c r="B148" s="823"/>
      <c r="C148" s="823"/>
      <c r="D148" s="803"/>
      <c r="E148" s="217" t="s">
        <v>155</v>
      </c>
      <c r="F148" s="217" t="s">
        <v>156</v>
      </c>
      <c r="G148" s="217" t="s">
        <v>157</v>
      </c>
      <c r="H148" s="803"/>
      <c r="I148" s="803"/>
      <c r="J148" s="805"/>
      <c r="K148" s="216" t="s">
        <v>158</v>
      </c>
      <c r="L148" s="127"/>
      <c r="M148" s="128"/>
      <c r="N148" s="128"/>
      <c r="O148" s="128"/>
      <c r="P148" s="128"/>
      <c r="Q148" s="129"/>
    </row>
    <row r="149" spans="1:17" customFormat="1" ht="19.5" customHeight="1" x14ac:dyDescent="0.15">
      <c r="A149" s="696" t="s">
        <v>185</v>
      </c>
      <c r="B149" s="856" t="s">
        <v>1437</v>
      </c>
      <c r="C149" s="857"/>
      <c r="D149" s="857"/>
      <c r="E149" s="857"/>
      <c r="F149" s="857"/>
      <c r="G149" s="857"/>
      <c r="H149" s="857"/>
      <c r="I149" s="857"/>
      <c r="J149" s="857"/>
      <c r="K149" s="858"/>
      <c r="L149" s="127"/>
      <c r="M149" s="128"/>
      <c r="N149" s="128"/>
      <c r="O149" s="128"/>
      <c r="P149" s="128"/>
      <c r="Q149" s="129"/>
    </row>
    <row r="150" spans="1:17" ht="39.75" customHeight="1" x14ac:dyDescent="0.15">
      <c r="A150" s="148"/>
      <c r="B150" s="788" t="s">
        <v>1516</v>
      </c>
      <c r="C150" s="789"/>
      <c r="D150" s="149"/>
      <c r="E150" s="143">
        <v>2.5</v>
      </c>
      <c r="F150" s="143">
        <v>0.2</v>
      </c>
      <c r="G150" s="143">
        <v>0.25</v>
      </c>
      <c r="H150" s="143">
        <v>14</v>
      </c>
      <c r="I150" s="143">
        <f t="shared" ref="I150" si="15">E150</f>
        <v>2.5</v>
      </c>
      <c r="J150" s="133" t="s">
        <v>193</v>
      </c>
      <c r="K150" s="143">
        <f t="shared" ref="K150" si="16">I150*H150</f>
        <v>35</v>
      </c>
      <c r="L150" s="127"/>
      <c r="M150" s="128"/>
      <c r="N150" s="128"/>
      <c r="O150" s="128"/>
      <c r="P150" s="128"/>
      <c r="Q150" s="129"/>
    </row>
    <row r="151" spans="1:17" ht="14" x14ac:dyDescent="0.15">
      <c r="A151" s="795" t="s">
        <v>149</v>
      </c>
      <c r="B151" s="817"/>
      <c r="C151" s="817"/>
      <c r="D151" s="817"/>
      <c r="E151" s="817"/>
      <c r="F151" s="817"/>
      <c r="G151" s="817"/>
      <c r="H151" s="817"/>
      <c r="I151" s="817"/>
      <c r="J151" s="796"/>
      <c r="K151" s="416">
        <f>SUM(K149:K150)</f>
        <v>35</v>
      </c>
      <c r="L151" s="134"/>
      <c r="M151" s="135"/>
      <c r="N151" s="135"/>
      <c r="O151" s="135"/>
      <c r="P151" s="135"/>
      <c r="Q151" s="136"/>
    </row>
    <row r="152" spans="1:17" x14ac:dyDescent="0.15">
      <c r="A152" s="790"/>
      <c r="B152" s="791"/>
      <c r="C152" s="791"/>
      <c r="D152" s="791"/>
      <c r="E152" s="791"/>
      <c r="F152" s="791"/>
      <c r="G152" s="791"/>
      <c r="H152" s="791"/>
      <c r="I152" s="791"/>
      <c r="J152" s="791"/>
      <c r="K152" s="791"/>
      <c r="L152" s="791"/>
      <c r="M152" s="791"/>
      <c r="N152" s="791"/>
      <c r="O152" s="791"/>
      <c r="P152" s="791"/>
      <c r="Q152" s="792"/>
    </row>
    <row r="153" spans="1:17" s="121" customFormat="1" ht="18" customHeight="1" x14ac:dyDescent="0.15">
      <c r="A153" s="218" t="s">
        <v>0</v>
      </c>
      <c r="B153" s="793" t="s">
        <v>1513</v>
      </c>
      <c r="C153" s="794"/>
      <c r="D153" s="794"/>
      <c r="E153" s="794"/>
      <c r="F153" s="794"/>
      <c r="G153" s="794"/>
      <c r="H153" s="794"/>
      <c r="I153" s="794"/>
      <c r="J153" s="794"/>
      <c r="K153" s="794"/>
      <c r="L153" s="794"/>
      <c r="M153" s="794"/>
      <c r="N153" s="794"/>
      <c r="O153" s="216" t="s">
        <v>73</v>
      </c>
      <c r="P153" s="795" t="s">
        <v>193</v>
      </c>
      <c r="Q153" s="796"/>
    </row>
    <row r="154" spans="1:17" x14ac:dyDescent="0.15">
      <c r="A154" s="790"/>
      <c r="B154" s="791"/>
      <c r="C154" s="791"/>
      <c r="D154" s="791"/>
      <c r="E154" s="791"/>
      <c r="F154" s="791"/>
      <c r="G154" s="791"/>
      <c r="H154" s="791"/>
      <c r="I154" s="791"/>
      <c r="J154" s="791"/>
      <c r="K154" s="791"/>
      <c r="L154" s="791"/>
      <c r="M154" s="791"/>
      <c r="N154" s="791"/>
      <c r="O154" s="791"/>
      <c r="P154" s="791"/>
      <c r="Q154" s="792"/>
    </row>
    <row r="155" spans="1:17" s="126" customFormat="1" x14ac:dyDescent="0.15">
      <c r="A155" s="822" t="s">
        <v>150</v>
      </c>
      <c r="B155" s="823" t="s">
        <v>151</v>
      </c>
      <c r="C155" s="823"/>
      <c r="D155" s="802"/>
      <c r="E155" s="823" t="s">
        <v>152</v>
      </c>
      <c r="F155" s="823"/>
      <c r="G155" s="823"/>
      <c r="H155" s="802" t="s">
        <v>153</v>
      </c>
      <c r="I155" s="802" t="s">
        <v>242</v>
      </c>
      <c r="J155" s="804" t="s">
        <v>73</v>
      </c>
      <c r="K155" s="216" t="s">
        <v>154</v>
      </c>
      <c r="L155" s="123"/>
      <c r="M155" s="124"/>
      <c r="N155" s="124"/>
      <c r="O155" s="124"/>
      <c r="P155" s="124"/>
      <c r="Q155" s="125"/>
    </row>
    <row r="156" spans="1:17" s="130" customFormat="1" x14ac:dyDescent="0.15">
      <c r="A156" s="822"/>
      <c r="B156" s="823"/>
      <c r="C156" s="823"/>
      <c r="D156" s="803"/>
      <c r="E156" s="217" t="s">
        <v>155</v>
      </c>
      <c r="F156" s="217" t="s">
        <v>156</v>
      </c>
      <c r="G156" s="217" t="s">
        <v>157</v>
      </c>
      <c r="H156" s="803"/>
      <c r="I156" s="803"/>
      <c r="J156" s="805"/>
      <c r="K156" s="216" t="s">
        <v>158</v>
      </c>
      <c r="L156" s="127"/>
      <c r="M156" s="128"/>
      <c r="N156" s="128"/>
      <c r="O156" s="128"/>
      <c r="P156" s="128"/>
      <c r="Q156" s="129"/>
    </row>
    <row r="157" spans="1:17" customFormat="1" ht="19.5" customHeight="1" x14ac:dyDescent="0.15">
      <c r="A157" s="696" t="s">
        <v>185</v>
      </c>
      <c r="B157" s="856" t="s">
        <v>1437</v>
      </c>
      <c r="C157" s="857"/>
      <c r="D157" s="857"/>
      <c r="E157" s="857"/>
      <c r="F157" s="857"/>
      <c r="G157" s="857"/>
      <c r="H157" s="857"/>
      <c r="I157" s="857"/>
      <c r="J157" s="857"/>
      <c r="K157" s="858"/>
      <c r="L157" s="127"/>
      <c r="M157" s="128"/>
      <c r="N157" s="128"/>
      <c r="O157" s="128"/>
      <c r="P157" s="128"/>
      <c r="Q157" s="129"/>
    </row>
    <row r="158" spans="1:17" ht="48" customHeight="1" x14ac:dyDescent="0.15">
      <c r="A158" s="148"/>
      <c r="B158" s="788" t="s">
        <v>1536</v>
      </c>
      <c r="C158" s="789"/>
      <c r="D158" s="149"/>
      <c r="E158" s="132">
        <f>31.5+10.26</f>
        <v>41.76</v>
      </c>
      <c r="F158" s="143">
        <v>0.1</v>
      </c>
      <c r="G158" s="143">
        <v>0.25</v>
      </c>
      <c r="H158" s="143">
        <v>1</v>
      </c>
      <c r="I158" s="143">
        <f t="shared" ref="I158" si="17">E158</f>
        <v>41.76</v>
      </c>
      <c r="J158" s="133" t="s">
        <v>193</v>
      </c>
      <c r="K158" s="143">
        <f t="shared" ref="K158" si="18">I158*H158</f>
        <v>41.76</v>
      </c>
      <c r="L158" s="127"/>
      <c r="M158" s="128"/>
      <c r="N158" s="128"/>
      <c r="O158" s="128"/>
      <c r="P158" s="128"/>
      <c r="Q158" s="129"/>
    </row>
    <row r="159" spans="1:17" customFormat="1" ht="19.5" customHeight="1" x14ac:dyDescent="0.15">
      <c r="A159" s="696" t="s">
        <v>247</v>
      </c>
      <c r="B159" s="856" t="s">
        <v>1452</v>
      </c>
      <c r="C159" s="857"/>
      <c r="D159" s="857"/>
      <c r="E159" s="857"/>
      <c r="F159" s="857"/>
      <c r="G159" s="857"/>
      <c r="H159" s="857"/>
      <c r="I159" s="857"/>
      <c r="J159" s="857"/>
      <c r="K159" s="858"/>
      <c r="L159" s="127"/>
      <c r="M159" s="128"/>
      <c r="N159" s="128"/>
      <c r="O159" s="128"/>
      <c r="P159" s="128"/>
      <c r="Q159" s="129"/>
    </row>
    <row r="160" spans="1:17" ht="37.5" customHeight="1" x14ac:dyDescent="0.15">
      <c r="A160" s="148"/>
      <c r="B160" s="788" t="s">
        <v>1537</v>
      </c>
      <c r="C160" s="789"/>
      <c r="D160" s="149"/>
      <c r="E160" s="143">
        <v>13.5</v>
      </c>
      <c r="F160" s="143">
        <v>0.1</v>
      </c>
      <c r="G160" s="143">
        <v>0.25</v>
      </c>
      <c r="H160" s="143">
        <v>1</v>
      </c>
      <c r="I160" s="143">
        <f t="shared" ref="I160" si="19">E160</f>
        <v>13.5</v>
      </c>
      <c r="J160" s="133" t="s">
        <v>193</v>
      </c>
      <c r="K160" s="143">
        <f t="shared" ref="K160" si="20">I160*H160</f>
        <v>13.5</v>
      </c>
      <c r="L160" s="127"/>
      <c r="M160" s="128"/>
      <c r="N160" s="128"/>
      <c r="O160" s="128"/>
      <c r="P160" s="128"/>
      <c r="Q160" s="129"/>
    </row>
    <row r="161" spans="1:17" ht="14" x14ac:dyDescent="0.15">
      <c r="A161" s="795" t="s">
        <v>149</v>
      </c>
      <c r="B161" s="817"/>
      <c r="C161" s="817"/>
      <c r="D161" s="817"/>
      <c r="E161" s="817"/>
      <c r="F161" s="817"/>
      <c r="G161" s="817"/>
      <c r="H161" s="817"/>
      <c r="I161" s="817"/>
      <c r="J161" s="796"/>
      <c r="K161" s="416">
        <f>SUM(K158:K160)</f>
        <v>55.26</v>
      </c>
      <c r="L161" s="134"/>
      <c r="M161" s="135"/>
      <c r="N161" s="135"/>
      <c r="O161" s="135"/>
      <c r="P161" s="135"/>
      <c r="Q161" s="136"/>
    </row>
    <row r="162" spans="1:17" x14ac:dyDescent="0.15">
      <c r="A162" s="790"/>
      <c r="B162" s="791"/>
      <c r="C162" s="791"/>
      <c r="D162" s="791"/>
      <c r="E162" s="791"/>
      <c r="F162" s="791"/>
      <c r="G162" s="791"/>
      <c r="H162" s="791"/>
      <c r="I162" s="791"/>
      <c r="J162" s="791"/>
      <c r="K162" s="791"/>
      <c r="L162" s="791"/>
      <c r="M162" s="791"/>
      <c r="N162" s="791"/>
      <c r="O162" s="791"/>
      <c r="P162" s="791"/>
      <c r="Q162" s="792"/>
    </row>
    <row r="163" spans="1:17" s="121" customFormat="1" ht="18" customHeight="1" x14ac:dyDescent="0.15">
      <c r="A163" s="218" t="s">
        <v>0</v>
      </c>
      <c r="B163" s="838" t="s">
        <v>180</v>
      </c>
      <c r="C163" s="839"/>
      <c r="D163" s="839"/>
      <c r="E163" s="839"/>
      <c r="F163" s="839"/>
      <c r="G163" s="839"/>
      <c r="H163" s="839"/>
      <c r="I163" s="839"/>
      <c r="J163" s="839"/>
      <c r="K163" s="839"/>
      <c r="L163" s="839"/>
      <c r="M163" s="839"/>
      <c r="N163" s="840"/>
      <c r="O163" s="216" t="s">
        <v>73</v>
      </c>
      <c r="P163" s="795" t="s">
        <v>5</v>
      </c>
      <c r="Q163" s="796"/>
    </row>
    <row r="164" spans="1:17" x14ac:dyDescent="0.15">
      <c r="A164" s="790"/>
      <c r="B164" s="791"/>
      <c r="C164" s="791"/>
      <c r="D164" s="791"/>
      <c r="E164" s="791"/>
      <c r="F164" s="791"/>
      <c r="G164" s="791"/>
      <c r="H164" s="791"/>
      <c r="I164" s="791"/>
      <c r="J164" s="791"/>
      <c r="K164" s="791"/>
      <c r="L164" s="791"/>
      <c r="M164" s="791"/>
      <c r="N164" s="791"/>
      <c r="O164" s="791"/>
      <c r="P164" s="791"/>
      <c r="Q164" s="792"/>
    </row>
    <row r="165" spans="1:17" s="126" customFormat="1" ht="12.75" customHeight="1" x14ac:dyDescent="0.15">
      <c r="A165" s="822" t="s">
        <v>150</v>
      </c>
      <c r="B165" s="823" t="s">
        <v>151</v>
      </c>
      <c r="C165" s="823"/>
      <c r="D165" s="832" t="s">
        <v>241</v>
      </c>
      <c r="E165" s="823" t="s">
        <v>152</v>
      </c>
      <c r="F165" s="823"/>
      <c r="G165" s="823"/>
      <c r="H165" s="802" t="s">
        <v>153</v>
      </c>
      <c r="I165" s="802" t="s">
        <v>159</v>
      </c>
      <c r="J165" s="804" t="s">
        <v>73</v>
      </c>
      <c r="K165" s="216" t="s">
        <v>154</v>
      </c>
      <c r="L165" s="123"/>
      <c r="M165" s="124"/>
      <c r="N165" s="124"/>
      <c r="O165" s="124"/>
      <c r="P165" s="124"/>
      <c r="Q165" s="125"/>
    </row>
    <row r="166" spans="1:17" s="130" customFormat="1" ht="28.5" customHeight="1" x14ac:dyDescent="0.15">
      <c r="A166" s="822"/>
      <c r="B166" s="823"/>
      <c r="C166" s="823"/>
      <c r="D166" s="833"/>
      <c r="E166" s="217" t="s">
        <v>155</v>
      </c>
      <c r="F166" s="217" t="s">
        <v>156</v>
      </c>
      <c r="G166" s="217" t="s">
        <v>157</v>
      </c>
      <c r="H166" s="803"/>
      <c r="I166" s="803"/>
      <c r="J166" s="805"/>
      <c r="K166" s="216" t="s">
        <v>158</v>
      </c>
      <c r="L166" s="127"/>
      <c r="M166" s="128"/>
      <c r="N166" s="128"/>
      <c r="O166" s="128"/>
      <c r="P166" s="128"/>
      <c r="Q166" s="129"/>
    </row>
    <row r="167" spans="1:17" customFormat="1" ht="19.5" customHeight="1" x14ac:dyDescent="0.15">
      <c r="A167" s="696" t="s">
        <v>185</v>
      </c>
      <c r="B167" s="856" t="s">
        <v>1437</v>
      </c>
      <c r="C167" s="857"/>
      <c r="D167" s="857"/>
      <c r="E167" s="857"/>
      <c r="F167" s="857"/>
      <c r="G167" s="857"/>
      <c r="H167" s="857"/>
      <c r="I167" s="857"/>
      <c r="J167" s="857"/>
      <c r="K167" s="858"/>
      <c r="L167" s="127"/>
      <c r="M167" s="128"/>
      <c r="N167" s="128"/>
      <c r="O167" s="128"/>
      <c r="P167" s="128"/>
      <c r="Q167" s="129"/>
    </row>
    <row r="168" spans="1:17" ht="29.25" customHeight="1" x14ac:dyDescent="0.15">
      <c r="A168" s="148"/>
      <c r="B168" s="815" t="s">
        <v>1456</v>
      </c>
      <c r="C168" s="816"/>
      <c r="D168" s="143">
        <f>14*0.2*2</f>
        <v>5.6000000000000005</v>
      </c>
      <c r="E168" s="132">
        <f>31.5+10.26</f>
        <v>41.76</v>
      </c>
      <c r="F168" s="143">
        <v>0.09</v>
      </c>
      <c r="G168" s="143">
        <v>2</v>
      </c>
      <c r="H168" s="143">
        <v>1</v>
      </c>
      <c r="I168" s="143">
        <f>E168*G168</f>
        <v>83.52</v>
      </c>
      <c r="J168" s="133" t="s">
        <v>5</v>
      </c>
      <c r="K168" s="143">
        <f>I168-D168</f>
        <v>77.92</v>
      </c>
      <c r="L168" s="127"/>
      <c r="M168" s="128"/>
      <c r="N168" s="128"/>
      <c r="O168" s="128"/>
      <c r="P168" s="128"/>
      <c r="Q168" s="129"/>
    </row>
    <row r="169" spans="1:17" customFormat="1" ht="19.5" customHeight="1" x14ac:dyDescent="0.15">
      <c r="A169" s="696" t="s">
        <v>247</v>
      </c>
      <c r="B169" s="856" t="s">
        <v>1452</v>
      </c>
      <c r="C169" s="857"/>
      <c r="D169" s="857"/>
      <c r="E169" s="857"/>
      <c r="F169" s="857"/>
      <c r="G169" s="857"/>
      <c r="H169" s="857"/>
      <c r="I169" s="857"/>
      <c r="J169" s="857"/>
      <c r="K169" s="858"/>
      <c r="L169" s="127"/>
      <c r="M169" s="128"/>
      <c r="N169" s="128"/>
      <c r="O169" s="128"/>
      <c r="P169" s="128"/>
      <c r="Q169" s="129"/>
    </row>
    <row r="170" spans="1:17" ht="29.25" customHeight="1" x14ac:dyDescent="0.15">
      <c r="A170" s="148"/>
      <c r="B170" s="815" t="s">
        <v>1458</v>
      </c>
      <c r="C170" s="816"/>
      <c r="D170" s="143">
        <v>79.44</v>
      </c>
      <c r="E170" s="143">
        <v>0</v>
      </c>
      <c r="F170" s="143">
        <v>0.09</v>
      </c>
      <c r="G170" s="143">
        <v>0</v>
      </c>
      <c r="H170" s="143">
        <v>1</v>
      </c>
      <c r="I170" s="143">
        <f>D170</f>
        <v>79.44</v>
      </c>
      <c r="J170" s="133" t="s">
        <v>5</v>
      </c>
      <c r="K170" s="143">
        <f>I170*H170</f>
        <v>79.44</v>
      </c>
      <c r="L170" s="127"/>
      <c r="M170" s="128"/>
      <c r="N170" s="128"/>
      <c r="O170" s="128"/>
      <c r="P170" s="128"/>
      <c r="Q170" s="129"/>
    </row>
    <row r="171" spans="1:17" customFormat="1" ht="19.5" customHeight="1" x14ac:dyDescent="0.15">
      <c r="A171" s="696" t="s">
        <v>1440</v>
      </c>
      <c r="B171" s="856" t="s">
        <v>1439</v>
      </c>
      <c r="C171" s="857"/>
      <c r="D171" s="857"/>
      <c r="E171" s="857"/>
      <c r="F171" s="857"/>
      <c r="G171" s="857"/>
      <c r="H171" s="857"/>
      <c r="I171" s="857"/>
      <c r="J171" s="857"/>
      <c r="K171" s="858"/>
      <c r="L171" s="127"/>
      <c r="M171" s="128"/>
      <c r="N171" s="128"/>
      <c r="O171" s="128"/>
      <c r="P171" s="128"/>
      <c r="Q171" s="129"/>
    </row>
    <row r="172" spans="1:17" ht="29.25" customHeight="1" x14ac:dyDescent="0.15">
      <c r="A172" s="148"/>
      <c r="B172" s="815" t="s">
        <v>1458</v>
      </c>
      <c r="C172" s="816"/>
      <c r="D172" s="143">
        <v>20</v>
      </c>
      <c r="E172" s="143">
        <v>0</v>
      </c>
      <c r="F172" s="143">
        <v>0.09</v>
      </c>
      <c r="G172" s="143">
        <v>0</v>
      </c>
      <c r="H172" s="143">
        <v>1</v>
      </c>
      <c r="I172" s="143">
        <f>D172</f>
        <v>20</v>
      </c>
      <c r="J172" s="133" t="s">
        <v>5</v>
      </c>
      <c r="K172" s="143">
        <f>I172*H172</f>
        <v>20</v>
      </c>
      <c r="L172" s="127"/>
      <c r="M172" s="128"/>
      <c r="N172" s="128"/>
      <c r="O172" s="128"/>
      <c r="P172" s="128"/>
      <c r="Q172" s="129"/>
    </row>
    <row r="173" spans="1:17" ht="14" x14ac:dyDescent="0.15">
      <c r="A173" s="795" t="s">
        <v>149</v>
      </c>
      <c r="B173" s="817"/>
      <c r="C173" s="817"/>
      <c r="D173" s="817"/>
      <c r="E173" s="817"/>
      <c r="F173" s="817"/>
      <c r="G173" s="817"/>
      <c r="H173" s="817"/>
      <c r="I173" s="817"/>
      <c r="J173" s="796"/>
      <c r="K173" s="416">
        <f>SUM(K168:K172)</f>
        <v>177.36</v>
      </c>
      <c r="L173" s="134"/>
      <c r="M173" s="135"/>
      <c r="N173" s="135"/>
      <c r="O173" s="135"/>
      <c r="P173" s="135"/>
      <c r="Q173" s="136"/>
    </row>
    <row r="174" spans="1:17" x14ac:dyDescent="0.15">
      <c r="A174" s="790"/>
      <c r="B174" s="791"/>
      <c r="C174" s="791"/>
      <c r="D174" s="791"/>
      <c r="E174" s="791"/>
      <c r="F174" s="791"/>
      <c r="G174" s="791"/>
      <c r="H174" s="791"/>
      <c r="I174" s="791"/>
      <c r="J174" s="791"/>
      <c r="K174" s="791"/>
      <c r="L174" s="791"/>
      <c r="M174" s="791"/>
      <c r="N174" s="791"/>
      <c r="O174" s="791"/>
      <c r="P174" s="791"/>
      <c r="Q174" s="792"/>
    </row>
    <row r="175" spans="1:17" s="121" customFormat="1" ht="18" customHeight="1" x14ac:dyDescent="0.15">
      <c r="A175" s="218" t="s">
        <v>0</v>
      </c>
      <c r="B175" s="838" t="s">
        <v>1026</v>
      </c>
      <c r="C175" s="839"/>
      <c r="D175" s="839"/>
      <c r="E175" s="839"/>
      <c r="F175" s="839"/>
      <c r="G175" s="839"/>
      <c r="H175" s="839"/>
      <c r="I175" s="839"/>
      <c r="J175" s="839"/>
      <c r="K175" s="839"/>
      <c r="L175" s="839"/>
      <c r="M175" s="839"/>
      <c r="N175" s="839"/>
      <c r="O175" s="216" t="s">
        <v>73</v>
      </c>
      <c r="P175" s="795" t="s">
        <v>5</v>
      </c>
      <c r="Q175" s="796"/>
    </row>
    <row r="176" spans="1:17" x14ac:dyDescent="0.15">
      <c r="A176" s="790"/>
      <c r="B176" s="791"/>
      <c r="C176" s="791"/>
      <c r="D176" s="791"/>
      <c r="E176" s="791"/>
      <c r="F176" s="791"/>
      <c r="G176" s="791"/>
      <c r="H176" s="791"/>
      <c r="I176" s="791"/>
      <c r="J176" s="791"/>
      <c r="K176" s="791"/>
      <c r="L176" s="791"/>
      <c r="M176" s="791"/>
      <c r="N176" s="791"/>
      <c r="O176" s="791"/>
      <c r="P176" s="791"/>
      <c r="Q176" s="792"/>
    </row>
    <row r="177" spans="1:20" s="126" customFormat="1" ht="12.75" customHeight="1" x14ac:dyDescent="0.15">
      <c r="A177" s="822" t="s">
        <v>150</v>
      </c>
      <c r="B177" s="823" t="s">
        <v>151</v>
      </c>
      <c r="C177" s="823"/>
      <c r="D177" s="832" t="s">
        <v>241</v>
      </c>
      <c r="E177" s="823" t="s">
        <v>152</v>
      </c>
      <c r="F177" s="823"/>
      <c r="G177" s="823"/>
      <c r="H177" s="802" t="s">
        <v>153</v>
      </c>
      <c r="I177" s="802" t="s">
        <v>159</v>
      </c>
      <c r="J177" s="804" t="s">
        <v>73</v>
      </c>
      <c r="K177" s="216" t="s">
        <v>154</v>
      </c>
      <c r="L177" s="123"/>
      <c r="M177" s="124"/>
      <c r="N177" s="124"/>
      <c r="O177" s="124"/>
      <c r="P177" s="124"/>
      <c r="Q177" s="125"/>
    </row>
    <row r="178" spans="1:20" s="130" customFormat="1" x14ac:dyDescent="0.15">
      <c r="A178" s="822"/>
      <c r="B178" s="823"/>
      <c r="C178" s="823"/>
      <c r="D178" s="833"/>
      <c r="E178" s="217" t="s">
        <v>155</v>
      </c>
      <c r="F178" s="217" t="s">
        <v>206</v>
      </c>
      <c r="G178" s="217" t="s">
        <v>157</v>
      </c>
      <c r="H178" s="803"/>
      <c r="I178" s="803"/>
      <c r="J178" s="805"/>
      <c r="K178" s="216" t="s">
        <v>158</v>
      </c>
      <c r="L178" s="127"/>
      <c r="M178" s="128"/>
      <c r="N178" s="128"/>
      <c r="O178" s="128"/>
      <c r="P178" s="128"/>
      <c r="Q178" s="129"/>
    </row>
    <row r="179" spans="1:20" customFormat="1" ht="19.5" customHeight="1" x14ac:dyDescent="0.15">
      <c r="A179" s="696" t="s">
        <v>185</v>
      </c>
      <c r="B179" s="856" t="s">
        <v>1437</v>
      </c>
      <c r="C179" s="857"/>
      <c r="D179" s="857"/>
      <c r="E179" s="857"/>
      <c r="F179" s="857"/>
      <c r="G179" s="857"/>
      <c r="H179" s="857"/>
      <c r="I179" s="857"/>
      <c r="J179" s="857"/>
      <c r="K179" s="858"/>
      <c r="L179" s="127"/>
      <c r="M179" s="128"/>
      <c r="N179" s="128"/>
      <c r="O179" s="128"/>
      <c r="P179" s="128"/>
      <c r="Q179" s="129"/>
    </row>
    <row r="180" spans="1:20" ht="29.25" customHeight="1" x14ac:dyDescent="0.15">
      <c r="A180" s="148"/>
      <c r="B180" s="815" t="s">
        <v>1456</v>
      </c>
      <c r="C180" s="816"/>
      <c r="D180" s="143">
        <f>14*0.2*2</f>
        <v>5.6000000000000005</v>
      </c>
      <c r="E180" s="132">
        <f>31.5+10.26</f>
        <v>41.76</v>
      </c>
      <c r="F180" s="143">
        <v>0.09</v>
      </c>
      <c r="G180" s="143">
        <v>2</v>
      </c>
      <c r="H180" s="143">
        <v>2</v>
      </c>
      <c r="I180" s="143">
        <f>E180*G180</f>
        <v>83.52</v>
      </c>
      <c r="J180" s="133" t="s">
        <v>5</v>
      </c>
      <c r="K180" s="143">
        <f>(I180*H180)-(D180*2)</f>
        <v>155.84</v>
      </c>
      <c r="L180" s="127"/>
      <c r="M180" s="128"/>
      <c r="N180" s="128"/>
      <c r="O180" s="128"/>
      <c r="P180" s="128"/>
      <c r="Q180" s="129"/>
    </row>
    <row r="181" spans="1:20" ht="29.25" customHeight="1" x14ac:dyDescent="0.15">
      <c r="A181" s="148"/>
      <c r="B181" s="815" t="s">
        <v>1459</v>
      </c>
      <c r="C181" s="816"/>
      <c r="D181" s="143">
        <v>2.5</v>
      </c>
      <c r="E181" s="143">
        <v>0</v>
      </c>
      <c r="F181" s="143">
        <v>0.02</v>
      </c>
      <c r="G181" s="143">
        <v>0</v>
      </c>
      <c r="H181" s="143">
        <v>2</v>
      </c>
      <c r="I181" s="143">
        <f>D181</f>
        <v>2.5</v>
      </c>
      <c r="J181" s="133" t="s">
        <v>5</v>
      </c>
      <c r="K181" s="143">
        <f>I181*H181</f>
        <v>5</v>
      </c>
      <c r="L181" s="127"/>
      <c r="M181" s="128"/>
      <c r="N181" s="128"/>
      <c r="O181" s="128"/>
      <c r="P181" s="128"/>
      <c r="Q181" s="129"/>
    </row>
    <row r="182" spans="1:20" customFormat="1" ht="19.5" customHeight="1" x14ac:dyDescent="0.15">
      <c r="A182" s="696" t="s">
        <v>247</v>
      </c>
      <c r="B182" s="856" t="s">
        <v>1452</v>
      </c>
      <c r="C182" s="857"/>
      <c r="D182" s="857"/>
      <c r="E182" s="857"/>
      <c r="F182" s="857"/>
      <c r="G182" s="857"/>
      <c r="H182" s="857"/>
      <c r="I182" s="857"/>
      <c r="J182" s="857"/>
      <c r="K182" s="858"/>
      <c r="L182" s="127"/>
      <c r="M182" s="128"/>
      <c r="N182" s="128"/>
      <c r="O182" s="128"/>
      <c r="P182" s="128"/>
      <c r="Q182" s="129"/>
    </row>
    <row r="183" spans="1:20" ht="29.25" customHeight="1" x14ac:dyDescent="0.15">
      <c r="A183" s="148"/>
      <c r="B183" s="815" t="s">
        <v>1458</v>
      </c>
      <c r="C183" s="816"/>
      <c r="D183" s="143">
        <v>79.44</v>
      </c>
      <c r="E183" s="143">
        <v>0</v>
      </c>
      <c r="F183" s="143">
        <v>0.02</v>
      </c>
      <c r="G183" s="143">
        <v>0</v>
      </c>
      <c r="H183" s="143">
        <v>2</v>
      </c>
      <c r="I183" s="143">
        <f>D183</f>
        <v>79.44</v>
      </c>
      <c r="J183" s="133" t="s">
        <v>5</v>
      </c>
      <c r="K183" s="143">
        <f>I183*H183</f>
        <v>158.88</v>
      </c>
      <c r="L183" s="127"/>
      <c r="M183" s="128"/>
      <c r="N183" s="128"/>
      <c r="O183" s="128"/>
      <c r="P183" s="128"/>
      <c r="Q183" s="129"/>
    </row>
    <row r="184" spans="1:20" customFormat="1" ht="19.5" customHeight="1" x14ac:dyDescent="0.15">
      <c r="A184" s="696" t="s">
        <v>1440</v>
      </c>
      <c r="B184" s="856" t="s">
        <v>1439</v>
      </c>
      <c r="C184" s="857"/>
      <c r="D184" s="857"/>
      <c r="E184" s="857"/>
      <c r="F184" s="857"/>
      <c r="G184" s="857"/>
      <c r="H184" s="857"/>
      <c r="I184" s="857"/>
      <c r="J184" s="857"/>
      <c r="K184" s="858"/>
      <c r="L184" s="127"/>
      <c r="M184" s="128"/>
      <c r="N184" s="128"/>
      <c r="O184" s="128"/>
      <c r="P184" s="128"/>
      <c r="Q184" s="129"/>
    </row>
    <row r="185" spans="1:20" ht="29.25" customHeight="1" x14ac:dyDescent="0.15">
      <c r="A185" s="148"/>
      <c r="B185" s="815" t="s">
        <v>1458</v>
      </c>
      <c r="C185" s="816"/>
      <c r="D185" s="143">
        <v>20</v>
      </c>
      <c r="E185" s="143">
        <v>0</v>
      </c>
      <c r="F185" s="143">
        <v>0.02</v>
      </c>
      <c r="G185" s="143">
        <v>0</v>
      </c>
      <c r="H185" s="143">
        <v>2</v>
      </c>
      <c r="I185" s="143">
        <f>D185</f>
        <v>20</v>
      </c>
      <c r="J185" s="133" t="s">
        <v>5</v>
      </c>
      <c r="K185" s="143">
        <f>I185*H185</f>
        <v>40</v>
      </c>
      <c r="L185" s="127"/>
      <c r="M185" s="128"/>
      <c r="N185" s="128"/>
      <c r="O185" s="128"/>
      <c r="P185" s="128"/>
      <c r="Q185" s="129"/>
    </row>
    <row r="186" spans="1:20" ht="14" x14ac:dyDescent="0.15">
      <c r="A186" s="795" t="s">
        <v>149</v>
      </c>
      <c r="B186" s="817"/>
      <c r="C186" s="817"/>
      <c r="D186" s="817"/>
      <c r="E186" s="817"/>
      <c r="F186" s="817"/>
      <c r="G186" s="817"/>
      <c r="H186" s="817"/>
      <c r="I186" s="817"/>
      <c r="J186" s="796"/>
      <c r="K186" s="416">
        <f>SUM(K180:K185)</f>
        <v>359.72</v>
      </c>
      <c r="L186" s="134"/>
      <c r="M186" s="135"/>
      <c r="N186" s="135"/>
      <c r="O186" s="135"/>
      <c r="P186" s="135"/>
      <c r="Q186" s="136"/>
    </row>
    <row r="187" spans="1:20" x14ac:dyDescent="0.15">
      <c r="A187" s="790"/>
      <c r="B187" s="791"/>
      <c r="C187" s="791"/>
      <c r="D187" s="791"/>
      <c r="E187" s="791"/>
      <c r="F187" s="791"/>
      <c r="G187" s="791"/>
      <c r="H187" s="791"/>
      <c r="I187" s="791"/>
      <c r="J187" s="791"/>
      <c r="K187" s="791"/>
      <c r="L187" s="791"/>
      <c r="M187" s="791"/>
      <c r="N187" s="791"/>
      <c r="O187" s="791"/>
      <c r="P187" s="791"/>
      <c r="Q187" s="792"/>
    </row>
    <row r="188" spans="1:20" s="121" customFormat="1" ht="18" customHeight="1" x14ac:dyDescent="0.15">
      <c r="A188" s="218" t="s">
        <v>0</v>
      </c>
      <c r="B188" s="838" t="s">
        <v>1095</v>
      </c>
      <c r="C188" s="839"/>
      <c r="D188" s="839"/>
      <c r="E188" s="839"/>
      <c r="F188" s="839"/>
      <c r="G188" s="839"/>
      <c r="H188" s="839"/>
      <c r="I188" s="839"/>
      <c r="J188" s="839"/>
      <c r="K188" s="839"/>
      <c r="L188" s="839"/>
      <c r="M188" s="839"/>
      <c r="N188" s="839"/>
      <c r="O188" s="216" t="s">
        <v>73</v>
      </c>
      <c r="P188" s="795" t="s">
        <v>5</v>
      </c>
      <c r="Q188" s="796"/>
    </row>
    <row r="189" spans="1:20" x14ac:dyDescent="0.15">
      <c r="A189" s="790"/>
      <c r="B189" s="791"/>
      <c r="C189" s="791"/>
      <c r="D189" s="791"/>
      <c r="E189" s="791"/>
      <c r="F189" s="791"/>
      <c r="G189" s="791"/>
      <c r="H189" s="791"/>
      <c r="I189" s="791"/>
      <c r="J189" s="791"/>
      <c r="K189" s="791"/>
      <c r="L189" s="791"/>
      <c r="M189" s="791"/>
      <c r="N189" s="791"/>
      <c r="O189" s="791"/>
      <c r="P189" s="791"/>
      <c r="Q189" s="792"/>
      <c r="T189" s="221"/>
    </row>
    <row r="190" spans="1:20" s="126" customFormat="1" ht="12.75" customHeight="1" x14ac:dyDescent="0.15">
      <c r="A190" s="822" t="s">
        <v>150</v>
      </c>
      <c r="B190" s="823" t="s">
        <v>151</v>
      </c>
      <c r="C190" s="823"/>
      <c r="D190" s="832" t="s">
        <v>241</v>
      </c>
      <c r="E190" s="823" t="s">
        <v>152</v>
      </c>
      <c r="F190" s="823"/>
      <c r="G190" s="823"/>
      <c r="H190" s="802" t="s">
        <v>153</v>
      </c>
      <c r="I190" s="802" t="s">
        <v>1096</v>
      </c>
      <c r="J190" s="804" t="s">
        <v>73</v>
      </c>
      <c r="K190" s="216" t="s">
        <v>154</v>
      </c>
      <c r="L190" s="123"/>
      <c r="M190" s="124"/>
      <c r="N190" s="124"/>
      <c r="O190" s="124"/>
      <c r="P190" s="124"/>
      <c r="Q190" s="125"/>
    </row>
    <row r="191" spans="1:20" s="130" customFormat="1" x14ac:dyDescent="0.15">
      <c r="A191" s="822"/>
      <c r="B191" s="823"/>
      <c r="C191" s="823"/>
      <c r="D191" s="833"/>
      <c r="E191" s="217" t="s">
        <v>155</v>
      </c>
      <c r="F191" s="217" t="s">
        <v>206</v>
      </c>
      <c r="G191" s="217" t="s">
        <v>1093</v>
      </c>
      <c r="H191" s="803"/>
      <c r="I191" s="803"/>
      <c r="J191" s="805"/>
      <c r="K191" s="216" t="s">
        <v>158</v>
      </c>
      <c r="L191" s="127"/>
      <c r="M191" s="128"/>
      <c r="N191" s="128"/>
      <c r="O191" s="128"/>
      <c r="P191" s="128"/>
      <c r="Q191" s="129"/>
    </row>
    <row r="192" spans="1:20" customFormat="1" ht="19.5" customHeight="1" x14ac:dyDescent="0.15">
      <c r="A192" s="696" t="s">
        <v>185</v>
      </c>
      <c r="B192" s="856" t="s">
        <v>1437</v>
      </c>
      <c r="C192" s="857"/>
      <c r="D192" s="857"/>
      <c r="E192" s="857"/>
      <c r="F192" s="857"/>
      <c r="G192" s="857"/>
      <c r="H192" s="857"/>
      <c r="I192" s="857"/>
      <c r="J192" s="857"/>
      <c r="K192" s="858"/>
      <c r="L192" s="127"/>
      <c r="M192" s="128"/>
      <c r="N192" s="128"/>
      <c r="O192" s="128"/>
      <c r="P192" s="128"/>
      <c r="Q192" s="129"/>
    </row>
    <row r="193" spans="1:20" ht="29.25" customHeight="1" x14ac:dyDescent="0.15">
      <c r="A193" s="148"/>
      <c r="B193" s="815" t="s">
        <v>1456</v>
      </c>
      <c r="C193" s="816"/>
      <c r="D193" s="143">
        <v>0</v>
      </c>
      <c r="E193" s="132">
        <f>(31.5+10.26)-2.8</f>
        <v>38.96</v>
      </c>
      <c r="F193" s="143">
        <v>0.09</v>
      </c>
      <c r="G193" s="143">
        <v>7.0000000000000007E-2</v>
      </c>
      <c r="H193" s="143">
        <v>2</v>
      </c>
      <c r="I193" s="143">
        <f>E193*G193</f>
        <v>2.7272000000000003</v>
      </c>
      <c r="J193" s="133" t="s">
        <v>5</v>
      </c>
      <c r="K193" s="143">
        <f>(I193*H193)-(D193*2)</f>
        <v>5.4544000000000006</v>
      </c>
      <c r="L193" s="127"/>
      <c r="M193" s="128"/>
      <c r="N193" s="128"/>
      <c r="O193" s="128"/>
      <c r="P193" s="128"/>
      <c r="Q193" s="129"/>
    </row>
    <row r="194" spans="1:20" ht="29.25" customHeight="1" x14ac:dyDescent="0.15">
      <c r="A194" s="148"/>
      <c r="B194" s="815" t="s">
        <v>1456</v>
      </c>
      <c r="C194" s="816"/>
      <c r="D194" s="143">
        <v>0</v>
      </c>
      <c r="E194" s="132">
        <v>4</v>
      </c>
      <c r="F194" s="143">
        <v>0.09</v>
      </c>
      <c r="G194" s="143">
        <v>7.0000000000000007E-2</v>
      </c>
      <c r="H194" s="143">
        <v>28</v>
      </c>
      <c r="I194" s="143">
        <f>E194*G194</f>
        <v>0.28000000000000003</v>
      </c>
      <c r="J194" s="133" t="s">
        <v>5</v>
      </c>
      <c r="K194" s="143">
        <f>(I194*H194)-(D194*2)</f>
        <v>7.8400000000000007</v>
      </c>
      <c r="L194" s="127"/>
      <c r="M194" s="128"/>
      <c r="N194" s="128"/>
      <c r="O194" s="128"/>
      <c r="P194" s="128"/>
      <c r="Q194" s="129"/>
    </row>
    <row r="195" spans="1:20" customFormat="1" ht="19.5" customHeight="1" x14ac:dyDescent="0.15">
      <c r="A195" s="696" t="s">
        <v>247</v>
      </c>
      <c r="B195" s="856" t="s">
        <v>1452</v>
      </c>
      <c r="C195" s="857"/>
      <c r="D195" s="857"/>
      <c r="E195" s="857"/>
      <c r="F195" s="857"/>
      <c r="G195" s="857"/>
      <c r="H195" s="857"/>
      <c r="I195" s="857"/>
      <c r="J195" s="857"/>
      <c r="K195" s="858"/>
      <c r="L195" s="127"/>
      <c r="M195" s="128"/>
      <c r="N195" s="128"/>
      <c r="O195" s="128"/>
      <c r="P195" s="128"/>
      <c r="Q195" s="129"/>
    </row>
    <row r="196" spans="1:20" ht="29.25" customHeight="1" x14ac:dyDescent="0.15">
      <c r="A196" s="148"/>
      <c r="B196" s="815" t="s">
        <v>1460</v>
      </c>
      <c r="C196" s="816"/>
      <c r="D196" s="143">
        <v>0</v>
      </c>
      <c r="E196" s="143">
        <v>25</v>
      </c>
      <c r="F196" s="143">
        <v>0.02</v>
      </c>
      <c r="G196" s="143">
        <v>0.13</v>
      </c>
      <c r="H196" s="143">
        <v>1</v>
      </c>
      <c r="I196" s="143">
        <f>E196</f>
        <v>25</v>
      </c>
      <c r="J196" s="133" t="s">
        <v>7</v>
      </c>
      <c r="K196" s="143">
        <f t="shared" ref="K196" si="21">(I196*H196)-D196</f>
        <v>25</v>
      </c>
      <c r="L196" s="127"/>
      <c r="M196" s="128"/>
      <c r="N196" s="128"/>
      <c r="O196" s="128"/>
      <c r="P196" s="128"/>
      <c r="Q196" s="129"/>
      <c r="T196" s="221"/>
    </row>
    <row r="197" spans="1:20" ht="14" x14ac:dyDescent="0.15">
      <c r="A197" s="795" t="s">
        <v>149</v>
      </c>
      <c r="B197" s="817"/>
      <c r="C197" s="817"/>
      <c r="D197" s="817"/>
      <c r="E197" s="817"/>
      <c r="F197" s="817"/>
      <c r="G197" s="817"/>
      <c r="H197" s="817"/>
      <c r="I197" s="817"/>
      <c r="J197" s="796"/>
      <c r="K197" s="416">
        <f>SUM(K193:K196)</f>
        <v>38.294400000000003</v>
      </c>
      <c r="L197" s="134"/>
      <c r="M197" s="135"/>
      <c r="N197" s="135"/>
      <c r="O197" s="135"/>
      <c r="P197" s="135"/>
      <c r="Q197" s="136"/>
      <c r="T197" s="121"/>
    </row>
    <row r="198" spans="1:20" x14ac:dyDescent="0.15">
      <c r="A198" s="790"/>
      <c r="B198" s="791"/>
      <c r="C198" s="791"/>
      <c r="D198" s="791"/>
      <c r="E198" s="791"/>
      <c r="F198" s="791"/>
      <c r="G198" s="791"/>
      <c r="H198" s="791"/>
      <c r="I198" s="791"/>
      <c r="J198" s="791"/>
      <c r="K198" s="791"/>
      <c r="L198" s="791"/>
      <c r="M198" s="791"/>
      <c r="N198" s="791"/>
      <c r="O198" s="791"/>
      <c r="P198" s="791"/>
      <c r="Q198" s="792"/>
    </row>
    <row r="199" spans="1:20" s="121" customFormat="1" ht="18" customHeight="1" x14ac:dyDescent="0.15">
      <c r="A199" s="218" t="s">
        <v>0</v>
      </c>
      <c r="B199" s="838" t="s">
        <v>1024</v>
      </c>
      <c r="C199" s="839"/>
      <c r="D199" s="839"/>
      <c r="E199" s="839"/>
      <c r="F199" s="839"/>
      <c r="G199" s="839"/>
      <c r="H199" s="839"/>
      <c r="I199" s="839"/>
      <c r="J199" s="839"/>
      <c r="K199" s="839"/>
      <c r="L199" s="839"/>
      <c r="M199" s="839"/>
      <c r="N199" s="840"/>
      <c r="O199" s="216" t="s">
        <v>73</v>
      </c>
      <c r="P199" s="795" t="s">
        <v>5</v>
      </c>
      <c r="Q199" s="796"/>
    </row>
    <row r="200" spans="1:20" x14ac:dyDescent="0.15">
      <c r="A200" s="790"/>
      <c r="B200" s="791"/>
      <c r="C200" s="791"/>
      <c r="D200" s="791"/>
      <c r="E200" s="791"/>
      <c r="F200" s="791"/>
      <c r="G200" s="791"/>
      <c r="H200" s="791"/>
      <c r="I200" s="791"/>
      <c r="J200" s="791"/>
      <c r="K200" s="791"/>
      <c r="L200" s="791"/>
      <c r="M200" s="791"/>
      <c r="N200" s="791"/>
      <c r="O200" s="791"/>
      <c r="P200" s="791"/>
      <c r="Q200" s="792"/>
    </row>
    <row r="201" spans="1:20" s="126" customFormat="1" ht="12.75" customHeight="1" x14ac:dyDescent="0.15">
      <c r="A201" s="822" t="s">
        <v>150</v>
      </c>
      <c r="B201" s="823" t="s">
        <v>151</v>
      </c>
      <c r="C201" s="823"/>
      <c r="D201" s="832" t="s">
        <v>241</v>
      </c>
      <c r="E201" s="823" t="s">
        <v>152</v>
      </c>
      <c r="F201" s="823"/>
      <c r="G201" s="823"/>
      <c r="H201" s="802" t="s">
        <v>153</v>
      </c>
      <c r="I201" s="802" t="s">
        <v>159</v>
      </c>
      <c r="J201" s="804" t="s">
        <v>73</v>
      </c>
      <c r="K201" s="216" t="s">
        <v>154</v>
      </c>
      <c r="L201" s="123"/>
      <c r="M201" s="124"/>
      <c r="N201" s="124"/>
      <c r="O201" s="124"/>
      <c r="P201" s="124"/>
      <c r="Q201" s="125"/>
    </row>
    <row r="202" spans="1:20" s="130" customFormat="1" x14ac:dyDescent="0.15">
      <c r="A202" s="822"/>
      <c r="B202" s="823"/>
      <c r="C202" s="823"/>
      <c r="D202" s="833"/>
      <c r="E202" s="217" t="s">
        <v>155</v>
      </c>
      <c r="F202" s="217" t="s">
        <v>156</v>
      </c>
      <c r="G202" s="217" t="s">
        <v>157</v>
      </c>
      <c r="H202" s="803"/>
      <c r="I202" s="803"/>
      <c r="J202" s="805"/>
      <c r="K202" s="216" t="s">
        <v>158</v>
      </c>
      <c r="L202" s="127"/>
      <c r="M202" s="128"/>
      <c r="N202" s="128"/>
      <c r="O202" s="128"/>
      <c r="P202" s="128"/>
      <c r="Q202" s="129"/>
    </row>
    <row r="203" spans="1:20" customFormat="1" ht="19.5" customHeight="1" x14ac:dyDescent="0.15">
      <c r="A203" s="696" t="s">
        <v>247</v>
      </c>
      <c r="B203" s="856" t="s">
        <v>1452</v>
      </c>
      <c r="C203" s="857"/>
      <c r="D203" s="857"/>
      <c r="E203" s="857"/>
      <c r="F203" s="857"/>
      <c r="G203" s="857"/>
      <c r="H203" s="857"/>
      <c r="I203" s="857"/>
      <c r="J203" s="857"/>
      <c r="K203" s="858"/>
      <c r="L203" s="127"/>
      <c r="M203" s="128"/>
      <c r="N203" s="128"/>
      <c r="O203" s="128"/>
      <c r="P203" s="128"/>
      <c r="Q203" s="129"/>
    </row>
    <row r="204" spans="1:20" ht="29.25" customHeight="1" x14ac:dyDescent="0.15">
      <c r="A204" s="148"/>
      <c r="B204" s="815" t="s">
        <v>1458</v>
      </c>
      <c r="C204" s="816"/>
      <c r="D204" s="143">
        <v>79.44</v>
      </c>
      <c r="E204" s="143">
        <v>0</v>
      </c>
      <c r="F204" s="143">
        <v>0</v>
      </c>
      <c r="G204" s="143">
        <v>0</v>
      </c>
      <c r="H204" s="143">
        <v>2</v>
      </c>
      <c r="I204" s="143">
        <f>D204</f>
        <v>79.44</v>
      </c>
      <c r="J204" s="133" t="s">
        <v>5</v>
      </c>
      <c r="K204" s="143">
        <f>I204*H204</f>
        <v>158.88</v>
      </c>
      <c r="L204" s="127"/>
      <c r="M204" s="128"/>
      <c r="N204" s="128"/>
      <c r="O204" s="128"/>
      <c r="P204" s="128"/>
      <c r="Q204" s="129"/>
    </row>
    <row r="205" spans="1:20" customFormat="1" ht="19.5" customHeight="1" x14ac:dyDescent="0.15">
      <c r="A205" s="696" t="s">
        <v>1440</v>
      </c>
      <c r="B205" s="856" t="s">
        <v>1439</v>
      </c>
      <c r="C205" s="857"/>
      <c r="D205" s="857"/>
      <c r="E205" s="857"/>
      <c r="F205" s="857"/>
      <c r="G205" s="857"/>
      <c r="H205" s="857"/>
      <c r="I205" s="857"/>
      <c r="J205" s="857"/>
      <c r="K205" s="858"/>
      <c r="L205" s="127"/>
      <c r="M205" s="128"/>
      <c r="N205" s="128"/>
      <c r="O205" s="128"/>
      <c r="P205" s="128"/>
      <c r="Q205" s="129"/>
    </row>
    <row r="206" spans="1:20" ht="29.25" customHeight="1" x14ac:dyDescent="0.15">
      <c r="A206" s="148"/>
      <c r="B206" s="815" t="s">
        <v>1458</v>
      </c>
      <c r="C206" s="816"/>
      <c r="D206" s="143">
        <v>20</v>
      </c>
      <c r="E206" s="143">
        <v>0</v>
      </c>
      <c r="F206" s="143">
        <v>0</v>
      </c>
      <c r="G206" s="143">
        <v>0</v>
      </c>
      <c r="H206" s="143">
        <v>2</v>
      </c>
      <c r="I206" s="143">
        <f>D206</f>
        <v>20</v>
      </c>
      <c r="J206" s="133" t="s">
        <v>5</v>
      </c>
      <c r="K206" s="143">
        <f>I206*H206</f>
        <v>40</v>
      </c>
      <c r="L206" s="127"/>
      <c r="M206" s="128"/>
      <c r="N206" s="128"/>
      <c r="O206" s="128"/>
      <c r="P206" s="128"/>
      <c r="Q206" s="129"/>
    </row>
    <row r="207" spans="1:20" ht="14" x14ac:dyDescent="0.15">
      <c r="A207" s="795" t="s">
        <v>149</v>
      </c>
      <c r="B207" s="817"/>
      <c r="C207" s="817"/>
      <c r="D207" s="817"/>
      <c r="E207" s="817"/>
      <c r="F207" s="817"/>
      <c r="G207" s="817"/>
      <c r="H207" s="817"/>
      <c r="I207" s="817"/>
      <c r="J207" s="796"/>
      <c r="K207" s="416">
        <f>SUM(K204:K206)</f>
        <v>198.88</v>
      </c>
      <c r="L207" s="134"/>
      <c r="M207" s="135"/>
      <c r="N207" s="135"/>
      <c r="O207" s="135"/>
      <c r="P207" s="135"/>
      <c r="Q207" s="136"/>
    </row>
    <row r="208" spans="1:20" x14ac:dyDescent="0.15">
      <c r="A208" s="790"/>
      <c r="B208" s="791"/>
      <c r="C208" s="791"/>
      <c r="D208" s="791"/>
      <c r="E208" s="791"/>
      <c r="F208" s="791"/>
      <c r="G208" s="791"/>
      <c r="H208" s="791"/>
      <c r="I208" s="791"/>
      <c r="J208" s="791"/>
      <c r="K208" s="791"/>
      <c r="L208" s="791"/>
      <c r="M208" s="791"/>
      <c r="N208" s="791"/>
      <c r="O208" s="791"/>
      <c r="P208" s="791"/>
      <c r="Q208" s="792"/>
    </row>
    <row r="209" spans="1:17" s="121" customFormat="1" ht="18" customHeight="1" x14ac:dyDescent="0.15">
      <c r="A209" s="218" t="s">
        <v>0</v>
      </c>
      <c r="B209" s="838" t="s">
        <v>1032</v>
      </c>
      <c r="C209" s="839"/>
      <c r="D209" s="839"/>
      <c r="E209" s="839"/>
      <c r="F209" s="839"/>
      <c r="G209" s="839"/>
      <c r="H209" s="839"/>
      <c r="I209" s="839"/>
      <c r="J209" s="839"/>
      <c r="K209" s="839"/>
      <c r="L209" s="839"/>
      <c r="M209" s="839"/>
      <c r="N209" s="839"/>
      <c r="O209" s="216" t="s">
        <v>73</v>
      </c>
      <c r="P209" s="795" t="s">
        <v>5</v>
      </c>
      <c r="Q209" s="796"/>
    </row>
    <row r="210" spans="1:17" x14ac:dyDescent="0.15">
      <c r="A210" s="790"/>
      <c r="B210" s="791"/>
      <c r="C210" s="791"/>
      <c r="D210" s="791"/>
      <c r="E210" s="791"/>
      <c r="F210" s="791"/>
      <c r="G210" s="791"/>
      <c r="H210" s="791"/>
      <c r="I210" s="791"/>
      <c r="J210" s="791"/>
      <c r="K210" s="791"/>
      <c r="L210" s="791"/>
      <c r="M210" s="791"/>
      <c r="N210" s="791"/>
      <c r="O210" s="791"/>
      <c r="P210" s="791"/>
      <c r="Q210" s="792"/>
    </row>
    <row r="211" spans="1:17" s="126" customFormat="1" ht="12.75" customHeight="1" x14ac:dyDescent="0.15">
      <c r="A211" s="822" t="s">
        <v>150</v>
      </c>
      <c r="B211" s="823" t="s">
        <v>151</v>
      </c>
      <c r="C211" s="823"/>
      <c r="D211" s="832" t="s">
        <v>241</v>
      </c>
      <c r="E211" s="823" t="s">
        <v>152</v>
      </c>
      <c r="F211" s="823"/>
      <c r="G211" s="823"/>
      <c r="H211" s="802" t="s">
        <v>153</v>
      </c>
      <c r="I211" s="802" t="s">
        <v>159</v>
      </c>
      <c r="J211" s="804" t="s">
        <v>73</v>
      </c>
      <c r="K211" s="216" t="s">
        <v>154</v>
      </c>
      <c r="L211" s="123"/>
      <c r="M211" s="124"/>
      <c r="N211" s="124"/>
      <c r="O211" s="124"/>
      <c r="P211" s="124"/>
      <c r="Q211" s="125"/>
    </row>
    <row r="212" spans="1:17" s="130" customFormat="1" x14ac:dyDescent="0.15">
      <c r="A212" s="822"/>
      <c r="B212" s="823"/>
      <c r="C212" s="823"/>
      <c r="D212" s="833"/>
      <c r="E212" s="217" t="s">
        <v>155</v>
      </c>
      <c r="F212" s="217" t="s">
        <v>156</v>
      </c>
      <c r="G212" s="217" t="s">
        <v>157</v>
      </c>
      <c r="H212" s="803"/>
      <c r="I212" s="803"/>
      <c r="J212" s="805"/>
      <c r="K212" s="216" t="s">
        <v>158</v>
      </c>
      <c r="L212" s="127"/>
      <c r="M212" s="128"/>
      <c r="N212" s="128"/>
      <c r="O212" s="128"/>
      <c r="P212" s="128"/>
      <c r="Q212" s="129"/>
    </row>
    <row r="213" spans="1:17" customFormat="1" ht="19.5" customHeight="1" x14ac:dyDescent="0.15">
      <c r="A213" s="696" t="s">
        <v>185</v>
      </c>
      <c r="B213" s="856" t="s">
        <v>1437</v>
      </c>
      <c r="C213" s="857"/>
      <c r="D213" s="857"/>
      <c r="E213" s="857"/>
      <c r="F213" s="857"/>
      <c r="G213" s="857"/>
      <c r="H213" s="857"/>
      <c r="I213" s="857"/>
      <c r="J213" s="857"/>
      <c r="K213" s="858"/>
      <c r="L213" s="127"/>
      <c r="M213" s="128"/>
      <c r="N213" s="128"/>
      <c r="O213" s="128"/>
      <c r="P213" s="128"/>
      <c r="Q213" s="129"/>
    </row>
    <row r="214" spans="1:17" ht="21" customHeight="1" x14ac:dyDescent="0.15">
      <c r="A214" s="148"/>
      <c r="B214" s="815" t="s">
        <v>1459</v>
      </c>
      <c r="C214" s="816"/>
      <c r="D214" s="143">
        <v>40</v>
      </c>
      <c r="E214" s="143">
        <v>0</v>
      </c>
      <c r="F214" s="143">
        <v>0</v>
      </c>
      <c r="G214" s="143">
        <v>0</v>
      </c>
      <c r="H214" s="143">
        <v>1</v>
      </c>
      <c r="I214" s="143">
        <f t="shared" ref="I214:I233" si="22">D214</f>
        <v>40</v>
      </c>
      <c r="J214" s="133" t="s">
        <v>5</v>
      </c>
      <c r="K214" s="143">
        <f t="shared" ref="K214:K233" si="23">I214*H214</f>
        <v>40</v>
      </c>
      <c r="L214" s="127"/>
      <c r="M214" s="128"/>
      <c r="N214" s="128"/>
      <c r="O214" s="128"/>
      <c r="P214" s="128"/>
      <c r="Q214" s="129"/>
    </row>
    <row r="215" spans="1:17" ht="21" customHeight="1" x14ac:dyDescent="0.15">
      <c r="A215" s="148"/>
      <c r="B215" s="815" t="s">
        <v>1442</v>
      </c>
      <c r="C215" s="816"/>
      <c r="D215" s="143">
        <v>30</v>
      </c>
      <c r="E215" s="143">
        <v>0</v>
      </c>
      <c r="F215" s="143">
        <v>0</v>
      </c>
      <c r="G215" s="143">
        <v>0</v>
      </c>
      <c r="H215" s="143">
        <v>1</v>
      </c>
      <c r="I215" s="143">
        <f t="shared" si="22"/>
        <v>30</v>
      </c>
      <c r="J215" s="133" t="s">
        <v>5</v>
      </c>
      <c r="K215" s="143">
        <f t="shared" si="23"/>
        <v>30</v>
      </c>
      <c r="L215" s="127"/>
      <c r="M215" s="128"/>
      <c r="N215" s="128"/>
      <c r="O215" s="128"/>
      <c r="P215" s="128"/>
      <c r="Q215" s="129"/>
    </row>
    <row r="216" spans="1:17" ht="21" customHeight="1" x14ac:dyDescent="0.15">
      <c r="A216" s="148"/>
      <c r="B216" s="815" t="s">
        <v>1461</v>
      </c>
      <c r="C216" s="816"/>
      <c r="D216" s="143">
        <v>40</v>
      </c>
      <c r="E216" s="143">
        <v>0</v>
      </c>
      <c r="F216" s="143">
        <v>0</v>
      </c>
      <c r="G216" s="143">
        <v>0</v>
      </c>
      <c r="H216" s="143">
        <v>1</v>
      </c>
      <c r="I216" s="143">
        <f t="shared" si="22"/>
        <v>40</v>
      </c>
      <c r="J216" s="133" t="s">
        <v>5</v>
      </c>
      <c r="K216" s="143">
        <f t="shared" si="23"/>
        <v>40</v>
      </c>
      <c r="L216" s="127"/>
      <c r="M216" s="128"/>
      <c r="N216" s="128"/>
      <c r="O216" s="128"/>
      <c r="P216" s="128"/>
      <c r="Q216" s="129"/>
    </row>
    <row r="217" spans="1:17" ht="21" customHeight="1" x14ac:dyDescent="0.15">
      <c r="A217" s="148"/>
      <c r="B217" s="815" t="s">
        <v>1444</v>
      </c>
      <c r="C217" s="816"/>
      <c r="D217" s="143">
        <v>50</v>
      </c>
      <c r="E217" s="143">
        <v>0</v>
      </c>
      <c r="F217" s="143">
        <v>0</v>
      </c>
      <c r="G217" s="143">
        <v>0</v>
      </c>
      <c r="H217" s="143">
        <v>1</v>
      </c>
      <c r="I217" s="143">
        <f t="shared" si="22"/>
        <v>50</v>
      </c>
      <c r="J217" s="133" t="s">
        <v>5</v>
      </c>
      <c r="K217" s="143">
        <f t="shared" si="23"/>
        <v>50</v>
      </c>
      <c r="L217" s="127"/>
      <c r="M217" s="128"/>
      <c r="N217" s="128"/>
      <c r="O217" s="128"/>
      <c r="P217" s="128"/>
      <c r="Q217" s="129"/>
    </row>
    <row r="218" spans="1:17" ht="21" customHeight="1" x14ac:dyDescent="0.15">
      <c r="A218" s="148"/>
      <c r="B218" s="815" t="s">
        <v>1462</v>
      </c>
      <c r="C218" s="816"/>
      <c r="D218" s="143">
        <v>8</v>
      </c>
      <c r="E218" s="143">
        <v>0</v>
      </c>
      <c r="F218" s="143">
        <v>0</v>
      </c>
      <c r="G218" s="143">
        <v>0</v>
      </c>
      <c r="H218" s="143">
        <v>1</v>
      </c>
      <c r="I218" s="143">
        <f t="shared" si="22"/>
        <v>8</v>
      </c>
      <c r="J218" s="133" t="s">
        <v>5</v>
      </c>
      <c r="K218" s="143">
        <f t="shared" si="23"/>
        <v>8</v>
      </c>
      <c r="L218" s="127"/>
      <c r="M218" s="128"/>
      <c r="N218" s="128"/>
      <c r="O218" s="128"/>
      <c r="P218" s="128"/>
      <c r="Q218" s="129"/>
    </row>
    <row r="219" spans="1:17" ht="21" customHeight="1" x14ac:dyDescent="0.15">
      <c r="A219" s="148"/>
      <c r="B219" s="815" t="s">
        <v>1463</v>
      </c>
      <c r="C219" s="816"/>
      <c r="D219" s="143">
        <v>90</v>
      </c>
      <c r="E219" s="143">
        <v>0</v>
      </c>
      <c r="F219" s="143">
        <v>0</v>
      </c>
      <c r="G219" s="143">
        <v>0</v>
      </c>
      <c r="H219" s="143">
        <v>1</v>
      </c>
      <c r="I219" s="143">
        <f t="shared" si="22"/>
        <v>90</v>
      </c>
      <c r="J219" s="133" t="s">
        <v>5</v>
      </c>
      <c r="K219" s="143">
        <f t="shared" si="23"/>
        <v>90</v>
      </c>
      <c r="L219" s="127"/>
      <c r="M219" s="128"/>
      <c r="N219" s="128"/>
      <c r="O219" s="128"/>
      <c r="P219" s="128"/>
      <c r="Q219" s="129"/>
    </row>
    <row r="220" spans="1:17" ht="21" customHeight="1" x14ac:dyDescent="0.15">
      <c r="A220" s="148"/>
      <c r="B220" s="815" t="s">
        <v>1464</v>
      </c>
      <c r="C220" s="816"/>
      <c r="D220" s="143">
        <v>30</v>
      </c>
      <c r="E220" s="143">
        <v>0</v>
      </c>
      <c r="F220" s="143">
        <v>0</v>
      </c>
      <c r="G220" s="143">
        <v>0</v>
      </c>
      <c r="H220" s="143">
        <v>1</v>
      </c>
      <c r="I220" s="143">
        <f t="shared" si="22"/>
        <v>30</v>
      </c>
      <c r="J220" s="133" t="s">
        <v>5</v>
      </c>
      <c r="K220" s="143">
        <f t="shared" si="23"/>
        <v>30</v>
      </c>
      <c r="L220" s="127"/>
      <c r="M220" s="128"/>
      <c r="N220" s="128"/>
      <c r="O220" s="128"/>
      <c r="P220" s="128"/>
      <c r="Q220" s="129"/>
    </row>
    <row r="221" spans="1:17" ht="21" customHeight="1" x14ac:dyDescent="0.15">
      <c r="A221" s="148"/>
      <c r="B221" s="815" t="s">
        <v>1465</v>
      </c>
      <c r="C221" s="816"/>
      <c r="D221" s="143">
        <v>26</v>
      </c>
      <c r="E221" s="143">
        <v>0</v>
      </c>
      <c r="F221" s="143">
        <v>0</v>
      </c>
      <c r="G221" s="143">
        <v>0</v>
      </c>
      <c r="H221" s="143">
        <v>1</v>
      </c>
      <c r="I221" s="143">
        <f t="shared" si="22"/>
        <v>26</v>
      </c>
      <c r="J221" s="133" t="s">
        <v>5</v>
      </c>
      <c r="K221" s="143">
        <f t="shared" si="23"/>
        <v>26</v>
      </c>
      <c r="L221" s="127"/>
      <c r="M221" s="128"/>
      <c r="N221" s="128"/>
      <c r="O221" s="128"/>
      <c r="P221" s="128"/>
      <c r="Q221" s="129"/>
    </row>
    <row r="222" spans="1:17" ht="21" customHeight="1" x14ac:dyDescent="0.15">
      <c r="A222" s="148"/>
      <c r="B222" s="815" t="s">
        <v>1447</v>
      </c>
      <c r="C222" s="816"/>
      <c r="D222" s="143">
        <v>11</v>
      </c>
      <c r="E222" s="143">
        <v>0</v>
      </c>
      <c r="F222" s="143">
        <v>0</v>
      </c>
      <c r="G222" s="143">
        <v>0</v>
      </c>
      <c r="H222" s="143">
        <v>1</v>
      </c>
      <c r="I222" s="143">
        <f t="shared" si="22"/>
        <v>11</v>
      </c>
      <c r="J222" s="133" t="s">
        <v>5</v>
      </c>
      <c r="K222" s="143">
        <f t="shared" si="23"/>
        <v>11</v>
      </c>
      <c r="L222" s="127"/>
      <c r="M222" s="128"/>
      <c r="N222" s="128"/>
      <c r="O222" s="128"/>
      <c r="P222" s="128"/>
      <c r="Q222" s="129"/>
    </row>
    <row r="223" spans="1:17" ht="21" customHeight="1" x14ac:dyDescent="0.15">
      <c r="A223" s="148"/>
      <c r="B223" s="815" t="s">
        <v>1466</v>
      </c>
      <c r="C223" s="816"/>
      <c r="D223" s="143">
        <v>13</v>
      </c>
      <c r="E223" s="143">
        <v>0</v>
      </c>
      <c r="F223" s="143">
        <v>0</v>
      </c>
      <c r="G223" s="143">
        <v>0</v>
      </c>
      <c r="H223" s="143">
        <v>1</v>
      </c>
      <c r="I223" s="143">
        <f t="shared" si="22"/>
        <v>13</v>
      </c>
      <c r="J223" s="133" t="s">
        <v>5</v>
      </c>
      <c r="K223" s="143">
        <f t="shared" si="23"/>
        <v>13</v>
      </c>
      <c r="L223" s="127"/>
      <c r="M223" s="128"/>
      <c r="N223" s="128"/>
      <c r="O223" s="128"/>
      <c r="P223" s="128"/>
      <c r="Q223" s="129"/>
    </row>
    <row r="224" spans="1:17" ht="21" customHeight="1" x14ac:dyDescent="0.15">
      <c r="A224" s="148"/>
      <c r="B224" s="815" t="s">
        <v>1467</v>
      </c>
      <c r="C224" s="816"/>
      <c r="D224" s="143">
        <v>13</v>
      </c>
      <c r="E224" s="143">
        <v>0</v>
      </c>
      <c r="F224" s="143">
        <v>0</v>
      </c>
      <c r="G224" s="143">
        <v>0</v>
      </c>
      <c r="H224" s="143">
        <v>1</v>
      </c>
      <c r="I224" s="143">
        <f t="shared" si="22"/>
        <v>13</v>
      </c>
      <c r="J224" s="133" t="s">
        <v>5</v>
      </c>
      <c r="K224" s="143">
        <f t="shared" si="23"/>
        <v>13</v>
      </c>
      <c r="L224" s="127"/>
      <c r="M224" s="128"/>
      <c r="N224" s="128"/>
      <c r="O224" s="128"/>
      <c r="P224" s="128"/>
      <c r="Q224" s="129"/>
    </row>
    <row r="225" spans="1:17" ht="21" customHeight="1" x14ac:dyDescent="0.15">
      <c r="A225" s="148"/>
      <c r="B225" s="815" t="s">
        <v>1468</v>
      </c>
      <c r="C225" s="816"/>
      <c r="D225" s="143">
        <v>10</v>
      </c>
      <c r="E225" s="143">
        <v>0</v>
      </c>
      <c r="F225" s="143">
        <v>0</v>
      </c>
      <c r="G225" s="143">
        <v>0</v>
      </c>
      <c r="H225" s="143">
        <v>1</v>
      </c>
      <c r="I225" s="143">
        <f t="shared" si="22"/>
        <v>10</v>
      </c>
      <c r="J225" s="133" t="s">
        <v>5</v>
      </c>
      <c r="K225" s="143">
        <f t="shared" si="23"/>
        <v>10</v>
      </c>
      <c r="L225" s="127"/>
      <c r="M225" s="128"/>
      <c r="N225" s="128"/>
      <c r="O225" s="128"/>
      <c r="P225" s="128"/>
      <c r="Q225" s="129"/>
    </row>
    <row r="226" spans="1:17" ht="21" customHeight="1" x14ac:dyDescent="0.15">
      <c r="A226" s="148"/>
      <c r="B226" s="815" t="s">
        <v>1469</v>
      </c>
      <c r="C226" s="816"/>
      <c r="D226" s="143">
        <v>100</v>
      </c>
      <c r="E226" s="143">
        <v>0</v>
      </c>
      <c r="F226" s="143">
        <v>0</v>
      </c>
      <c r="G226" s="143">
        <v>0</v>
      </c>
      <c r="H226" s="143">
        <v>1</v>
      </c>
      <c r="I226" s="143">
        <f t="shared" si="22"/>
        <v>100</v>
      </c>
      <c r="J226" s="133" t="s">
        <v>5</v>
      </c>
      <c r="K226" s="143">
        <f t="shared" si="23"/>
        <v>100</v>
      </c>
      <c r="L226" s="127"/>
      <c r="M226" s="128"/>
      <c r="N226" s="128"/>
      <c r="O226" s="128"/>
      <c r="P226" s="128"/>
      <c r="Q226" s="129"/>
    </row>
    <row r="227" spans="1:17" ht="21" customHeight="1" x14ac:dyDescent="0.15">
      <c r="A227" s="148"/>
      <c r="B227" s="815" t="s">
        <v>1470</v>
      </c>
      <c r="C227" s="816"/>
      <c r="D227" s="143">
        <v>12</v>
      </c>
      <c r="E227" s="143">
        <v>0</v>
      </c>
      <c r="F227" s="143">
        <v>0</v>
      </c>
      <c r="G227" s="143">
        <v>0</v>
      </c>
      <c r="H227" s="143">
        <v>1</v>
      </c>
      <c r="I227" s="143">
        <f t="shared" si="22"/>
        <v>12</v>
      </c>
      <c r="J227" s="133" t="s">
        <v>5</v>
      </c>
      <c r="K227" s="143">
        <f t="shared" si="23"/>
        <v>12</v>
      </c>
      <c r="L227" s="127"/>
      <c r="M227" s="128"/>
      <c r="N227" s="128"/>
      <c r="O227" s="128"/>
      <c r="P227" s="128"/>
      <c r="Q227" s="129"/>
    </row>
    <row r="228" spans="1:17" ht="21" customHeight="1" x14ac:dyDescent="0.15">
      <c r="A228" s="148"/>
      <c r="B228" s="815" t="s">
        <v>1471</v>
      </c>
      <c r="C228" s="816"/>
      <c r="D228" s="143">
        <v>60</v>
      </c>
      <c r="E228" s="143">
        <v>0</v>
      </c>
      <c r="F228" s="143">
        <v>0</v>
      </c>
      <c r="G228" s="143">
        <v>0</v>
      </c>
      <c r="H228" s="143">
        <v>1</v>
      </c>
      <c r="I228" s="143">
        <f t="shared" si="22"/>
        <v>60</v>
      </c>
      <c r="J228" s="133" t="s">
        <v>5</v>
      </c>
      <c r="K228" s="143">
        <f t="shared" si="23"/>
        <v>60</v>
      </c>
      <c r="L228" s="127"/>
      <c r="M228" s="128"/>
      <c r="N228" s="128"/>
      <c r="O228" s="128"/>
      <c r="P228" s="128"/>
      <c r="Q228" s="129"/>
    </row>
    <row r="229" spans="1:17" ht="21" customHeight="1" x14ac:dyDescent="0.15">
      <c r="A229" s="148"/>
      <c r="B229" s="815" t="s">
        <v>1472</v>
      </c>
      <c r="C229" s="816"/>
      <c r="D229" s="143">
        <v>14.2</v>
      </c>
      <c r="E229" s="143">
        <v>0</v>
      </c>
      <c r="F229" s="143">
        <v>0</v>
      </c>
      <c r="G229" s="143">
        <v>0</v>
      </c>
      <c r="H229" s="143">
        <v>1</v>
      </c>
      <c r="I229" s="143">
        <f t="shared" si="22"/>
        <v>14.2</v>
      </c>
      <c r="J229" s="133" t="s">
        <v>5</v>
      </c>
      <c r="K229" s="143">
        <f t="shared" si="23"/>
        <v>14.2</v>
      </c>
      <c r="L229" s="127"/>
      <c r="M229" s="128"/>
      <c r="N229" s="128"/>
      <c r="O229" s="128"/>
      <c r="P229" s="128"/>
      <c r="Q229" s="129"/>
    </row>
    <row r="230" spans="1:17" ht="21" customHeight="1" x14ac:dyDescent="0.15">
      <c r="A230" s="148"/>
      <c r="B230" s="815" t="s">
        <v>1473</v>
      </c>
      <c r="C230" s="816"/>
      <c r="D230" s="143">
        <v>5.7</v>
      </c>
      <c r="E230" s="143">
        <v>0</v>
      </c>
      <c r="F230" s="143">
        <v>0</v>
      </c>
      <c r="G230" s="143">
        <v>0</v>
      </c>
      <c r="H230" s="143">
        <v>1</v>
      </c>
      <c r="I230" s="143">
        <f t="shared" si="22"/>
        <v>5.7</v>
      </c>
      <c r="J230" s="133" t="s">
        <v>5</v>
      </c>
      <c r="K230" s="143">
        <f t="shared" si="23"/>
        <v>5.7</v>
      </c>
      <c r="L230" s="127"/>
      <c r="M230" s="128"/>
      <c r="N230" s="128"/>
      <c r="O230" s="128"/>
      <c r="P230" s="128"/>
      <c r="Q230" s="129"/>
    </row>
    <row r="231" spans="1:17" ht="21" customHeight="1" x14ac:dyDescent="0.15">
      <c r="A231" s="148"/>
      <c r="B231" s="815" t="s">
        <v>1474</v>
      </c>
      <c r="C231" s="816"/>
      <c r="D231" s="143">
        <v>4</v>
      </c>
      <c r="E231" s="143">
        <v>0</v>
      </c>
      <c r="F231" s="143">
        <v>0</v>
      </c>
      <c r="G231" s="143">
        <v>0</v>
      </c>
      <c r="H231" s="143">
        <v>1</v>
      </c>
      <c r="I231" s="143">
        <f t="shared" si="22"/>
        <v>4</v>
      </c>
      <c r="J231" s="133" t="s">
        <v>5</v>
      </c>
      <c r="K231" s="143">
        <f t="shared" si="23"/>
        <v>4</v>
      </c>
      <c r="L231" s="127"/>
      <c r="M231" s="128"/>
      <c r="N231" s="128"/>
      <c r="O231" s="128"/>
      <c r="P231" s="128"/>
      <c r="Q231" s="129"/>
    </row>
    <row r="232" spans="1:17" ht="21" customHeight="1" x14ac:dyDescent="0.15">
      <c r="A232" s="148"/>
      <c r="B232" s="815" t="s">
        <v>1475</v>
      </c>
      <c r="C232" s="816"/>
      <c r="D232" s="143">
        <v>3</v>
      </c>
      <c r="E232" s="143">
        <v>0</v>
      </c>
      <c r="F232" s="143">
        <v>0</v>
      </c>
      <c r="G232" s="143">
        <v>0</v>
      </c>
      <c r="H232" s="143">
        <v>1</v>
      </c>
      <c r="I232" s="143">
        <f t="shared" si="22"/>
        <v>3</v>
      </c>
      <c r="J232" s="133" t="s">
        <v>5</v>
      </c>
      <c r="K232" s="143">
        <f t="shared" si="23"/>
        <v>3</v>
      </c>
      <c r="L232" s="127"/>
      <c r="M232" s="128"/>
      <c r="N232" s="128"/>
      <c r="O232" s="128"/>
      <c r="P232" s="128"/>
      <c r="Q232" s="129"/>
    </row>
    <row r="233" spans="1:17" ht="21" customHeight="1" x14ac:dyDescent="0.15">
      <c r="A233" s="148"/>
      <c r="B233" s="815" t="s">
        <v>1476</v>
      </c>
      <c r="C233" s="816"/>
      <c r="D233" s="143">
        <v>36.700000000000003</v>
      </c>
      <c r="E233" s="143">
        <v>0</v>
      </c>
      <c r="F233" s="143">
        <v>0</v>
      </c>
      <c r="G233" s="143">
        <v>0</v>
      </c>
      <c r="H233" s="143">
        <v>1</v>
      </c>
      <c r="I233" s="143">
        <f t="shared" si="22"/>
        <v>36.700000000000003</v>
      </c>
      <c r="J233" s="133" t="s">
        <v>5</v>
      </c>
      <c r="K233" s="143">
        <f t="shared" si="23"/>
        <v>36.700000000000003</v>
      </c>
      <c r="L233" s="127"/>
      <c r="M233" s="128"/>
      <c r="N233" s="128"/>
      <c r="O233" s="128"/>
      <c r="P233" s="128"/>
      <c r="Q233" s="129"/>
    </row>
    <row r="234" spans="1:17" customFormat="1" ht="19.5" customHeight="1" x14ac:dyDescent="0.15">
      <c r="A234" s="696" t="s">
        <v>247</v>
      </c>
      <c r="B234" s="856" t="s">
        <v>1452</v>
      </c>
      <c r="C234" s="857"/>
      <c r="D234" s="857"/>
      <c r="E234" s="857"/>
      <c r="F234" s="857"/>
      <c r="G234" s="857"/>
      <c r="H234" s="857"/>
      <c r="I234" s="857"/>
      <c r="J234" s="857"/>
      <c r="K234" s="858"/>
      <c r="L234" s="127"/>
      <c r="M234" s="128"/>
      <c r="N234" s="128"/>
      <c r="O234" s="128"/>
      <c r="P234" s="128"/>
      <c r="Q234" s="129"/>
    </row>
    <row r="235" spans="1:17" ht="29.25" customHeight="1" x14ac:dyDescent="0.15">
      <c r="A235" s="148"/>
      <c r="B235" s="815" t="s">
        <v>1458</v>
      </c>
      <c r="C235" s="816"/>
      <c r="D235" s="143">
        <v>79.44</v>
      </c>
      <c r="E235" s="143">
        <v>0</v>
      </c>
      <c r="F235" s="143">
        <v>0</v>
      </c>
      <c r="G235" s="143">
        <v>0</v>
      </c>
      <c r="H235" s="143">
        <v>2</v>
      </c>
      <c r="I235" s="143">
        <f>D235</f>
        <v>79.44</v>
      </c>
      <c r="J235" s="133" t="s">
        <v>5</v>
      </c>
      <c r="K235" s="143">
        <f>I235*H235</f>
        <v>158.88</v>
      </c>
      <c r="L235" s="127"/>
      <c r="M235" s="128"/>
      <c r="N235" s="128"/>
      <c r="O235" s="128"/>
      <c r="P235" s="128"/>
      <c r="Q235" s="129"/>
    </row>
    <row r="236" spans="1:17" customFormat="1" ht="19.5" customHeight="1" x14ac:dyDescent="0.15">
      <c r="A236" s="696" t="s">
        <v>1440</v>
      </c>
      <c r="B236" s="856" t="s">
        <v>1439</v>
      </c>
      <c r="C236" s="857"/>
      <c r="D236" s="857"/>
      <c r="E236" s="857"/>
      <c r="F236" s="857"/>
      <c r="G236" s="857"/>
      <c r="H236" s="857"/>
      <c r="I236" s="857"/>
      <c r="J236" s="857"/>
      <c r="K236" s="858"/>
      <c r="L236" s="127"/>
      <c r="M236" s="128"/>
      <c r="N236" s="128"/>
      <c r="O236" s="128"/>
      <c r="P236" s="128"/>
      <c r="Q236" s="129"/>
    </row>
    <row r="237" spans="1:17" ht="29.25" customHeight="1" x14ac:dyDescent="0.15">
      <c r="A237" s="148"/>
      <c r="B237" s="815" t="s">
        <v>1458</v>
      </c>
      <c r="C237" s="816"/>
      <c r="D237" s="143">
        <v>20</v>
      </c>
      <c r="E237" s="143">
        <v>0</v>
      </c>
      <c r="F237" s="143">
        <v>0</v>
      </c>
      <c r="G237" s="143">
        <v>0</v>
      </c>
      <c r="H237" s="143">
        <v>2</v>
      </c>
      <c r="I237" s="143">
        <f>D237</f>
        <v>20</v>
      </c>
      <c r="J237" s="133" t="s">
        <v>5</v>
      </c>
      <c r="K237" s="143">
        <f>I237*H237</f>
        <v>40</v>
      </c>
      <c r="L237" s="127"/>
      <c r="M237" s="128"/>
      <c r="N237" s="128"/>
      <c r="O237" s="128"/>
      <c r="P237" s="128"/>
      <c r="Q237" s="129"/>
    </row>
    <row r="238" spans="1:17" ht="14" x14ac:dyDescent="0.15">
      <c r="A238" s="795" t="s">
        <v>149</v>
      </c>
      <c r="B238" s="817"/>
      <c r="C238" s="817"/>
      <c r="D238" s="817"/>
      <c r="E238" s="817"/>
      <c r="F238" s="817"/>
      <c r="G238" s="817"/>
      <c r="H238" s="817"/>
      <c r="I238" s="817"/>
      <c r="J238" s="796"/>
      <c r="K238" s="416">
        <f>SUM(K214:K237)</f>
        <v>795.48000000000013</v>
      </c>
      <c r="L238" s="134"/>
      <c r="M238" s="135"/>
      <c r="N238" s="135"/>
      <c r="O238" s="135"/>
      <c r="P238" s="135"/>
      <c r="Q238" s="136"/>
    </row>
    <row r="239" spans="1:17" x14ac:dyDescent="0.15">
      <c r="A239" s="790"/>
      <c r="B239" s="791"/>
      <c r="C239" s="791"/>
      <c r="D239" s="791"/>
      <c r="E239" s="791"/>
      <c r="F239" s="791"/>
      <c r="G239" s="791"/>
      <c r="H239" s="791"/>
      <c r="I239" s="791"/>
      <c r="J239" s="791"/>
      <c r="K239" s="791"/>
      <c r="L239" s="791"/>
      <c r="M239" s="791"/>
      <c r="N239" s="791"/>
      <c r="O239" s="791"/>
      <c r="P239" s="791"/>
      <c r="Q239" s="792"/>
    </row>
    <row r="240" spans="1:17" s="121" customFormat="1" ht="18" customHeight="1" x14ac:dyDescent="0.15">
      <c r="A240" s="218" t="s">
        <v>0</v>
      </c>
      <c r="B240" s="838" t="s">
        <v>1030</v>
      </c>
      <c r="C240" s="839"/>
      <c r="D240" s="839"/>
      <c r="E240" s="839"/>
      <c r="F240" s="839"/>
      <c r="G240" s="839"/>
      <c r="H240" s="839"/>
      <c r="I240" s="839"/>
      <c r="J240" s="839"/>
      <c r="K240" s="839"/>
      <c r="L240" s="839"/>
      <c r="M240" s="839"/>
      <c r="N240" s="839"/>
      <c r="O240" s="216" t="s">
        <v>73</v>
      </c>
      <c r="P240" s="795" t="s">
        <v>193</v>
      </c>
      <c r="Q240" s="796"/>
    </row>
    <row r="241" spans="1:17" x14ac:dyDescent="0.15">
      <c r="A241" s="790"/>
      <c r="B241" s="791"/>
      <c r="C241" s="791"/>
      <c r="D241" s="791"/>
      <c r="E241" s="791"/>
      <c r="F241" s="791"/>
      <c r="G241" s="791"/>
      <c r="H241" s="791"/>
      <c r="I241" s="791"/>
      <c r="J241" s="791"/>
      <c r="K241" s="791"/>
      <c r="L241" s="791"/>
      <c r="M241" s="791"/>
      <c r="N241" s="791"/>
      <c r="O241" s="791"/>
      <c r="P241" s="791"/>
      <c r="Q241" s="792"/>
    </row>
    <row r="242" spans="1:17" s="126" customFormat="1" x14ac:dyDescent="0.15">
      <c r="A242" s="822" t="s">
        <v>150</v>
      </c>
      <c r="B242" s="823" t="s">
        <v>151</v>
      </c>
      <c r="C242" s="823"/>
      <c r="D242" s="832" t="s">
        <v>246</v>
      </c>
      <c r="E242" s="823" t="s">
        <v>152</v>
      </c>
      <c r="F242" s="823"/>
      <c r="G242" s="823"/>
      <c r="H242" s="802" t="s">
        <v>153</v>
      </c>
      <c r="I242" s="802" t="s">
        <v>242</v>
      </c>
      <c r="J242" s="804" t="s">
        <v>73</v>
      </c>
      <c r="K242" s="216" t="s">
        <v>154</v>
      </c>
      <c r="L242" s="123"/>
      <c r="M242" s="124"/>
      <c r="N242" s="124"/>
      <c r="O242" s="124"/>
      <c r="P242" s="124"/>
      <c r="Q242" s="125"/>
    </row>
    <row r="243" spans="1:17" s="130" customFormat="1" x14ac:dyDescent="0.15">
      <c r="A243" s="822"/>
      <c r="B243" s="823"/>
      <c r="C243" s="823"/>
      <c r="D243" s="833"/>
      <c r="E243" s="217" t="s">
        <v>155</v>
      </c>
      <c r="F243" s="217" t="s">
        <v>156</v>
      </c>
      <c r="G243" s="217" t="s">
        <v>157</v>
      </c>
      <c r="H243" s="803"/>
      <c r="I243" s="803"/>
      <c r="J243" s="805"/>
      <c r="K243" s="216" t="s">
        <v>158</v>
      </c>
      <c r="L243" s="127"/>
      <c r="M243" s="128"/>
      <c r="N243" s="128"/>
      <c r="O243" s="128"/>
      <c r="P243" s="128"/>
      <c r="Q243" s="129"/>
    </row>
    <row r="244" spans="1:17" customFormat="1" ht="19.5" customHeight="1" x14ac:dyDescent="0.15">
      <c r="A244" s="696" t="s">
        <v>185</v>
      </c>
      <c r="B244" s="856" t="s">
        <v>1437</v>
      </c>
      <c r="C244" s="857"/>
      <c r="D244" s="857"/>
      <c r="E244" s="857"/>
      <c r="F244" s="857"/>
      <c r="G244" s="857"/>
      <c r="H244" s="857"/>
      <c r="I244" s="857"/>
      <c r="J244" s="857"/>
      <c r="K244" s="858"/>
      <c r="L244" s="127"/>
      <c r="M244" s="128"/>
      <c r="N244" s="128"/>
      <c r="O244" s="128"/>
      <c r="P244" s="128"/>
      <c r="Q244" s="129"/>
    </row>
    <row r="245" spans="1:17" ht="27" customHeight="1" x14ac:dyDescent="0.15">
      <c r="A245" s="148"/>
      <c r="B245" s="788" t="s">
        <v>1263</v>
      </c>
      <c r="C245" s="789"/>
      <c r="D245" s="149"/>
      <c r="E245" s="143">
        <v>778.5</v>
      </c>
      <c r="F245" s="672">
        <v>0</v>
      </c>
      <c r="G245" s="143">
        <v>0.2</v>
      </c>
      <c r="H245" s="143">
        <v>1</v>
      </c>
      <c r="I245" s="143">
        <f t="shared" ref="I245" si="24">E245</f>
        <v>778.5</v>
      </c>
      <c r="J245" s="133" t="s">
        <v>7</v>
      </c>
      <c r="K245" s="143">
        <f>I245*H245</f>
        <v>778.5</v>
      </c>
      <c r="L245" s="127"/>
      <c r="M245" s="128"/>
      <c r="N245" s="128"/>
      <c r="O245" s="128"/>
      <c r="P245" s="128"/>
      <c r="Q245" s="129"/>
    </row>
    <row r="246" spans="1:17" ht="14" x14ac:dyDescent="0.15">
      <c r="A246" s="795" t="s">
        <v>149</v>
      </c>
      <c r="B246" s="817"/>
      <c r="C246" s="817"/>
      <c r="D246" s="817"/>
      <c r="E246" s="817"/>
      <c r="F246" s="817"/>
      <c r="G246" s="817"/>
      <c r="H246" s="817"/>
      <c r="I246" s="817"/>
      <c r="J246" s="796"/>
      <c r="K246" s="416">
        <f>SUM(K245:K245)</f>
        <v>778.5</v>
      </c>
      <c r="L246" s="134"/>
      <c r="M246" s="135"/>
      <c r="N246" s="135"/>
      <c r="O246" s="135"/>
      <c r="P246" s="135"/>
      <c r="Q246" s="136"/>
    </row>
    <row r="247" spans="1:17" x14ac:dyDescent="0.15">
      <c r="A247" s="790"/>
      <c r="B247" s="791"/>
      <c r="C247" s="791"/>
      <c r="D247" s="791"/>
      <c r="E247" s="791"/>
      <c r="F247" s="791"/>
      <c r="G247" s="791"/>
      <c r="H247" s="791"/>
      <c r="I247" s="791"/>
      <c r="J247" s="791"/>
      <c r="K247" s="791"/>
      <c r="L247" s="791"/>
      <c r="M247" s="791"/>
      <c r="N247" s="791"/>
      <c r="O247" s="791"/>
      <c r="P247" s="791"/>
      <c r="Q247" s="792"/>
    </row>
    <row r="248" spans="1:17" s="121" customFormat="1" ht="18" customHeight="1" x14ac:dyDescent="0.15">
      <c r="A248" s="218" t="s">
        <v>0</v>
      </c>
      <c r="B248" s="838" t="s">
        <v>1031</v>
      </c>
      <c r="C248" s="839"/>
      <c r="D248" s="839"/>
      <c r="E248" s="839"/>
      <c r="F248" s="839"/>
      <c r="G248" s="839"/>
      <c r="H248" s="839"/>
      <c r="I248" s="839"/>
      <c r="J248" s="839"/>
      <c r="K248" s="839"/>
      <c r="L248" s="839"/>
      <c r="M248" s="839"/>
      <c r="N248" s="839"/>
      <c r="O248" s="216" t="s">
        <v>73</v>
      </c>
      <c r="P248" s="795" t="s">
        <v>5</v>
      </c>
      <c r="Q248" s="796"/>
    </row>
    <row r="249" spans="1:17" x14ac:dyDescent="0.15">
      <c r="A249" s="790"/>
      <c r="B249" s="791"/>
      <c r="C249" s="791"/>
      <c r="D249" s="791"/>
      <c r="E249" s="791"/>
      <c r="F249" s="791"/>
      <c r="G249" s="791"/>
      <c r="H249" s="791"/>
      <c r="I249" s="791"/>
      <c r="J249" s="791"/>
      <c r="K249" s="791"/>
      <c r="L249" s="791"/>
      <c r="M249" s="791"/>
      <c r="N249" s="791"/>
      <c r="O249" s="791"/>
      <c r="P249" s="791"/>
      <c r="Q249" s="792"/>
    </row>
    <row r="250" spans="1:17" s="126" customFormat="1" ht="12.75" customHeight="1" x14ac:dyDescent="0.15">
      <c r="A250" s="822" t="s">
        <v>150</v>
      </c>
      <c r="B250" s="823" t="s">
        <v>151</v>
      </c>
      <c r="C250" s="823"/>
      <c r="D250" s="832" t="s">
        <v>241</v>
      </c>
      <c r="E250" s="823" t="s">
        <v>152</v>
      </c>
      <c r="F250" s="823"/>
      <c r="G250" s="823"/>
      <c r="H250" s="802" t="s">
        <v>153</v>
      </c>
      <c r="I250" s="802" t="s">
        <v>159</v>
      </c>
      <c r="J250" s="804" t="s">
        <v>73</v>
      </c>
      <c r="K250" s="216" t="s">
        <v>154</v>
      </c>
      <c r="L250" s="123"/>
      <c r="M250" s="124"/>
      <c r="N250" s="124"/>
      <c r="O250" s="124"/>
      <c r="P250" s="124"/>
      <c r="Q250" s="125"/>
    </row>
    <row r="251" spans="1:17" s="130" customFormat="1" x14ac:dyDescent="0.15">
      <c r="A251" s="822"/>
      <c r="B251" s="823"/>
      <c r="C251" s="823"/>
      <c r="D251" s="833"/>
      <c r="E251" s="217" t="s">
        <v>155</v>
      </c>
      <c r="F251" s="217" t="s">
        <v>156</v>
      </c>
      <c r="G251" s="217" t="s">
        <v>157</v>
      </c>
      <c r="H251" s="803"/>
      <c r="I251" s="803"/>
      <c r="J251" s="805"/>
      <c r="K251" s="216" t="s">
        <v>158</v>
      </c>
      <c r="L251" s="127"/>
      <c r="M251" s="128"/>
      <c r="N251" s="128"/>
      <c r="O251" s="128"/>
      <c r="P251" s="128"/>
      <c r="Q251" s="129"/>
    </row>
    <row r="252" spans="1:17" customFormat="1" ht="19.5" customHeight="1" x14ac:dyDescent="0.15">
      <c r="A252" s="696" t="s">
        <v>185</v>
      </c>
      <c r="B252" s="856" t="s">
        <v>1437</v>
      </c>
      <c r="C252" s="857"/>
      <c r="D252" s="857"/>
      <c r="E252" s="857"/>
      <c r="F252" s="857"/>
      <c r="G252" s="857"/>
      <c r="H252" s="857"/>
      <c r="I252" s="857"/>
      <c r="J252" s="857"/>
      <c r="K252" s="858"/>
      <c r="L252" s="127"/>
      <c r="M252" s="128"/>
      <c r="N252" s="128"/>
      <c r="O252" s="128"/>
      <c r="P252" s="128"/>
      <c r="Q252" s="129"/>
    </row>
    <row r="253" spans="1:17" ht="18.75" customHeight="1" x14ac:dyDescent="0.15">
      <c r="A253" s="148"/>
      <c r="B253" s="788" t="s">
        <v>1461</v>
      </c>
      <c r="C253" s="789"/>
      <c r="D253" s="143">
        <v>2</v>
      </c>
      <c r="E253" s="143">
        <v>0</v>
      </c>
      <c r="F253" s="143">
        <v>0</v>
      </c>
      <c r="G253" s="143">
        <v>0</v>
      </c>
      <c r="H253" s="143">
        <v>1</v>
      </c>
      <c r="I253" s="143">
        <f>D253</f>
        <v>2</v>
      </c>
      <c r="J253" s="133" t="s">
        <v>5</v>
      </c>
      <c r="K253" s="143">
        <f>I253*H253</f>
        <v>2</v>
      </c>
      <c r="L253" s="127"/>
      <c r="M253" s="128"/>
      <c r="N253" s="128"/>
      <c r="O253" s="128"/>
      <c r="P253" s="128"/>
      <c r="Q253" s="129"/>
    </row>
    <row r="254" spans="1:17" ht="18.75" customHeight="1" x14ac:dyDescent="0.15">
      <c r="A254" s="148"/>
      <c r="B254" s="788" t="s">
        <v>1445</v>
      </c>
      <c r="C254" s="789"/>
      <c r="D254" s="143">
        <v>2</v>
      </c>
      <c r="E254" s="143">
        <v>0</v>
      </c>
      <c r="F254" s="143">
        <v>0</v>
      </c>
      <c r="G254" s="143">
        <v>0</v>
      </c>
      <c r="H254" s="143">
        <v>1</v>
      </c>
      <c r="I254" s="143">
        <f>D254</f>
        <v>2</v>
      </c>
      <c r="J254" s="133" t="s">
        <v>5</v>
      </c>
      <c r="K254" s="143">
        <f>I254*H254</f>
        <v>2</v>
      </c>
      <c r="L254" s="127"/>
      <c r="M254" s="128"/>
      <c r="N254" s="128"/>
      <c r="O254" s="128"/>
      <c r="P254" s="128"/>
      <c r="Q254" s="129"/>
    </row>
    <row r="255" spans="1:17" ht="18.75" customHeight="1" x14ac:dyDescent="0.15">
      <c r="A255" s="148"/>
      <c r="B255" s="788" t="s">
        <v>1463</v>
      </c>
      <c r="C255" s="789"/>
      <c r="D255" s="143">
        <v>12</v>
      </c>
      <c r="E255" s="143">
        <v>0</v>
      </c>
      <c r="F255" s="143">
        <v>0</v>
      </c>
      <c r="G255" s="143">
        <v>0</v>
      </c>
      <c r="H255" s="143">
        <v>1</v>
      </c>
      <c r="I255" s="143">
        <f>D255</f>
        <v>12</v>
      </c>
      <c r="J255" s="133" t="s">
        <v>5</v>
      </c>
      <c r="K255" s="143">
        <f>I255*H255</f>
        <v>12</v>
      </c>
      <c r="L255" s="127"/>
      <c r="M255" s="128"/>
      <c r="N255" s="128"/>
      <c r="O255" s="128"/>
      <c r="P255" s="128"/>
      <c r="Q255" s="129"/>
    </row>
    <row r="256" spans="1:17" ht="18.75" customHeight="1" x14ac:dyDescent="0.15">
      <c r="A256" s="148"/>
      <c r="B256" s="788" t="s">
        <v>1459</v>
      </c>
      <c r="C256" s="789"/>
      <c r="D256" s="143">
        <v>2</v>
      </c>
      <c r="E256" s="143">
        <v>0</v>
      </c>
      <c r="F256" s="143">
        <v>0</v>
      </c>
      <c r="G256" s="143">
        <v>0</v>
      </c>
      <c r="H256" s="143">
        <v>1</v>
      </c>
      <c r="I256" s="143">
        <f>D256</f>
        <v>2</v>
      </c>
      <c r="J256" s="133" t="s">
        <v>5</v>
      </c>
      <c r="K256" s="143">
        <f>I256*H256</f>
        <v>2</v>
      </c>
      <c r="L256" s="127"/>
      <c r="M256" s="128"/>
      <c r="N256" s="128"/>
      <c r="O256" s="128"/>
      <c r="P256" s="128"/>
      <c r="Q256" s="129"/>
    </row>
    <row r="257" spans="1:17" ht="18.75" customHeight="1" x14ac:dyDescent="0.15">
      <c r="A257" s="148"/>
      <c r="B257" s="788" t="s">
        <v>1468</v>
      </c>
      <c r="C257" s="789"/>
      <c r="D257" s="143">
        <v>6</v>
      </c>
      <c r="E257" s="143">
        <v>0</v>
      </c>
      <c r="F257" s="143">
        <v>0</v>
      </c>
      <c r="G257" s="143">
        <v>0</v>
      </c>
      <c r="H257" s="143">
        <v>1</v>
      </c>
      <c r="I257" s="143">
        <f>D257</f>
        <v>6</v>
      </c>
      <c r="J257" s="133" t="s">
        <v>5</v>
      </c>
      <c r="K257" s="143">
        <f>I257*H257</f>
        <v>6</v>
      </c>
      <c r="L257" s="127"/>
      <c r="M257" s="128"/>
      <c r="N257" s="128"/>
      <c r="O257" s="128"/>
      <c r="P257" s="128"/>
      <c r="Q257" s="129"/>
    </row>
    <row r="258" spans="1:17" customFormat="1" ht="19.5" customHeight="1" x14ac:dyDescent="0.15">
      <c r="A258" s="696" t="s">
        <v>247</v>
      </c>
      <c r="B258" s="856" t="s">
        <v>1452</v>
      </c>
      <c r="C258" s="857"/>
      <c r="D258" s="857"/>
      <c r="E258" s="857"/>
      <c r="F258" s="857"/>
      <c r="G258" s="857"/>
      <c r="H258" s="857"/>
      <c r="I258" s="857"/>
      <c r="J258" s="857"/>
      <c r="K258" s="858"/>
      <c r="L258" s="127"/>
      <c r="M258" s="128"/>
      <c r="N258" s="128"/>
      <c r="O258" s="128"/>
      <c r="P258" s="128"/>
      <c r="Q258" s="129"/>
    </row>
    <row r="259" spans="1:17" ht="18.75" customHeight="1" x14ac:dyDescent="0.15">
      <c r="A259" s="148"/>
      <c r="B259" s="788" t="s">
        <v>1477</v>
      </c>
      <c r="C259" s="789"/>
      <c r="D259" s="143">
        <v>48.51</v>
      </c>
      <c r="E259" s="143">
        <v>0</v>
      </c>
      <c r="F259" s="143">
        <v>0</v>
      </c>
      <c r="G259" s="143">
        <v>0</v>
      </c>
      <c r="H259" s="143">
        <v>1</v>
      </c>
      <c r="I259" s="143">
        <f>D259</f>
        <v>48.51</v>
      </c>
      <c r="J259" s="133" t="s">
        <v>5</v>
      </c>
      <c r="K259" s="143">
        <f>I259*H259</f>
        <v>48.51</v>
      </c>
      <c r="L259" s="127"/>
      <c r="M259" s="128"/>
      <c r="N259" s="128"/>
      <c r="O259" s="128"/>
      <c r="P259" s="128"/>
      <c r="Q259" s="129"/>
    </row>
    <row r="260" spans="1:17" ht="14" x14ac:dyDescent="0.15">
      <c r="A260" s="795" t="s">
        <v>149</v>
      </c>
      <c r="B260" s="817"/>
      <c r="C260" s="817"/>
      <c r="D260" s="817"/>
      <c r="E260" s="817"/>
      <c r="F260" s="817"/>
      <c r="G260" s="817"/>
      <c r="H260" s="817"/>
      <c r="I260" s="817"/>
      <c r="J260" s="796"/>
      <c r="K260" s="416">
        <f>SUM(K253:K259)</f>
        <v>72.509999999999991</v>
      </c>
      <c r="L260" s="134"/>
      <c r="M260" s="135"/>
      <c r="N260" s="135"/>
      <c r="O260" s="135"/>
      <c r="P260" s="135"/>
      <c r="Q260" s="136"/>
    </row>
    <row r="261" spans="1:17" x14ac:dyDescent="0.15">
      <c r="A261" s="790"/>
      <c r="B261" s="791"/>
      <c r="C261" s="791"/>
      <c r="D261" s="791"/>
      <c r="E261" s="791"/>
      <c r="F261" s="791"/>
      <c r="G261" s="791"/>
      <c r="H261" s="791"/>
      <c r="I261" s="791"/>
      <c r="J261" s="791"/>
      <c r="K261" s="791"/>
      <c r="L261" s="791"/>
      <c r="M261" s="791"/>
      <c r="N261" s="791"/>
      <c r="O261" s="791"/>
      <c r="P261" s="791"/>
      <c r="Q261" s="792"/>
    </row>
    <row r="262" spans="1:17" s="121" customFormat="1" ht="18" customHeight="1" x14ac:dyDescent="0.15">
      <c r="A262" s="218" t="s">
        <v>0</v>
      </c>
      <c r="B262" s="838" t="s">
        <v>1033</v>
      </c>
      <c r="C262" s="839"/>
      <c r="D262" s="839"/>
      <c r="E262" s="839"/>
      <c r="F262" s="839"/>
      <c r="G262" s="839"/>
      <c r="H262" s="839"/>
      <c r="I262" s="839"/>
      <c r="J262" s="839"/>
      <c r="K262" s="839"/>
      <c r="L262" s="839"/>
      <c r="M262" s="839"/>
      <c r="N262" s="839"/>
      <c r="O262" s="216" t="s">
        <v>73</v>
      </c>
      <c r="P262" s="795" t="s">
        <v>5</v>
      </c>
      <c r="Q262" s="796"/>
    </row>
    <row r="263" spans="1:17" x14ac:dyDescent="0.15">
      <c r="A263" s="790"/>
      <c r="B263" s="791"/>
      <c r="C263" s="791"/>
      <c r="D263" s="791"/>
      <c r="E263" s="791"/>
      <c r="F263" s="791"/>
      <c r="G263" s="791"/>
      <c r="H263" s="791"/>
      <c r="I263" s="791"/>
      <c r="J263" s="791"/>
      <c r="K263" s="791"/>
      <c r="L263" s="791"/>
      <c r="M263" s="791"/>
      <c r="N263" s="791"/>
      <c r="O263" s="791"/>
      <c r="P263" s="791"/>
      <c r="Q263" s="792"/>
    </row>
    <row r="264" spans="1:17" s="126" customFormat="1" x14ac:dyDescent="0.15">
      <c r="A264" s="822" t="s">
        <v>150</v>
      </c>
      <c r="B264" s="823" t="s">
        <v>151</v>
      </c>
      <c r="C264" s="823"/>
      <c r="D264" s="832" t="s">
        <v>264</v>
      </c>
      <c r="E264" s="823" t="s">
        <v>152</v>
      </c>
      <c r="F264" s="823"/>
      <c r="G264" s="823"/>
      <c r="H264" s="802" t="s">
        <v>153</v>
      </c>
      <c r="I264" s="802" t="s">
        <v>159</v>
      </c>
      <c r="J264" s="804" t="s">
        <v>73</v>
      </c>
      <c r="K264" s="216" t="s">
        <v>154</v>
      </c>
      <c r="L264" s="123"/>
      <c r="M264" s="124"/>
      <c r="N264" s="124"/>
      <c r="O264" s="124"/>
      <c r="P264" s="124"/>
      <c r="Q264" s="125"/>
    </row>
    <row r="265" spans="1:17" s="130" customFormat="1" x14ac:dyDescent="0.15">
      <c r="A265" s="822"/>
      <c r="B265" s="823"/>
      <c r="C265" s="823"/>
      <c r="D265" s="833"/>
      <c r="E265" s="217" t="s">
        <v>155</v>
      </c>
      <c r="F265" s="217" t="s">
        <v>156</v>
      </c>
      <c r="G265" s="217" t="s">
        <v>157</v>
      </c>
      <c r="H265" s="803"/>
      <c r="I265" s="803"/>
      <c r="J265" s="805"/>
      <c r="K265" s="216" t="s">
        <v>158</v>
      </c>
      <c r="L265" s="127"/>
      <c r="M265" s="128"/>
      <c r="N265" s="128"/>
      <c r="O265" s="128"/>
      <c r="P265" s="128"/>
      <c r="Q265" s="129"/>
    </row>
    <row r="266" spans="1:17" customFormat="1" ht="19.5" customHeight="1" x14ac:dyDescent="0.15">
      <c r="A266" s="696" t="s">
        <v>185</v>
      </c>
      <c r="B266" s="856" t="s">
        <v>1437</v>
      </c>
      <c r="C266" s="857"/>
      <c r="D266" s="857"/>
      <c r="E266" s="857"/>
      <c r="F266" s="857"/>
      <c r="G266" s="857"/>
      <c r="H266" s="857"/>
      <c r="I266" s="857"/>
      <c r="J266" s="857"/>
      <c r="K266" s="858"/>
      <c r="L266" s="127"/>
      <c r="M266" s="128"/>
      <c r="N266" s="128"/>
      <c r="O266" s="128"/>
      <c r="P266" s="128"/>
      <c r="Q266" s="129"/>
    </row>
    <row r="267" spans="1:17" ht="18.75" customHeight="1" x14ac:dyDescent="0.15">
      <c r="A267" s="148"/>
      <c r="B267" s="788" t="s">
        <v>1478</v>
      </c>
      <c r="C267" s="789"/>
      <c r="D267" s="143">
        <v>10</v>
      </c>
      <c r="E267" s="143">
        <v>0</v>
      </c>
      <c r="F267" s="143">
        <v>0</v>
      </c>
      <c r="G267" s="143">
        <v>0</v>
      </c>
      <c r="H267" s="143">
        <v>1</v>
      </c>
      <c r="I267" s="143">
        <f t="shared" ref="I267:I279" si="25">D267</f>
        <v>10</v>
      </c>
      <c r="J267" s="133" t="s">
        <v>5</v>
      </c>
      <c r="K267" s="143">
        <f t="shared" ref="K267:K279" si="26">I267*H267</f>
        <v>10</v>
      </c>
      <c r="L267" s="127"/>
      <c r="M267" s="128"/>
      <c r="N267" s="128"/>
      <c r="O267" s="128"/>
      <c r="P267" s="128"/>
      <c r="Q267" s="129"/>
    </row>
    <row r="268" spans="1:17" ht="18.75" customHeight="1" x14ac:dyDescent="0.15">
      <c r="A268" s="148"/>
      <c r="B268" s="788" t="s">
        <v>1479</v>
      </c>
      <c r="C268" s="789"/>
      <c r="D268" s="143">
        <v>10</v>
      </c>
      <c r="E268" s="143">
        <v>0</v>
      </c>
      <c r="F268" s="143">
        <v>0</v>
      </c>
      <c r="G268" s="143">
        <v>0</v>
      </c>
      <c r="H268" s="143">
        <v>1</v>
      </c>
      <c r="I268" s="143">
        <f t="shared" si="25"/>
        <v>10</v>
      </c>
      <c r="J268" s="133" t="s">
        <v>5</v>
      </c>
      <c r="K268" s="143">
        <f t="shared" si="26"/>
        <v>10</v>
      </c>
      <c r="L268" s="127"/>
      <c r="M268" s="128"/>
      <c r="N268" s="128"/>
      <c r="O268" s="128"/>
      <c r="P268" s="128"/>
      <c r="Q268" s="129"/>
    </row>
    <row r="269" spans="1:17" ht="18.75" customHeight="1" x14ac:dyDescent="0.15">
      <c r="A269" s="148"/>
      <c r="B269" s="788" t="s">
        <v>1480</v>
      </c>
      <c r="C269" s="789"/>
      <c r="D269" s="143">
        <v>15</v>
      </c>
      <c r="E269" s="143">
        <v>0</v>
      </c>
      <c r="F269" s="143">
        <v>0</v>
      </c>
      <c r="G269" s="143">
        <v>0</v>
      </c>
      <c r="H269" s="143">
        <v>1</v>
      </c>
      <c r="I269" s="143">
        <f t="shared" si="25"/>
        <v>15</v>
      </c>
      <c r="J269" s="133" t="s">
        <v>5</v>
      </c>
      <c r="K269" s="143">
        <f t="shared" si="26"/>
        <v>15</v>
      </c>
      <c r="L269" s="127"/>
      <c r="M269" s="128"/>
      <c r="N269" s="128"/>
      <c r="O269" s="128"/>
      <c r="P269" s="128"/>
      <c r="Q269" s="129"/>
    </row>
    <row r="270" spans="1:17" ht="18.75" customHeight="1" x14ac:dyDescent="0.15">
      <c r="A270" s="148"/>
      <c r="B270" s="788" t="s">
        <v>1481</v>
      </c>
      <c r="C270" s="789"/>
      <c r="D270" s="143">
        <v>2.5</v>
      </c>
      <c r="E270" s="143">
        <v>0</v>
      </c>
      <c r="F270" s="143">
        <v>0</v>
      </c>
      <c r="G270" s="143">
        <v>0</v>
      </c>
      <c r="H270" s="143">
        <v>1</v>
      </c>
      <c r="I270" s="143">
        <f t="shared" si="25"/>
        <v>2.5</v>
      </c>
      <c r="J270" s="133" t="s">
        <v>5</v>
      </c>
      <c r="K270" s="143">
        <f t="shared" si="26"/>
        <v>2.5</v>
      </c>
      <c r="L270" s="127"/>
      <c r="M270" s="128"/>
      <c r="N270" s="128"/>
      <c r="O270" s="128"/>
      <c r="P270" s="128"/>
      <c r="Q270" s="129"/>
    </row>
    <row r="271" spans="1:17" ht="18.75" customHeight="1" x14ac:dyDescent="0.15">
      <c r="A271" s="148"/>
      <c r="B271" s="788" t="s">
        <v>1482</v>
      </c>
      <c r="C271" s="789"/>
      <c r="D271" s="143">
        <v>12</v>
      </c>
      <c r="E271" s="143">
        <v>0</v>
      </c>
      <c r="F271" s="143">
        <v>0</v>
      </c>
      <c r="G271" s="143">
        <v>0</v>
      </c>
      <c r="H271" s="143">
        <v>1</v>
      </c>
      <c r="I271" s="143">
        <f t="shared" si="25"/>
        <v>12</v>
      </c>
      <c r="J271" s="133" t="s">
        <v>5</v>
      </c>
      <c r="K271" s="143">
        <f t="shared" si="26"/>
        <v>12</v>
      </c>
      <c r="L271" s="127"/>
      <c r="M271" s="128"/>
      <c r="N271" s="128"/>
      <c r="O271" s="128"/>
      <c r="P271" s="128"/>
      <c r="Q271" s="129"/>
    </row>
    <row r="272" spans="1:17" ht="18.75" customHeight="1" x14ac:dyDescent="0.15">
      <c r="A272" s="148"/>
      <c r="B272" s="788" t="s">
        <v>1459</v>
      </c>
      <c r="C272" s="789"/>
      <c r="D272" s="143">
        <v>4.5</v>
      </c>
      <c r="E272" s="143">
        <v>0</v>
      </c>
      <c r="F272" s="143">
        <v>0</v>
      </c>
      <c r="G272" s="143">
        <v>0</v>
      </c>
      <c r="H272" s="143">
        <v>1</v>
      </c>
      <c r="I272" s="143">
        <f t="shared" si="25"/>
        <v>4.5</v>
      </c>
      <c r="J272" s="133" t="s">
        <v>5</v>
      </c>
      <c r="K272" s="143">
        <f t="shared" si="26"/>
        <v>4.5</v>
      </c>
      <c r="L272" s="127"/>
      <c r="M272" s="128"/>
      <c r="N272" s="128"/>
      <c r="O272" s="128"/>
      <c r="P272" s="128"/>
      <c r="Q272" s="129"/>
    </row>
    <row r="273" spans="1:17" ht="18.75" customHeight="1" x14ac:dyDescent="0.15">
      <c r="A273" s="148"/>
      <c r="B273" s="788" t="s">
        <v>1468</v>
      </c>
      <c r="C273" s="789"/>
      <c r="D273" s="143">
        <v>6.5</v>
      </c>
      <c r="E273" s="143">
        <v>0</v>
      </c>
      <c r="F273" s="143">
        <v>0</v>
      </c>
      <c r="G273" s="143">
        <v>0</v>
      </c>
      <c r="H273" s="143">
        <v>1</v>
      </c>
      <c r="I273" s="143">
        <f t="shared" si="25"/>
        <v>6.5</v>
      </c>
      <c r="J273" s="133" t="s">
        <v>5</v>
      </c>
      <c r="K273" s="143">
        <f t="shared" si="26"/>
        <v>6.5</v>
      </c>
      <c r="L273" s="127"/>
      <c r="M273" s="128"/>
      <c r="N273" s="128"/>
      <c r="O273" s="128"/>
      <c r="P273" s="128"/>
      <c r="Q273" s="129"/>
    </row>
    <row r="274" spans="1:17" ht="18.75" customHeight="1" x14ac:dyDescent="0.15">
      <c r="A274" s="148"/>
      <c r="B274" s="788" t="s">
        <v>1470</v>
      </c>
      <c r="C274" s="789"/>
      <c r="D274" s="143">
        <v>7.5</v>
      </c>
      <c r="E274" s="143">
        <v>0</v>
      </c>
      <c r="F274" s="143">
        <v>0</v>
      </c>
      <c r="G274" s="143">
        <v>0</v>
      </c>
      <c r="H274" s="143">
        <v>1</v>
      </c>
      <c r="I274" s="143">
        <f t="shared" si="25"/>
        <v>7.5</v>
      </c>
      <c r="J274" s="133" t="s">
        <v>5</v>
      </c>
      <c r="K274" s="143">
        <f t="shared" si="26"/>
        <v>7.5</v>
      </c>
      <c r="L274" s="127"/>
      <c r="M274" s="128"/>
      <c r="N274" s="128"/>
      <c r="O274" s="128"/>
      <c r="P274" s="128"/>
      <c r="Q274" s="129"/>
    </row>
    <row r="275" spans="1:17" ht="18.75" customHeight="1" x14ac:dyDescent="0.15">
      <c r="A275" s="148"/>
      <c r="B275" s="788" t="s">
        <v>1483</v>
      </c>
      <c r="C275" s="789"/>
      <c r="D275" s="143">
        <v>1.9</v>
      </c>
      <c r="E275" s="143">
        <v>0</v>
      </c>
      <c r="F275" s="143">
        <v>0</v>
      </c>
      <c r="G275" s="143">
        <v>0</v>
      </c>
      <c r="H275" s="143">
        <v>1</v>
      </c>
      <c r="I275" s="143">
        <f t="shared" si="25"/>
        <v>1.9</v>
      </c>
      <c r="J275" s="133" t="s">
        <v>5</v>
      </c>
      <c r="K275" s="143">
        <f t="shared" si="26"/>
        <v>1.9</v>
      </c>
      <c r="L275" s="127"/>
      <c r="M275" s="128"/>
      <c r="N275" s="128"/>
      <c r="O275" s="128"/>
      <c r="P275" s="128"/>
      <c r="Q275" s="129"/>
    </row>
    <row r="276" spans="1:17" ht="18.75" customHeight="1" x14ac:dyDescent="0.15">
      <c r="A276" s="148"/>
      <c r="B276" s="788" t="s">
        <v>1471</v>
      </c>
      <c r="C276" s="789"/>
      <c r="D276" s="143">
        <v>6</v>
      </c>
      <c r="E276" s="143">
        <v>0</v>
      </c>
      <c r="F276" s="143">
        <v>0</v>
      </c>
      <c r="G276" s="143">
        <v>0</v>
      </c>
      <c r="H276" s="143">
        <v>1</v>
      </c>
      <c r="I276" s="143">
        <f t="shared" si="25"/>
        <v>6</v>
      </c>
      <c r="J276" s="133" t="s">
        <v>5</v>
      </c>
      <c r="K276" s="143">
        <f t="shared" si="26"/>
        <v>6</v>
      </c>
      <c r="L276" s="127"/>
      <c r="M276" s="128"/>
      <c r="N276" s="128"/>
      <c r="O276" s="128"/>
      <c r="P276" s="128"/>
      <c r="Q276" s="129"/>
    </row>
    <row r="277" spans="1:17" ht="18.75" customHeight="1" x14ac:dyDescent="0.15">
      <c r="A277" s="148"/>
      <c r="B277" s="788" t="s">
        <v>1484</v>
      </c>
      <c r="C277" s="789"/>
      <c r="D277" s="143">
        <v>2</v>
      </c>
      <c r="E277" s="143">
        <v>0</v>
      </c>
      <c r="F277" s="143">
        <v>0</v>
      </c>
      <c r="G277" s="143">
        <v>0</v>
      </c>
      <c r="H277" s="143">
        <v>1</v>
      </c>
      <c r="I277" s="143">
        <f t="shared" si="25"/>
        <v>2</v>
      </c>
      <c r="J277" s="133" t="s">
        <v>5</v>
      </c>
      <c r="K277" s="143">
        <f t="shared" si="26"/>
        <v>2</v>
      </c>
      <c r="L277" s="127"/>
      <c r="M277" s="128"/>
      <c r="N277" s="128"/>
      <c r="O277" s="128"/>
      <c r="P277" s="128"/>
      <c r="Q277" s="129"/>
    </row>
    <row r="278" spans="1:17" ht="18.75" customHeight="1" x14ac:dyDescent="0.15">
      <c r="A278" s="148"/>
      <c r="B278" s="788" t="s">
        <v>1473</v>
      </c>
      <c r="C278" s="789"/>
      <c r="D278" s="143">
        <v>10</v>
      </c>
      <c r="E278" s="143">
        <v>0</v>
      </c>
      <c r="F278" s="143">
        <v>0</v>
      </c>
      <c r="G278" s="143">
        <v>0</v>
      </c>
      <c r="H278" s="143">
        <v>1</v>
      </c>
      <c r="I278" s="143">
        <f t="shared" si="25"/>
        <v>10</v>
      </c>
      <c r="J278" s="133" t="s">
        <v>5</v>
      </c>
      <c r="K278" s="143">
        <f t="shared" si="26"/>
        <v>10</v>
      </c>
      <c r="L278" s="127"/>
      <c r="M278" s="128"/>
      <c r="N278" s="128"/>
      <c r="O278" s="128"/>
      <c r="P278" s="128"/>
      <c r="Q278" s="129"/>
    </row>
    <row r="279" spans="1:17" ht="18.75" customHeight="1" x14ac:dyDescent="0.15">
      <c r="A279" s="148"/>
      <c r="B279" s="788" t="s">
        <v>1474</v>
      </c>
      <c r="C279" s="789"/>
      <c r="D279" s="143">
        <v>5</v>
      </c>
      <c r="E279" s="143">
        <v>0</v>
      </c>
      <c r="F279" s="143">
        <v>0</v>
      </c>
      <c r="G279" s="143">
        <v>0</v>
      </c>
      <c r="H279" s="143">
        <v>1</v>
      </c>
      <c r="I279" s="143">
        <f t="shared" si="25"/>
        <v>5</v>
      </c>
      <c r="J279" s="133" t="s">
        <v>5</v>
      </c>
      <c r="K279" s="143">
        <f t="shared" si="26"/>
        <v>5</v>
      </c>
      <c r="L279" s="127"/>
      <c r="M279" s="128"/>
      <c r="N279" s="128"/>
      <c r="O279" s="128"/>
      <c r="P279" s="128"/>
      <c r="Q279" s="129"/>
    </row>
    <row r="280" spans="1:17" ht="18.75" customHeight="1" x14ac:dyDescent="0.15">
      <c r="A280" s="148"/>
      <c r="B280" s="788" t="s">
        <v>1485</v>
      </c>
      <c r="C280" s="789"/>
      <c r="D280" s="143">
        <v>45</v>
      </c>
      <c r="E280" s="143">
        <v>0</v>
      </c>
      <c r="F280" s="143">
        <v>0</v>
      </c>
      <c r="G280" s="143">
        <v>0</v>
      </c>
      <c r="H280" s="143">
        <v>1</v>
      </c>
      <c r="I280" s="143">
        <f t="shared" ref="I280" si="27">D280</f>
        <v>45</v>
      </c>
      <c r="J280" s="133" t="s">
        <v>5</v>
      </c>
      <c r="K280" s="143">
        <f t="shared" ref="K280" si="28">I280*H280</f>
        <v>45</v>
      </c>
      <c r="L280" s="127"/>
      <c r="M280" s="128"/>
      <c r="N280" s="128"/>
      <c r="O280" s="128"/>
      <c r="P280" s="128"/>
      <c r="Q280" s="129"/>
    </row>
    <row r="281" spans="1:17" customFormat="1" ht="19.5" customHeight="1" x14ac:dyDescent="0.15">
      <c r="A281" s="696" t="s">
        <v>1440</v>
      </c>
      <c r="B281" s="856" t="s">
        <v>1439</v>
      </c>
      <c r="C281" s="857"/>
      <c r="D281" s="857"/>
      <c r="E281" s="857"/>
      <c r="F281" s="857"/>
      <c r="G281" s="857"/>
      <c r="H281" s="857"/>
      <c r="I281" s="857"/>
      <c r="J281" s="857"/>
      <c r="K281" s="858"/>
      <c r="L281" s="127"/>
      <c r="M281" s="128"/>
      <c r="N281" s="128"/>
      <c r="O281" s="128"/>
      <c r="P281" s="128"/>
      <c r="Q281" s="129"/>
    </row>
    <row r="282" spans="1:17" ht="27" customHeight="1" x14ac:dyDescent="0.15">
      <c r="A282" s="148"/>
      <c r="B282" s="788" t="s">
        <v>1265</v>
      </c>
      <c r="C282" s="789"/>
      <c r="D282" s="143">
        <v>30</v>
      </c>
      <c r="E282" s="143">
        <v>0</v>
      </c>
      <c r="F282" s="143">
        <v>0</v>
      </c>
      <c r="G282" s="143">
        <v>0</v>
      </c>
      <c r="H282" s="143">
        <v>1</v>
      </c>
      <c r="I282" s="143">
        <f>D282</f>
        <v>30</v>
      </c>
      <c r="J282" s="133" t="s">
        <v>5</v>
      </c>
      <c r="K282" s="143">
        <f>I282*H282</f>
        <v>30</v>
      </c>
      <c r="L282" s="127"/>
      <c r="M282" s="128"/>
      <c r="N282" s="128"/>
      <c r="O282" s="128"/>
      <c r="P282" s="128"/>
      <c r="Q282" s="129"/>
    </row>
    <row r="283" spans="1:17" ht="14" x14ac:dyDescent="0.15">
      <c r="A283" s="795" t="s">
        <v>149</v>
      </c>
      <c r="B283" s="817"/>
      <c r="C283" s="817"/>
      <c r="D283" s="817"/>
      <c r="E283" s="817"/>
      <c r="F283" s="817"/>
      <c r="G283" s="817"/>
      <c r="H283" s="817"/>
      <c r="I283" s="817"/>
      <c r="J283" s="796"/>
      <c r="K283" s="416">
        <f>SUM(K267:K282)</f>
        <v>167.9</v>
      </c>
      <c r="L283" s="134"/>
      <c r="M283" s="135"/>
      <c r="N283" s="135"/>
      <c r="O283" s="135"/>
      <c r="P283" s="135"/>
      <c r="Q283" s="136"/>
    </row>
    <row r="284" spans="1:17" x14ac:dyDescent="0.15">
      <c r="A284" s="790"/>
      <c r="B284" s="791"/>
      <c r="C284" s="791"/>
      <c r="D284" s="791"/>
      <c r="E284" s="791"/>
      <c r="F284" s="791"/>
      <c r="G284" s="791"/>
      <c r="H284" s="791"/>
      <c r="I284" s="791"/>
      <c r="J284" s="791"/>
      <c r="K284" s="791"/>
      <c r="L284" s="791"/>
      <c r="M284" s="791"/>
      <c r="N284" s="791"/>
      <c r="O284" s="791"/>
      <c r="P284" s="791"/>
      <c r="Q284" s="792"/>
    </row>
    <row r="285" spans="1:17" s="121" customFormat="1" ht="18" customHeight="1" x14ac:dyDescent="0.15">
      <c r="A285" s="218" t="s">
        <v>0</v>
      </c>
      <c r="B285" s="838" t="s">
        <v>1151</v>
      </c>
      <c r="C285" s="839"/>
      <c r="D285" s="839"/>
      <c r="E285" s="839"/>
      <c r="F285" s="839"/>
      <c r="G285" s="839"/>
      <c r="H285" s="839"/>
      <c r="I285" s="839"/>
      <c r="J285" s="839"/>
      <c r="K285" s="839"/>
      <c r="L285" s="839"/>
      <c r="M285" s="839"/>
      <c r="N285" s="839"/>
      <c r="O285" s="216" t="s">
        <v>73</v>
      </c>
      <c r="P285" s="795" t="s">
        <v>193</v>
      </c>
      <c r="Q285" s="796"/>
    </row>
    <row r="286" spans="1:17" x14ac:dyDescent="0.15">
      <c r="A286" s="790"/>
      <c r="B286" s="791"/>
      <c r="C286" s="791"/>
      <c r="D286" s="791"/>
      <c r="E286" s="791"/>
      <c r="F286" s="791"/>
      <c r="G286" s="791"/>
      <c r="H286" s="791"/>
      <c r="I286" s="791"/>
      <c r="J286" s="791"/>
      <c r="K286" s="791"/>
      <c r="L286" s="791"/>
      <c r="M286" s="791"/>
      <c r="N286" s="791"/>
      <c r="O286" s="791"/>
      <c r="P286" s="791"/>
      <c r="Q286" s="792"/>
    </row>
    <row r="287" spans="1:17" s="126" customFormat="1" x14ac:dyDescent="0.15">
      <c r="A287" s="822" t="s">
        <v>150</v>
      </c>
      <c r="B287" s="823" t="s">
        <v>151</v>
      </c>
      <c r="C287" s="823"/>
      <c r="D287" s="832" t="s">
        <v>264</v>
      </c>
      <c r="E287" s="823" t="s">
        <v>152</v>
      </c>
      <c r="F287" s="823"/>
      <c r="G287" s="823"/>
      <c r="H287" s="802" t="s">
        <v>153</v>
      </c>
      <c r="I287" s="802" t="s">
        <v>242</v>
      </c>
      <c r="J287" s="804" t="s">
        <v>73</v>
      </c>
      <c r="K287" s="216" t="s">
        <v>154</v>
      </c>
      <c r="L287" s="123"/>
      <c r="M287" s="124"/>
      <c r="N287" s="124"/>
      <c r="O287" s="124"/>
      <c r="P287" s="124"/>
      <c r="Q287" s="125"/>
    </row>
    <row r="288" spans="1:17" s="130" customFormat="1" x14ac:dyDescent="0.15">
      <c r="A288" s="822"/>
      <c r="B288" s="823"/>
      <c r="C288" s="823"/>
      <c r="D288" s="833"/>
      <c r="E288" s="217" t="s">
        <v>155</v>
      </c>
      <c r="F288" s="217" t="s">
        <v>156</v>
      </c>
      <c r="G288" s="217" t="s">
        <v>157</v>
      </c>
      <c r="H288" s="803"/>
      <c r="I288" s="803"/>
      <c r="J288" s="805"/>
      <c r="K288" s="216" t="s">
        <v>158</v>
      </c>
      <c r="L288" s="127"/>
      <c r="M288" s="128"/>
      <c r="N288" s="128"/>
      <c r="O288" s="128"/>
      <c r="P288" s="128"/>
      <c r="Q288" s="129"/>
    </row>
    <row r="289" spans="1:17" customFormat="1" ht="19.5" customHeight="1" x14ac:dyDescent="0.15">
      <c r="A289" s="696" t="s">
        <v>1440</v>
      </c>
      <c r="B289" s="856" t="s">
        <v>1439</v>
      </c>
      <c r="C289" s="857"/>
      <c r="D289" s="857"/>
      <c r="E289" s="857"/>
      <c r="F289" s="857"/>
      <c r="G289" s="857"/>
      <c r="H289" s="857"/>
      <c r="I289" s="857"/>
      <c r="J289" s="857"/>
      <c r="K289" s="858"/>
      <c r="L289" s="127"/>
      <c r="M289" s="128"/>
      <c r="N289" s="128"/>
      <c r="O289" s="128"/>
      <c r="P289" s="128"/>
      <c r="Q289" s="129"/>
    </row>
    <row r="290" spans="1:17" ht="18.75" customHeight="1" x14ac:dyDescent="0.15">
      <c r="A290" s="148"/>
      <c r="B290" s="788" t="s">
        <v>1486</v>
      </c>
      <c r="C290" s="789"/>
      <c r="D290" s="671">
        <v>0</v>
      </c>
      <c r="E290" s="143">
        <v>40</v>
      </c>
      <c r="F290" s="143">
        <v>0</v>
      </c>
      <c r="G290" s="143">
        <v>0.1</v>
      </c>
      <c r="H290" s="143">
        <v>1</v>
      </c>
      <c r="I290" s="143">
        <f>E290</f>
        <v>40</v>
      </c>
      <c r="J290" s="133" t="s">
        <v>193</v>
      </c>
      <c r="K290" s="143">
        <f t="shared" ref="K290" si="29">(I290*H290)-D290</f>
        <v>40</v>
      </c>
      <c r="L290" s="127"/>
      <c r="M290" s="128"/>
      <c r="N290" s="128"/>
      <c r="O290" s="128"/>
      <c r="P290" s="128"/>
      <c r="Q290" s="129"/>
    </row>
    <row r="291" spans="1:17" ht="14" x14ac:dyDescent="0.15">
      <c r="A291" s="795" t="s">
        <v>149</v>
      </c>
      <c r="B291" s="817"/>
      <c r="C291" s="817"/>
      <c r="D291" s="817"/>
      <c r="E291" s="817"/>
      <c r="F291" s="817"/>
      <c r="G291" s="817"/>
      <c r="H291" s="817"/>
      <c r="I291" s="817"/>
      <c r="J291" s="796"/>
      <c r="K291" s="416">
        <f>SUM(K289:K290)</f>
        <v>40</v>
      </c>
      <c r="L291" s="134"/>
      <c r="M291" s="135"/>
      <c r="N291" s="135"/>
      <c r="O291" s="135"/>
      <c r="P291" s="135"/>
      <c r="Q291" s="136"/>
    </row>
    <row r="292" spans="1:17" x14ac:dyDescent="0.15">
      <c r="A292" s="790"/>
      <c r="B292" s="791"/>
      <c r="C292" s="791"/>
      <c r="D292" s="791"/>
      <c r="E292" s="791"/>
      <c r="F292" s="791"/>
      <c r="G292" s="791"/>
      <c r="H292" s="791"/>
      <c r="I292" s="791"/>
      <c r="J292" s="791"/>
      <c r="K292" s="791"/>
      <c r="L292" s="791"/>
      <c r="M292" s="791"/>
      <c r="N292" s="791"/>
      <c r="O292" s="791"/>
      <c r="P292" s="791"/>
      <c r="Q292" s="792"/>
    </row>
    <row r="293" spans="1:17" s="121" customFormat="1" ht="18" customHeight="1" x14ac:dyDescent="0.15">
      <c r="A293" s="218" t="s">
        <v>0</v>
      </c>
      <c r="B293" s="859" t="s">
        <v>1104</v>
      </c>
      <c r="C293" s="860"/>
      <c r="D293" s="860"/>
      <c r="E293" s="860"/>
      <c r="F293" s="860"/>
      <c r="G293" s="860"/>
      <c r="H293" s="860"/>
      <c r="I293" s="860"/>
      <c r="J293" s="860"/>
      <c r="K293" s="860"/>
      <c r="L293" s="860"/>
      <c r="M293" s="860"/>
      <c r="N293" s="860"/>
      <c r="O293" s="216" t="s">
        <v>73</v>
      </c>
      <c r="P293" s="795" t="s">
        <v>5</v>
      </c>
      <c r="Q293" s="796"/>
    </row>
    <row r="294" spans="1:17" x14ac:dyDescent="0.15">
      <c r="A294" s="790"/>
      <c r="B294" s="791"/>
      <c r="C294" s="791"/>
      <c r="D294" s="791"/>
      <c r="E294" s="791"/>
      <c r="F294" s="791"/>
      <c r="G294" s="791"/>
      <c r="H294" s="791"/>
      <c r="I294" s="791"/>
      <c r="J294" s="791"/>
      <c r="K294" s="791"/>
      <c r="L294" s="791"/>
      <c r="M294" s="791"/>
      <c r="N294" s="791"/>
      <c r="O294" s="791"/>
      <c r="P294" s="791"/>
      <c r="Q294" s="792"/>
    </row>
    <row r="295" spans="1:17" s="126" customFormat="1" ht="12.75" customHeight="1" x14ac:dyDescent="0.15">
      <c r="A295" s="822" t="s">
        <v>150</v>
      </c>
      <c r="B295" s="823" t="s">
        <v>151</v>
      </c>
      <c r="C295" s="823"/>
      <c r="D295" s="832" t="s">
        <v>241</v>
      </c>
      <c r="E295" s="823" t="s">
        <v>152</v>
      </c>
      <c r="F295" s="823"/>
      <c r="G295" s="823"/>
      <c r="H295" s="802" t="s">
        <v>153</v>
      </c>
      <c r="I295" s="802" t="s">
        <v>159</v>
      </c>
      <c r="J295" s="804" t="s">
        <v>73</v>
      </c>
      <c r="K295" s="216" t="s">
        <v>154</v>
      </c>
      <c r="L295" s="123"/>
      <c r="M295" s="124"/>
      <c r="N295" s="124"/>
      <c r="O295" s="124"/>
      <c r="P295" s="124"/>
      <c r="Q295" s="125"/>
    </row>
    <row r="296" spans="1:17" s="130" customFormat="1" x14ac:dyDescent="0.15">
      <c r="A296" s="822"/>
      <c r="B296" s="823"/>
      <c r="C296" s="823"/>
      <c r="D296" s="833"/>
      <c r="E296" s="217" t="s">
        <v>155</v>
      </c>
      <c r="F296" s="217" t="s">
        <v>206</v>
      </c>
      <c r="G296" s="217" t="s">
        <v>1093</v>
      </c>
      <c r="H296" s="803"/>
      <c r="I296" s="803"/>
      <c r="J296" s="805"/>
      <c r="K296" s="216" t="s">
        <v>158</v>
      </c>
      <c r="L296" s="127"/>
      <c r="M296" s="128"/>
      <c r="N296" s="128"/>
      <c r="O296" s="128"/>
      <c r="P296" s="128"/>
      <c r="Q296" s="129"/>
    </row>
    <row r="297" spans="1:17" customFormat="1" ht="19.5" customHeight="1" x14ac:dyDescent="0.15">
      <c r="A297" s="696" t="s">
        <v>185</v>
      </c>
      <c r="B297" s="856" t="s">
        <v>1437</v>
      </c>
      <c r="C297" s="857"/>
      <c r="D297" s="857"/>
      <c r="E297" s="857"/>
      <c r="F297" s="857"/>
      <c r="G297" s="857"/>
      <c r="H297" s="857"/>
      <c r="I297" s="857"/>
      <c r="J297" s="857"/>
      <c r="K297" s="858"/>
      <c r="L297" s="127"/>
      <c r="M297" s="128"/>
      <c r="N297" s="128"/>
      <c r="O297" s="128"/>
      <c r="P297" s="128"/>
      <c r="Q297" s="129"/>
    </row>
    <row r="298" spans="1:17" ht="20.25" customHeight="1" x14ac:dyDescent="0.15">
      <c r="A298" s="148"/>
      <c r="B298" s="815" t="s">
        <v>1083</v>
      </c>
      <c r="C298" s="816"/>
      <c r="D298" s="143">
        <v>0</v>
      </c>
      <c r="E298" s="143">
        <f>41.76-2.8</f>
        <v>38.96</v>
      </c>
      <c r="F298" s="143">
        <v>0</v>
      </c>
      <c r="G298" s="143">
        <v>2</v>
      </c>
      <c r="H298" s="143">
        <v>2</v>
      </c>
      <c r="I298" s="143">
        <f t="shared" ref="I298:I303" si="30">G298*E298</f>
        <v>77.92</v>
      </c>
      <c r="J298" s="133" t="s">
        <v>5</v>
      </c>
      <c r="K298" s="143">
        <f t="shared" ref="K298:K303" si="31">(I298*H298)-D298</f>
        <v>155.84</v>
      </c>
      <c r="L298" s="127"/>
      <c r="M298" s="128"/>
      <c r="N298" s="128"/>
      <c r="O298" s="128"/>
      <c r="P298" s="128"/>
      <c r="Q298" s="129"/>
    </row>
    <row r="299" spans="1:17" ht="20.25" customHeight="1" x14ac:dyDescent="0.15">
      <c r="A299" s="148"/>
      <c r="B299" s="788" t="s">
        <v>988</v>
      </c>
      <c r="C299" s="789"/>
      <c r="D299" s="143">
        <v>0</v>
      </c>
      <c r="E299" s="143">
        <v>0.2</v>
      </c>
      <c r="F299" s="143">
        <v>0</v>
      </c>
      <c r="G299" s="143">
        <v>2</v>
      </c>
      <c r="H299" s="143">
        <v>28</v>
      </c>
      <c r="I299" s="143">
        <f t="shared" si="30"/>
        <v>0.4</v>
      </c>
      <c r="J299" s="133" t="s">
        <v>5</v>
      </c>
      <c r="K299" s="143">
        <f t="shared" si="31"/>
        <v>11.200000000000001</v>
      </c>
      <c r="L299" s="127"/>
      <c r="M299" s="128"/>
      <c r="N299" s="128"/>
      <c r="O299" s="128"/>
      <c r="P299" s="128"/>
      <c r="Q299" s="129"/>
    </row>
    <row r="300" spans="1:17" ht="20.25" customHeight="1" x14ac:dyDescent="0.15">
      <c r="A300" s="148"/>
      <c r="B300" s="788" t="s">
        <v>1092</v>
      </c>
      <c r="C300" s="789"/>
      <c r="D300" s="143">
        <v>0</v>
      </c>
      <c r="E300" s="143">
        <v>41.76</v>
      </c>
      <c r="F300" s="143">
        <v>0</v>
      </c>
      <c r="G300" s="143">
        <v>0.6</v>
      </c>
      <c r="H300" s="143">
        <v>1</v>
      </c>
      <c r="I300" s="143">
        <f t="shared" si="30"/>
        <v>25.055999999999997</v>
      </c>
      <c r="J300" s="133" t="s">
        <v>5</v>
      </c>
      <c r="K300" s="143">
        <f t="shared" si="31"/>
        <v>25.055999999999997</v>
      </c>
      <c r="L300" s="127"/>
      <c r="M300" s="128"/>
      <c r="N300" s="128"/>
      <c r="O300" s="128"/>
      <c r="P300" s="128"/>
      <c r="Q300" s="129"/>
    </row>
    <row r="301" spans="1:17" ht="20.25" customHeight="1" x14ac:dyDescent="0.15">
      <c r="A301" s="148"/>
      <c r="B301" s="788" t="s">
        <v>1094</v>
      </c>
      <c r="C301" s="789"/>
      <c r="D301" s="143">
        <v>0</v>
      </c>
      <c r="E301" s="143">
        <v>41.76</v>
      </c>
      <c r="F301" s="143">
        <v>0</v>
      </c>
      <c r="G301" s="143">
        <v>0.1</v>
      </c>
      <c r="H301" s="143">
        <v>2</v>
      </c>
      <c r="I301" s="143">
        <f t="shared" si="30"/>
        <v>4.1760000000000002</v>
      </c>
      <c r="J301" s="133" t="s">
        <v>5</v>
      </c>
      <c r="K301" s="143">
        <f t="shared" si="31"/>
        <v>8.3520000000000003</v>
      </c>
      <c r="L301" s="127"/>
      <c r="M301" s="128"/>
      <c r="N301" s="128"/>
      <c r="O301" s="128"/>
      <c r="P301" s="128"/>
      <c r="Q301" s="129"/>
    </row>
    <row r="302" spans="1:17" ht="30.75" customHeight="1" x14ac:dyDescent="0.15">
      <c r="A302" s="148"/>
      <c r="B302" s="815" t="s">
        <v>1097</v>
      </c>
      <c r="C302" s="816"/>
      <c r="D302" s="143">
        <v>0</v>
      </c>
      <c r="E302" s="132">
        <f>(31.5+10.26)-2.8</f>
        <v>38.96</v>
      </c>
      <c r="F302" s="143">
        <v>0</v>
      </c>
      <c r="G302" s="143">
        <v>7.0000000000000007E-2</v>
      </c>
      <c r="H302" s="143">
        <v>2</v>
      </c>
      <c r="I302" s="143">
        <f t="shared" si="30"/>
        <v>2.7272000000000003</v>
      </c>
      <c r="J302" s="133" t="s">
        <v>5</v>
      </c>
      <c r="K302" s="143">
        <f t="shared" si="31"/>
        <v>5.4544000000000006</v>
      </c>
      <c r="L302" s="127"/>
      <c r="M302" s="128"/>
      <c r="N302" s="128"/>
      <c r="O302" s="128"/>
      <c r="P302" s="128"/>
      <c r="Q302" s="129"/>
    </row>
    <row r="303" spans="1:17" ht="30.75" customHeight="1" x14ac:dyDescent="0.15">
      <c r="A303" s="148"/>
      <c r="B303" s="815" t="s">
        <v>1098</v>
      </c>
      <c r="C303" s="816"/>
      <c r="D303" s="143">
        <v>0</v>
      </c>
      <c r="E303" s="132">
        <v>4</v>
      </c>
      <c r="F303" s="143">
        <v>0</v>
      </c>
      <c r="G303" s="143">
        <v>7.0000000000000007E-2</v>
      </c>
      <c r="H303" s="143">
        <v>28</v>
      </c>
      <c r="I303" s="143">
        <f t="shared" si="30"/>
        <v>0.28000000000000003</v>
      </c>
      <c r="J303" s="133" t="s">
        <v>5</v>
      </c>
      <c r="K303" s="143">
        <f t="shared" si="31"/>
        <v>7.8400000000000007</v>
      </c>
      <c r="L303" s="127"/>
      <c r="M303" s="128"/>
      <c r="N303" s="128"/>
      <c r="O303" s="128"/>
      <c r="P303" s="128"/>
      <c r="Q303" s="129"/>
    </row>
    <row r="304" spans="1:17" ht="14" x14ac:dyDescent="0.15">
      <c r="A304" s="795" t="s">
        <v>149</v>
      </c>
      <c r="B304" s="817"/>
      <c r="C304" s="817"/>
      <c r="D304" s="817"/>
      <c r="E304" s="817"/>
      <c r="F304" s="817"/>
      <c r="G304" s="817"/>
      <c r="H304" s="817"/>
      <c r="I304" s="817"/>
      <c r="J304" s="796"/>
      <c r="K304" s="416">
        <f>SUM(K298:K303)</f>
        <v>213.7424</v>
      </c>
      <c r="L304" s="134"/>
      <c r="M304" s="135"/>
      <c r="N304" s="135"/>
      <c r="O304" s="135"/>
      <c r="P304" s="135"/>
      <c r="Q304" s="136"/>
    </row>
    <row r="305" spans="1:17" x14ac:dyDescent="0.15">
      <c r="A305" s="790"/>
      <c r="B305" s="791"/>
      <c r="C305" s="791"/>
      <c r="D305" s="791"/>
      <c r="E305" s="791"/>
      <c r="F305" s="791"/>
      <c r="G305" s="791"/>
      <c r="H305" s="791"/>
      <c r="I305" s="791"/>
      <c r="J305" s="791"/>
      <c r="K305" s="791"/>
      <c r="L305" s="791"/>
      <c r="M305" s="791"/>
      <c r="N305" s="791"/>
      <c r="O305" s="791"/>
      <c r="P305" s="791"/>
      <c r="Q305" s="792"/>
    </row>
    <row r="306" spans="1:17" s="121" customFormat="1" ht="18" customHeight="1" x14ac:dyDescent="0.15">
      <c r="A306" s="218" t="s">
        <v>0</v>
      </c>
      <c r="B306" s="838" t="s">
        <v>1279</v>
      </c>
      <c r="C306" s="839"/>
      <c r="D306" s="839"/>
      <c r="E306" s="839"/>
      <c r="F306" s="839"/>
      <c r="G306" s="839"/>
      <c r="H306" s="839"/>
      <c r="I306" s="839"/>
      <c r="J306" s="839"/>
      <c r="K306" s="839"/>
      <c r="L306" s="839"/>
      <c r="M306" s="839"/>
      <c r="N306" s="839"/>
      <c r="O306" s="216" t="s">
        <v>73</v>
      </c>
      <c r="P306" s="795" t="s">
        <v>5</v>
      </c>
      <c r="Q306" s="796"/>
    </row>
    <row r="307" spans="1:17" x14ac:dyDescent="0.15">
      <c r="A307" s="790"/>
      <c r="B307" s="791"/>
      <c r="C307" s="791"/>
      <c r="D307" s="791"/>
      <c r="E307" s="791"/>
      <c r="F307" s="791"/>
      <c r="G307" s="791"/>
      <c r="H307" s="791"/>
      <c r="I307" s="791"/>
      <c r="J307" s="791"/>
      <c r="K307" s="791"/>
      <c r="L307" s="791"/>
      <c r="M307" s="791"/>
      <c r="N307" s="791"/>
      <c r="O307" s="791"/>
      <c r="P307" s="791"/>
      <c r="Q307" s="792"/>
    </row>
    <row r="308" spans="1:17" s="126" customFormat="1" x14ac:dyDescent="0.15">
      <c r="A308" s="822" t="s">
        <v>150</v>
      </c>
      <c r="B308" s="823" t="s">
        <v>151</v>
      </c>
      <c r="C308" s="823"/>
      <c r="D308" s="832" t="s">
        <v>264</v>
      </c>
      <c r="E308" s="823" t="s">
        <v>152</v>
      </c>
      <c r="F308" s="823"/>
      <c r="G308" s="823"/>
      <c r="H308" s="802" t="s">
        <v>153</v>
      </c>
      <c r="I308" s="802" t="s">
        <v>159</v>
      </c>
      <c r="J308" s="804" t="s">
        <v>73</v>
      </c>
      <c r="K308" s="216" t="s">
        <v>154</v>
      </c>
      <c r="L308" s="123"/>
      <c r="M308" s="124"/>
      <c r="N308" s="124"/>
      <c r="O308" s="124"/>
      <c r="P308" s="124"/>
      <c r="Q308" s="125"/>
    </row>
    <row r="309" spans="1:17" s="130" customFormat="1" x14ac:dyDescent="0.15">
      <c r="A309" s="822"/>
      <c r="B309" s="823"/>
      <c r="C309" s="823"/>
      <c r="D309" s="833"/>
      <c r="E309" s="217" t="s">
        <v>155</v>
      </c>
      <c r="F309" s="217" t="s">
        <v>156</v>
      </c>
      <c r="G309" s="217" t="s">
        <v>157</v>
      </c>
      <c r="H309" s="803"/>
      <c r="I309" s="803"/>
      <c r="J309" s="805"/>
      <c r="K309" s="216" t="s">
        <v>158</v>
      </c>
      <c r="L309" s="127"/>
      <c r="M309" s="128"/>
      <c r="N309" s="128"/>
      <c r="O309" s="128"/>
      <c r="P309" s="128"/>
      <c r="Q309" s="129"/>
    </row>
    <row r="310" spans="1:17" customFormat="1" ht="19.5" customHeight="1" x14ac:dyDescent="0.15">
      <c r="A310" s="696" t="s">
        <v>247</v>
      </c>
      <c r="B310" s="856" t="s">
        <v>1452</v>
      </c>
      <c r="C310" s="857"/>
      <c r="D310" s="857"/>
      <c r="E310" s="857"/>
      <c r="F310" s="857"/>
      <c r="G310" s="857"/>
      <c r="H310" s="857"/>
      <c r="I310" s="857"/>
      <c r="J310" s="857"/>
      <c r="K310" s="858"/>
      <c r="L310" s="127"/>
      <c r="M310" s="128"/>
      <c r="N310" s="128"/>
      <c r="O310" s="128"/>
      <c r="P310" s="128"/>
      <c r="Q310" s="129"/>
    </row>
    <row r="311" spans="1:17" ht="27" customHeight="1" x14ac:dyDescent="0.15">
      <c r="A311" s="148"/>
      <c r="B311" s="788" t="s">
        <v>1487</v>
      </c>
      <c r="C311" s="789"/>
      <c r="D311" s="143">
        <v>10.5</v>
      </c>
      <c r="E311" s="143">
        <v>0</v>
      </c>
      <c r="F311" s="143">
        <v>0</v>
      </c>
      <c r="G311" s="143">
        <v>0</v>
      </c>
      <c r="H311" s="143">
        <v>1</v>
      </c>
      <c r="I311" s="143">
        <f t="shared" ref="I311" si="32">D311</f>
        <v>10.5</v>
      </c>
      <c r="J311" s="133" t="s">
        <v>5</v>
      </c>
      <c r="K311" s="143">
        <f t="shared" ref="K311" si="33">I311*H311</f>
        <v>10.5</v>
      </c>
      <c r="L311" s="127"/>
      <c r="M311" s="128"/>
      <c r="N311" s="128"/>
      <c r="O311" s="128"/>
      <c r="P311" s="128"/>
      <c r="Q311" s="129"/>
    </row>
    <row r="312" spans="1:17" ht="14" x14ac:dyDescent="0.15">
      <c r="A312" s="795" t="s">
        <v>149</v>
      </c>
      <c r="B312" s="817"/>
      <c r="C312" s="817"/>
      <c r="D312" s="817"/>
      <c r="E312" s="817"/>
      <c r="F312" s="817"/>
      <c r="G312" s="817"/>
      <c r="H312" s="817"/>
      <c r="I312" s="817"/>
      <c r="J312" s="796"/>
      <c r="K312" s="416">
        <f>SUM(K311:K311)</f>
        <v>10.5</v>
      </c>
      <c r="L312" s="134"/>
      <c r="M312" s="135"/>
      <c r="N312" s="135"/>
      <c r="O312" s="135"/>
      <c r="P312" s="135"/>
      <c r="Q312" s="136"/>
    </row>
    <row r="313" spans="1:17" x14ac:dyDescent="0.15">
      <c r="A313" s="790"/>
      <c r="B313" s="791"/>
      <c r="C313" s="791"/>
      <c r="D313" s="791"/>
      <c r="E313" s="791"/>
      <c r="F313" s="791"/>
      <c r="G313" s="791"/>
      <c r="H313" s="791"/>
      <c r="I313" s="791"/>
      <c r="J313" s="791"/>
      <c r="K313" s="791"/>
      <c r="L313" s="791"/>
      <c r="M313" s="791"/>
      <c r="N313" s="791"/>
      <c r="O313" s="791"/>
      <c r="P313" s="791"/>
      <c r="Q313" s="792"/>
    </row>
    <row r="314" spans="1:17" s="121" customFormat="1" ht="18" customHeight="1" x14ac:dyDescent="0.15">
      <c r="A314" s="218" t="s">
        <v>0</v>
      </c>
      <c r="B314" s="838" t="s">
        <v>1280</v>
      </c>
      <c r="C314" s="839"/>
      <c r="D314" s="839"/>
      <c r="E314" s="839"/>
      <c r="F314" s="839"/>
      <c r="G314" s="839"/>
      <c r="H314" s="839"/>
      <c r="I314" s="839"/>
      <c r="J314" s="839"/>
      <c r="K314" s="839"/>
      <c r="L314" s="839"/>
      <c r="M314" s="839"/>
      <c r="N314" s="839"/>
      <c r="O314" s="216" t="s">
        <v>73</v>
      </c>
      <c r="P314" s="795" t="s">
        <v>5</v>
      </c>
      <c r="Q314" s="796"/>
    </row>
    <row r="315" spans="1:17" x14ac:dyDescent="0.15">
      <c r="A315" s="790"/>
      <c r="B315" s="791"/>
      <c r="C315" s="791"/>
      <c r="D315" s="791"/>
      <c r="E315" s="791"/>
      <c r="F315" s="791"/>
      <c r="G315" s="791"/>
      <c r="H315" s="791"/>
      <c r="I315" s="791"/>
      <c r="J315" s="791"/>
      <c r="K315" s="791"/>
      <c r="L315" s="791"/>
      <c r="M315" s="791"/>
      <c r="N315" s="791"/>
      <c r="O315" s="791"/>
      <c r="P315" s="791"/>
      <c r="Q315" s="792"/>
    </row>
    <row r="316" spans="1:17" s="126" customFormat="1" x14ac:dyDescent="0.15">
      <c r="A316" s="822" t="s">
        <v>150</v>
      </c>
      <c r="B316" s="823" t="s">
        <v>151</v>
      </c>
      <c r="C316" s="823"/>
      <c r="D316" s="832" t="s">
        <v>264</v>
      </c>
      <c r="E316" s="823" t="s">
        <v>152</v>
      </c>
      <c r="F316" s="823"/>
      <c r="G316" s="823"/>
      <c r="H316" s="802" t="s">
        <v>153</v>
      </c>
      <c r="I316" s="802" t="s">
        <v>159</v>
      </c>
      <c r="J316" s="804" t="s">
        <v>73</v>
      </c>
      <c r="K316" s="216" t="s">
        <v>154</v>
      </c>
      <c r="L316" s="123"/>
      <c r="M316" s="124"/>
      <c r="N316" s="124"/>
      <c r="O316" s="124"/>
      <c r="P316" s="124"/>
      <c r="Q316" s="125"/>
    </row>
    <row r="317" spans="1:17" s="130" customFormat="1" x14ac:dyDescent="0.15">
      <c r="A317" s="822"/>
      <c r="B317" s="823"/>
      <c r="C317" s="823"/>
      <c r="D317" s="833"/>
      <c r="E317" s="217" t="s">
        <v>155</v>
      </c>
      <c r="F317" s="217" t="s">
        <v>156</v>
      </c>
      <c r="G317" s="217" t="s">
        <v>157</v>
      </c>
      <c r="H317" s="803"/>
      <c r="I317" s="803"/>
      <c r="J317" s="805"/>
      <c r="K317" s="216" t="s">
        <v>158</v>
      </c>
      <c r="L317" s="127"/>
      <c r="M317" s="128"/>
      <c r="N317" s="128"/>
      <c r="O317" s="128"/>
      <c r="P317" s="128"/>
      <c r="Q317" s="129"/>
    </row>
    <row r="318" spans="1:17" customFormat="1" ht="19.5" customHeight="1" x14ac:dyDescent="0.15">
      <c r="A318" s="696" t="s">
        <v>185</v>
      </c>
      <c r="B318" s="856" t="s">
        <v>1437</v>
      </c>
      <c r="C318" s="857"/>
      <c r="D318" s="857"/>
      <c r="E318" s="857"/>
      <c r="F318" s="857"/>
      <c r="G318" s="857"/>
      <c r="H318" s="857"/>
      <c r="I318" s="857"/>
      <c r="J318" s="857"/>
      <c r="K318" s="858"/>
      <c r="L318" s="127"/>
      <c r="M318" s="128"/>
      <c r="N318" s="128"/>
      <c r="O318" s="128"/>
      <c r="P318" s="128"/>
      <c r="Q318" s="129"/>
    </row>
    <row r="319" spans="1:17" ht="18.75" customHeight="1" x14ac:dyDescent="0.15">
      <c r="A319" s="148"/>
      <c r="B319" s="788" t="s">
        <v>1489</v>
      </c>
      <c r="C319" s="789"/>
      <c r="D319" s="143">
        <v>1.5</v>
      </c>
      <c r="E319" s="143">
        <v>0</v>
      </c>
      <c r="F319" s="143">
        <v>0</v>
      </c>
      <c r="G319" s="143">
        <v>0</v>
      </c>
      <c r="H319" s="143">
        <v>1</v>
      </c>
      <c r="I319" s="143">
        <f t="shared" ref="I319:I323" si="34">D319</f>
        <v>1.5</v>
      </c>
      <c r="J319" s="133" t="s">
        <v>5</v>
      </c>
      <c r="K319" s="143">
        <f t="shared" ref="K319:K323" si="35">I319*H319</f>
        <v>1.5</v>
      </c>
      <c r="L319" s="127"/>
      <c r="M319" s="128"/>
      <c r="N319" s="128"/>
      <c r="O319" s="128"/>
      <c r="P319" s="128"/>
      <c r="Q319" s="129"/>
    </row>
    <row r="320" spans="1:17" ht="18.75" customHeight="1" x14ac:dyDescent="0.15">
      <c r="A320" s="148"/>
      <c r="B320" s="788" t="s">
        <v>1479</v>
      </c>
      <c r="C320" s="789"/>
      <c r="D320" s="143">
        <v>0.9</v>
      </c>
      <c r="E320" s="143">
        <v>0</v>
      </c>
      <c r="F320" s="143">
        <v>0</v>
      </c>
      <c r="G320" s="143">
        <v>0</v>
      </c>
      <c r="H320" s="143">
        <v>1</v>
      </c>
      <c r="I320" s="143">
        <f t="shared" si="34"/>
        <v>0.9</v>
      </c>
      <c r="J320" s="133" t="s">
        <v>5</v>
      </c>
      <c r="K320" s="143">
        <f t="shared" si="35"/>
        <v>0.9</v>
      </c>
      <c r="L320" s="127"/>
      <c r="M320" s="128"/>
      <c r="N320" s="128"/>
      <c r="O320" s="128"/>
      <c r="P320" s="128"/>
      <c r="Q320" s="129"/>
    </row>
    <row r="321" spans="1:17" ht="18.75" customHeight="1" x14ac:dyDescent="0.15">
      <c r="A321" s="148"/>
      <c r="B321" s="815" t="s">
        <v>1463</v>
      </c>
      <c r="C321" s="816"/>
      <c r="D321" s="143">
        <v>0.5</v>
      </c>
      <c r="E321" s="143">
        <v>0</v>
      </c>
      <c r="F321" s="143">
        <v>0</v>
      </c>
      <c r="G321" s="143">
        <v>0</v>
      </c>
      <c r="H321" s="143">
        <v>1</v>
      </c>
      <c r="I321" s="143">
        <f t="shared" si="34"/>
        <v>0.5</v>
      </c>
      <c r="J321" s="133" t="s">
        <v>5</v>
      </c>
      <c r="K321" s="143">
        <f t="shared" si="35"/>
        <v>0.5</v>
      </c>
      <c r="L321" s="127"/>
      <c r="M321" s="128"/>
      <c r="N321" s="128"/>
      <c r="O321" s="128"/>
      <c r="P321" s="128"/>
      <c r="Q321" s="129"/>
    </row>
    <row r="322" spans="1:17" ht="18.75" customHeight="1" x14ac:dyDescent="0.15">
      <c r="A322" s="148"/>
      <c r="B322" s="815" t="s">
        <v>1447</v>
      </c>
      <c r="C322" s="816"/>
      <c r="D322" s="143">
        <v>2</v>
      </c>
      <c r="E322" s="143">
        <v>0</v>
      </c>
      <c r="F322" s="143">
        <v>0</v>
      </c>
      <c r="G322" s="143">
        <v>0</v>
      </c>
      <c r="H322" s="143">
        <v>1</v>
      </c>
      <c r="I322" s="143">
        <f t="shared" si="34"/>
        <v>2</v>
      </c>
      <c r="J322" s="133" t="s">
        <v>5</v>
      </c>
      <c r="K322" s="143">
        <f t="shared" si="35"/>
        <v>2</v>
      </c>
      <c r="L322" s="127"/>
      <c r="M322" s="128"/>
      <c r="N322" s="128"/>
      <c r="O322" s="128"/>
      <c r="P322" s="128"/>
      <c r="Q322" s="129"/>
    </row>
    <row r="323" spans="1:17" ht="18.75" customHeight="1" x14ac:dyDescent="0.15">
      <c r="A323" s="148"/>
      <c r="B323" s="788" t="s">
        <v>1483</v>
      </c>
      <c r="C323" s="789"/>
      <c r="D323" s="143">
        <v>0.7</v>
      </c>
      <c r="E323" s="143">
        <v>0</v>
      </c>
      <c r="F323" s="143">
        <v>0</v>
      </c>
      <c r="G323" s="143">
        <v>0</v>
      </c>
      <c r="H323" s="143">
        <v>1</v>
      </c>
      <c r="I323" s="143">
        <f t="shared" si="34"/>
        <v>0.7</v>
      </c>
      <c r="J323" s="133" t="s">
        <v>5</v>
      </c>
      <c r="K323" s="143">
        <f t="shared" si="35"/>
        <v>0.7</v>
      </c>
      <c r="L323" s="127"/>
      <c r="M323" s="128"/>
      <c r="N323" s="128"/>
      <c r="O323" s="128"/>
      <c r="P323" s="128"/>
      <c r="Q323" s="129"/>
    </row>
    <row r="324" spans="1:17" customFormat="1" ht="19.5" customHeight="1" x14ac:dyDescent="0.15">
      <c r="A324" s="696" t="s">
        <v>247</v>
      </c>
      <c r="B324" s="856" t="s">
        <v>1452</v>
      </c>
      <c r="C324" s="857"/>
      <c r="D324" s="857"/>
      <c r="E324" s="857"/>
      <c r="F324" s="857"/>
      <c r="G324" s="857"/>
      <c r="H324" s="857"/>
      <c r="I324" s="857"/>
      <c r="J324" s="857"/>
      <c r="K324" s="858"/>
      <c r="L324" s="127"/>
      <c r="M324" s="128"/>
      <c r="N324" s="128"/>
      <c r="O324" s="128"/>
      <c r="P324" s="128"/>
      <c r="Q324" s="129"/>
    </row>
    <row r="325" spans="1:17" ht="27" customHeight="1" x14ac:dyDescent="0.15">
      <c r="A325" s="148"/>
      <c r="B325" s="788" t="s">
        <v>1488</v>
      </c>
      <c r="C325" s="789"/>
      <c r="D325" s="143">
        <v>76.25</v>
      </c>
      <c r="E325" s="143">
        <v>0</v>
      </c>
      <c r="F325" s="143">
        <v>0</v>
      </c>
      <c r="G325" s="143">
        <v>0</v>
      </c>
      <c r="H325" s="143">
        <v>1</v>
      </c>
      <c r="I325" s="143">
        <f t="shared" ref="I325" si="36">D325</f>
        <v>76.25</v>
      </c>
      <c r="J325" s="133" t="s">
        <v>5</v>
      </c>
      <c r="K325" s="143">
        <f t="shared" ref="K325" si="37">I325*H325</f>
        <v>76.25</v>
      </c>
      <c r="L325" s="127"/>
      <c r="M325" s="128"/>
      <c r="N325" s="128"/>
      <c r="O325" s="128"/>
      <c r="P325" s="128"/>
      <c r="Q325" s="129"/>
    </row>
    <row r="326" spans="1:17" ht="14" x14ac:dyDescent="0.15">
      <c r="A326" s="795" t="s">
        <v>149</v>
      </c>
      <c r="B326" s="817"/>
      <c r="C326" s="817"/>
      <c r="D326" s="817"/>
      <c r="E326" s="817"/>
      <c r="F326" s="817"/>
      <c r="G326" s="817"/>
      <c r="H326" s="817"/>
      <c r="I326" s="817"/>
      <c r="J326" s="796"/>
      <c r="K326" s="416">
        <f>SUM(K319:K325)</f>
        <v>81.849999999999994</v>
      </c>
      <c r="L326" s="134"/>
      <c r="M326" s="135"/>
      <c r="N326" s="135"/>
      <c r="O326" s="135"/>
      <c r="P326" s="135"/>
      <c r="Q326" s="136"/>
    </row>
    <row r="327" spans="1:17" x14ac:dyDescent="0.15">
      <c r="A327" s="790"/>
      <c r="B327" s="791"/>
      <c r="C327" s="791"/>
      <c r="D327" s="791"/>
      <c r="E327" s="791"/>
      <c r="F327" s="791"/>
      <c r="G327" s="791"/>
      <c r="H327" s="791"/>
      <c r="I327" s="791"/>
      <c r="J327" s="791"/>
      <c r="K327" s="791"/>
      <c r="L327" s="791"/>
      <c r="M327" s="791"/>
      <c r="N327" s="791"/>
      <c r="O327" s="791"/>
      <c r="P327" s="791"/>
      <c r="Q327" s="792"/>
    </row>
    <row r="328" spans="1:17" s="121" customFormat="1" x14ac:dyDescent="0.15">
      <c r="A328" s="218" t="s">
        <v>0</v>
      </c>
      <c r="B328" s="793" t="s">
        <v>1293</v>
      </c>
      <c r="C328" s="794"/>
      <c r="D328" s="794"/>
      <c r="E328" s="794"/>
      <c r="F328" s="794"/>
      <c r="G328" s="794"/>
      <c r="H328" s="794"/>
      <c r="I328" s="794"/>
      <c r="J328" s="794"/>
      <c r="K328" s="794"/>
      <c r="L328" s="794"/>
      <c r="M328" s="794"/>
      <c r="N328" s="794"/>
      <c r="O328" s="216" t="s">
        <v>73</v>
      </c>
      <c r="P328" s="795" t="s">
        <v>319</v>
      </c>
      <c r="Q328" s="796"/>
    </row>
    <row r="329" spans="1:17" x14ac:dyDescent="0.15">
      <c r="A329" s="790"/>
      <c r="B329" s="791"/>
      <c r="C329" s="791"/>
      <c r="D329" s="791"/>
      <c r="E329" s="791"/>
      <c r="F329" s="791"/>
      <c r="G329" s="791"/>
      <c r="H329" s="791"/>
      <c r="I329" s="791"/>
      <c r="J329" s="791"/>
      <c r="K329" s="791"/>
      <c r="L329" s="791"/>
      <c r="M329" s="791"/>
      <c r="N329" s="791"/>
      <c r="O329" s="791"/>
      <c r="P329" s="791"/>
      <c r="Q329" s="792"/>
    </row>
    <row r="330" spans="1:17" s="126" customFormat="1" x14ac:dyDescent="0.15">
      <c r="A330" s="822" t="s">
        <v>150</v>
      </c>
      <c r="B330" s="823" t="s">
        <v>151</v>
      </c>
      <c r="C330" s="823"/>
      <c r="D330" s="802" t="s">
        <v>165</v>
      </c>
      <c r="E330" s="823" t="s">
        <v>152</v>
      </c>
      <c r="F330" s="823"/>
      <c r="G330" s="823"/>
      <c r="H330" s="802" t="s">
        <v>153</v>
      </c>
      <c r="I330" s="802" t="s">
        <v>479</v>
      </c>
      <c r="J330" s="804" t="s">
        <v>73</v>
      </c>
      <c r="K330" s="216" t="s">
        <v>154</v>
      </c>
      <c r="L330" s="123"/>
      <c r="M330" s="124"/>
      <c r="N330" s="124"/>
      <c r="O330" s="124"/>
      <c r="P330" s="124"/>
      <c r="Q330" s="125"/>
    </row>
    <row r="331" spans="1:17" s="130" customFormat="1" x14ac:dyDescent="0.15">
      <c r="A331" s="822"/>
      <c r="B331" s="823"/>
      <c r="C331" s="823"/>
      <c r="D331" s="803"/>
      <c r="E331" s="217" t="s">
        <v>155</v>
      </c>
      <c r="F331" s="217" t="s">
        <v>156</v>
      </c>
      <c r="G331" s="217" t="s">
        <v>157</v>
      </c>
      <c r="H331" s="803"/>
      <c r="I331" s="803"/>
      <c r="J331" s="805"/>
      <c r="K331" s="216" t="s">
        <v>158</v>
      </c>
      <c r="L331" s="127"/>
      <c r="M331" s="128"/>
      <c r="N331" s="128"/>
      <c r="O331" s="128"/>
      <c r="P331" s="128"/>
      <c r="Q331" s="129"/>
    </row>
    <row r="332" spans="1:17" customFormat="1" ht="19.5" customHeight="1" x14ac:dyDescent="0.15">
      <c r="A332" s="696" t="s">
        <v>247</v>
      </c>
      <c r="B332" s="856" t="s">
        <v>1452</v>
      </c>
      <c r="C332" s="857"/>
      <c r="D332" s="857"/>
      <c r="E332" s="857"/>
      <c r="F332" s="857"/>
      <c r="G332" s="857"/>
      <c r="H332" s="857"/>
      <c r="I332" s="857"/>
      <c r="J332" s="857"/>
      <c r="K332" s="858"/>
      <c r="L332" s="127"/>
      <c r="M332" s="128"/>
      <c r="N332" s="128"/>
      <c r="O332" s="128"/>
      <c r="P332" s="128"/>
      <c r="Q332" s="129"/>
    </row>
    <row r="333" spans="1:17" ht="14" x14ac:dyDescent="0.15">
      <c r="A333" s="148"/>
      <c r="B333" s="788" t="s">
        <v>1038</v>
      </c>
      <c r="C333" s="789"/>
      <c r="D333" s="143" t="s">
        <v>1508</v>
      </c>
      <c r="E333" s="143">
        <v>0</v>
      </c>
      <c r="F333" s="143">
        <v>0</v>
      </c>
      <c r="G333" s="143">
        <v>0</v>
      </c>
      <c r="H333" s="143">
        <v>1</v>
      </c>
      <c r="I333" s="143">
        <v>9</v>
      </c>
      <c r="J333" s="133" t="s">
        <v>319</v>
      </c>
      <c r="K333" s="143">
        <f>I333*H333</f>
        <v>9</v>
      </c>
      <c r="L333" s="127"/>
      <c r="M333" s="128"/>
      <c r="N333" s="128"/>
      <c r="O333" s="128"/>
      <c r="P333" s="128"/>
      <c r="Q333" s="129"/>
    </row>
    <row r="334" spans="1:17" ht="14" x14ac:dyDescent="0.15">
      <c r="A334" s="795" t="s">
        <v>149</v>
      </c>
      <c r="B334" s="817"/>
      <c r="C334" s="817"/>
      <c r="D334" s="817"/>
      <c r="E334" s="817"/>
      <c r="F334" s="817"/>
      <c r="G334" s="817"/>
      <c r="H334" s="817"/>
      <c r="I334" s="817"/>
      <c r="J334" s="796"/>
      <c r="K334" s="416">
        <f>SUM(K333:K333)</f>
        <v>9</v>
      </c>
      <c r="L334" s="134"/>
      <c r="M334" s="135"/>
      <c r="N334" s="135"/>
      <c r="O334" s="135"/>
      <c r="P334" s="135"/>
      <c r="Q334" s="136"/>
    </row>
    <row r="335" spans="1:17" x14ac:dyDescent="0.15">
      <c r="A335" s="790"/>
      <c r="B335" s="791"/>
      <c r="C335" s="791"/>
      <c r="D335" s="791"/>
      <c r="E335" s="791"/>
      <c r="F335" s="791"/>
      <c r="G335" s="791"/>
      <c r="H335" s="791"/>
      <c r="I335" s="791"/>
      <c r="J335" s="791"/>
      <c r="K335" s="791"/>
      <c r="L335" s="791"/>
      <c r="M335" s="791"/>
      <c r="N335" s="791"/>
      <c r="O335" s="791"/>
      <c r="P335" s="791"/>
      <c r="Q335" s="792"/>
    </row>
    <row r="336" spans="1:17" s="121" customFormat="1" ht="18" customHeight="1" x14ac:dyDescent="0.15">
      <c r="A336" s="218" t="s">
        <v>0</v>
      </c>
      <c r="B336" s="841" t="s">
        <v>1040</v>
      </c>
      <c r="C336" s="842"/>
      <c r="D336" s="842"/>
      <c r="E336" s="842"/>
      <c r="F336" s="842"/>
      <c r="G336" s="842"/>
      <c r="H336" s="842"/>
      <c r="I336" s="842"/>
      <c r="J336" s="842"/>
      <c r="K336" s="842"/>
      <c r="L336" s="842"/>
      <c r="M336" s="842"/>
      <c r="N336" s="842"/>
      <c r="O336" s="216" t="s">
        <v>73</v>
      </c>
      <c r="P336" s="795" t="s">
        <v>19</v>
      </c>
      <c r="Q336" s="796"/>
    </row>
    <row r="337" spans="1:17" x14ac:dyDescent="0.15">
      <c r="A337" s="790"/>
      <c r="B337" s="791"/>
      <c r="C337" s="791"/>
      <c r="D337" s="791"/>
      <c r="E337" s="791"/>
      <c r="F337" s="791"/>
      <c r="G337" s="791"/>
      <c r="H337" s="791"/>
      <c r="I337" s="791"/>
      <c r="J337" s="791"/>
      <c r="K337" s="791"/>
      <c r="L337" s="791"/>
      <c r="M337" s="791"/>
      <c r="N337" s="791"/>
      <c r="O337" s="791"/>
      <c r="P337" s="791"/>
      <c r="Q337" s="792"/>
    </row>
    <row r="338" spans="1:17" s="126" customFormat="1" x14ac:dyDescent="0.15">
      <c r="A338" s="822" t="s">
        <v>150</v>
      </c>
      <c r="B338" s="823" t="s">
        <v>151</v>
      </c>
      <c r="C338" s="823"/>
      <c r="D338" s="802" t="s">
        <v>165</v>
      </c>
      <c r="E338" s="823" t="s">
        <v>152</v>
      </c>
      <c r="F338" s="823"/>
      <c r="G338" s="823"/>
      <c r="H338" s="802" t="s">
        <v>153</v>
      </c>
      <c r="I338" s="802" t="s">
        <v>479</v>
      </c>
      <c r="J338" s="804" t="s">
        <v>73</v>
      </c>
      <c r="K338" s="216" t="s">
        <v>154</v>
      </c>
      <c r="L338" s="123"/>
      <c r="M338" s="124"/>
      <c r="N338" s="124"/>
      <c r="O338" s="124"/>
      <c r="P338" s="124"/>
      <c r="Q338" s="125"/>
    </row>
    <row r="339" spans="1:17" s="130" customFormat="1" x14ac:dyDescent="0.15">
      <c r="A339" s="822"/>
      <c r="B339" s="823"/>
      <c r="C339" s="823"/>
      <c r="D339" s="803"/>
      <c r="E339" s="217" t="s">
        <v>155</v>
      </c>
      <c r="F339" s="217" t="s">
        <v>156</v>
      </c>
      <c r="G339" s="217" t="s">
        <v>157</v>
      </c>
      <c r="H339" s="803"/>
      <c r="I339" s="803"/>
      <c r="J339" s="805"/>
      <c r="K339" s="216" t="s">
        <v>158</v>
      </c>
      <c r="L339" s="127"/>
      <c r="M339" s="128"/>
      <c r="N339" s="128"/>
      <c r="O339" s="128"/>
      <c r="P339" s="128"/>
      <c r="Q339" s="129"/>
    </row>
    <row r="340" spans="1:17" customFormat="1" ht="19.5" customHeight="1" x14ac:dyDescent="0.15">
      <c r="A340" s="696" t="s">
        <v>247</v>
      </c>
      <c r="B340" s="856" t="s">
        <v>1452</v>
      </c>
      <c r="C340" s="857"/>
      <c r="D340" s="857"/>
      <c r="E340" s="857"/>
      <c r="F340" s="857"/>
      <c r="G340" s="857"/>
      <c r="H340" s="857"/>
      <c r="I340" s="857"/>
      <c r="J340" s="857"/>
      <c r="K340" s="858"/>
      <c r="L340" s="127"/>
      <c r="M340" s="128"/>
      <c r="N340" s="128"/>
      <c r="O340" s="128"/>
      <c r="P340" s="128"/>
      <c r="Q340" s="129"/>
    </row>
    <row r="341" spans="1:17" ht="27.75" customHeight="1" x14ac:dyDescent="0.15">
      <c r="A341" s="148"/>
      <c r="B341" s="788" t="s">
        <v>1038</v>
      </c>
      <c r="C341" s="789"/>
      <c r="D341" s="143" t="s">
        <v>19</v>
      </c>
      <c r="E341" s="143">
        <v>0</v>
      </c>
      <c r="F341" s="143">
        <v>0</v>
      </c>
      <c r="G341" s="143">
        <v>0</v>
      </c>
      <c r="H341" s="143">
        <v>1</v>
      </c>
      <c r="I341" s="143">
        <v>1</v>
      </c>
      <c r="J341" s="133" t="s">
        <v>19</v>
      </c>
      <c r="K341" s="143">
        <f>I341*H341</f>
        <v>1</v>
      </c>
      <c r="L341" s="127"/>
      <c r="M341" s="128"/>
      <c r="N341" s="128"/>
      <c r="O341" s="128"/>
      <c r="P341" s="128"/>
      <c r="Q341" s="129"/>
    </row>
    <row r="342" spans="1:17" ht="14" x14ac:dyDescent="0.15">
      <c r="A342" s="795" t="s">
        <v>149</v>
      </c>
      <c r="B342" s="817"/>
      <c r="C342" s="817"/>
      <c r="D342" s="817"/>
      <c r="E342" s="817"/>
      <c r="F342" s="817"/>
      <c r="G342" s="817"/>
      <c r="H342" s="817"/>
      <c r="I342" s="817"/>
      <c r="J342" s="796"/>
      <c r="K342" s="416">
        <f>SUM(K341:K341)</f>
        <v>1</v>
      </c>
      <c r="L342" s="134"/>
      <c r="M342" s="135"/>
      <c r="N342" s="135"/>
      <c r="O342" s="135"/>
      <c r="P342" s="135"/>
      <c r="Q342" s="136"/>
    </row>
    <row r="343" spans="1:17" x14ac:dyDescent="0.15">
      <c r="A343" s="790"/>
      <c r="B343" s="791"/>
      <c r="C343" s="791"/>
      <c r="D343" s="791"/>
      <c r="E343" s="791"/>
      <c r="F343" s="791"/>
      <c r="G343" s="791"/>
      <c r="H343" s="791"/>
      <c r="I343" s="791"/>
      <c r="J343" s="791"/>
      <c r="K343" s="791"/>
      <c r="L343" s="791"/>
      <c r="M343" s="791"/>
      <c r="N343" s="791"/>
      <c r="O343" s="791"/>
      <c r="P343" s="791"/>
      <c r="Q343" s="792"/>
    </row>
    <row r="344" spans="1:17" s="121" customFormat="1" ht="18" customHeight="1" x14ac:dyDescent="0.15">
      <c r="A344" s="218" t="s">
        <v>0</v>
      </c>
      <c r="B344" s="841" t="s">
        <v>1153</v>
      </c>
      <c r="C344" s="842"/>
      <c r="D344" s="842"/>
      <c r="E344" s="842"/>
      <c r="F344" s="842"/>
      <c r="G344" s="842"/>
      <c r="H344" s="842"/>
      <c r="I344" s="842"/>
      <c r="J344" s="842"/>
      <c r="K344" s="842"/>
      <c r="L344" s="842"/>
      <c r="M344" s="842"/>
      <c r="N344" s="842"/>
      <c r="O344" s="216" t="s">
        <v>73</v>
      </c>
      <c r="P344" s="795" t="s">
        <v>319</v>
      </c>
      <c r="Q344" s="796"/>
    </row>
    <row r="345" spans="1:17" x14ac:dyDescent="0.15">
      <c r="A345" s="790"/>
      <c r="B345" s="791"/>
      <c r="C345" s="791"/>
      <c r="D345" s="791"/>
      <c r="E345" s="791"/>
      <c r="F345" s="791"/>
      <c r="G345" s="791"/>
      <c r="H345" s="791"/>
      <c r="I345" s="791"/>
      <c r="J345" s="791"/>
      <c r="K345" s="791"/>
      <c r="L345" s="791"/>
      <c r="M345" s="791"/>
      <c r="N345" s="791"/>
      <c r="O345" s="791"/>
      <c r="P345" s="791"/>
      <c r="Q345" s="792"/>
    </row>
    <row r="346" spans="1:17" s="126" customFormat="1" ht="12.75" customHeight="1" x14ac:dyDescent="0.15">
      <c r="A346" s="822" t="s">
        <v>150</v>
      </c>
      <c r="B346" s="823" t="s">
        <v>151</v>
      </c>
      <c r="C346" s="823"/>
      <c r="D346" s="802"/>
      <c r="E346" s="823" t="s">
        <v>152</v>
      </c>
      <c r="F346" s="823"/>
      <c r="G346" s="823"/>
      <c r="H346" s="802" t="s">
        <v>153</v>
      </c>
      <c r="I346" s="802" t="s">
        <v>479</v>
      </c>
      <c r="J346" s="804" t="s">
        <v>73</v>
      </c>
      <c r="K346" s="216" t="s">
        <v>154</v>
      </c>
      <c r="L346" s="123"/>
      <c r="M346" s="124"/>
      <c r="N346" s="124"/>
      <c r="O346" s="124"/>
      <c r="P346" s="124"/>
      <c r="Q346" s="125"/>
    </row>
    <row r="347" spans="1:17" s="130" customFormat="1" x14ac:dyDescent="0.15">
      <c r="A347" s="822"/>
      <c r="B347" s="823"/>
      <c r="C347" s="823"/>
      <c r="D347" s="803"/>
      <c r="E347" s="217" t="s">
        <v>155</v>
      </c>
      <c r="F347" s="217" t="s">
        <v>156</v>
      </c>
      <c r="G347" s="217" t="s">
        <v>157</v>
      </c>
      <c r="H347" s="803"/>
      <c r="I347" s="803"/>
      <c r="J347" s="805"/>
      <c r="K347" s="216" t="s">
        <v>158</v>
      </c>
      <c r="L347" s="127"/>
      <c r="M347" s="128"/>
      <c r="N347" s="128"/>
      <c r="O347" s="128"/>
      <c r="P347" s="128"/>
      <c r="Q347" s="129"/>
    </row>
    <row r="348" spans="1:17" customFormat="1" ht="19.5" customHeight="1" x14ac:dyDescent="0.15">
      <c r="A348" s="696" t="s">
        <v>185</v>
      </c>
      <c r="B348" s="856" t="s">
        <v>1437</v>
      </c>
      <c r="C348" s="857"/>
      <c r="D348" s="857"/>
      <c r="E348" s="857"/>
      <c r="F348" s="857"/>
      <c r="G348" s="857"/>
      <c r="H348" s="857"/>
      <c r="I348" s="857"/>
      <c r="J348" s="857"/>
      <c r="K348" s="858"/>
      <c r="L348" s="127"/>
      <c r="M348" s="128"/>
      <c r="N348" s="128"/>
      <c r="O348" s="128"/>
      <c r="P348" s="128"/>
      <c r="Q348" s="129"/>
    </row>
    <row r="349" spans="1:17" ht="28.5" customHeight="1" x14ac:dyDescent="0.15">
      <c r="A349" s="148"/>
      <c r="B349" s="788" t="s">
        <v>1155</v>
      </c>
      <c r="C349" s="789"/>
      <c r="D349" s="143"/>
      <c r="E349" s="143">
        <v>0.6</v>
      </c>
      <c r="F349" s="143">
        <v>0.4</v>
      </c>
      <c r="G349" s="143">
        <v>0.15</v>
      </c>
      <c r="H349" s="143">
        <v>1</v>
      </c>
      <c r="I349" s="143">
        <v>2</v>
      </c>
      <c r="J349" s="133" t="s">
        <v>319</v>
      </c>
      <c r="K349" s="143">
        <f>I349*H349</f>
        <v>2</v>
      </c>
      <c r="L349" s="127"/>
      <c r="M349" s="128"/>
      <c r="N349" s="128"/>
      <c r="O349" s="128"/>
      <c r="P349" s="128"/>
      <c r="Q349" s="129"/>
    </row>
    <row r="350" spans="1:17" ht="14" x14ac:dyDescent="0.15">
      <c r="A350" s="795" t="s">
        <v>149</v>
      </c>
      <c r="B350" s="817"/>
      <c r="C350" s="817"/>
      <c r="D350" s="817"/>
      <c r="E350" s="817"/>
      <c r="F350" s="817"/>
      <c r="G350" s="817"/>
      <c r="H350" s="817"/>
      <c r="I350" s="817"/>
      <c r="J350" s="796"/>
      <c r="K350" s="416">
        <f>SUM(K349:K349)</f>
        <v>2</v>
      </c>
      <c r="L350" s="134"/>
      <c r="M350" s="135"/>
      <c r="N350" s="135"/>
      <c r="O350" s="135"/>
      <c r="P350" s="135"/>
      <c r="Q350" s="136"/>
    </row>
    <row r="351" spans="1:17" x14ac:dyDescent="0.15">
      <c r="A351" s="790"/>
      <c r="B351" s="791"/>
      <c r="C351" s="791"/>
      <c r="D351" s="791"/>
      <c r="E351" s="791"/>
      <c r="F351" s="791"/>
      <c r="G351" s="791"/>
      <c r="H351" s="791"/>
      <c r="I351" s="791"/>
      <c r="J351" s="791"/>
      <c r="K351" s="791"/>
      <c r="L351" s="791"/>
      <c r="M351" s="791"/>
      <c r="N351" s="791"/>
      <c r="O351" s="791"/>
      <c r="P351" s="791"/>
      <c r="Q351" s="792"/>
    </row>
    <row r="352" spans="1:17" s="121" customFormat="1" ht="18" customHeight="1" x14ac:dyDescent="0.15">
      <c r="A352" s="218" t="s">
        <v>0</v>
      </c>
      <c r="B352" s="841" t="s">
        <v>1493</v>
      </c>
      <c r="C352" s="842"/>
      <c r="D352" s="842"/>
      <c r="E352" s="842"/>
      <c r="F352" s="842"/>
      <c r="G352" s="842"/>
      <c r="H352" s="842"/>
      <c r="I352" s="842"/>
      <c r="J352" s="842"/>
      <c r="K352" s="842"/>
      <c r="L352" s="842"/>
      <c r="M352" s="842"/>
      <c r="N352" s="842"/>
      <c r="O352" s="216" t="s">
        <v>73</v>
      </c>
      <c r="P352" s="795" t="s">
        <v>319</v>
      </c>
      <c r="Q352" s="796"/>
    </row>
    <row r="353" spans="1:17" x14ac:dyDescent="0.15">
      <c r="A353" s="790"/>
      <c r="B353" s="791"/>
      <c r="C353" s="791"/>
      <c r="D353" s="791"/>
      <c r="E353" s="791"/>
      <c r="F353" s="791"/>
      <c r="G353" s="791"/>
      <c r="H353" s="791"/>
      <c r="I353" s="791"/>
      <c r="J353" s="791"/>
      <c r="K353" s="791"/>
      <c r="L353" s="791"/>
      <c r="M353" s="791"/>
      <c r="N353" s="791"/>
      <c r="O353" s="791"/>
      <c r="P353" s="791"/>
      <c r="Q353" s="792"/>
    </row>
    <row r="354" spans="1:17" s="126" customFormat="1" ht="12.75" customHeight="1" x14ac:dyDescent="0.15">
      <c r="A354" s="822" t="s">
        <v>150</v>
      </c>
      <c r="B354" s="823" t="s">
        <v>151</v>
      </c>
      <c r="C354" s="823"/>
      <c r="D354" s="802"/>
      <c r="E354" s="823" t="s">
        <v>152</v>
      </c>
      <c r="F354" s="823"/>
      <c r="G354" s="823"/>
      <c r="H354" s="802" t="s">
        <v>153</v>
      </c>
      <c r="I354" s="802" t="s">
        <v>479</v>
      </c>
      <c r="J354" s="804" t="s">
        <v>73</v>
      </c>
      <c r="K354" s="216" t="s">
        <v>154</v>
      </c>
      <c r="L354" s="123"/>
      <c r="M354" s="124"/>
      <c r="N354" s="124"/>
      <c r="O354" s="124"/>
      <c r="P354" s="124"/>
      <c r="Q354" s="125"/>
    </row>
    <row r="355" spans="1:17" s="130" customFormat="1" x14ac:dyDescent="0.15">
      <c r="A355" s="822"/>
      <c r="B355" s="823"/>
      <c r="C355" s="823"/>
      <c r="D355" s="803"/>
      <c r="E355" s="217" t="s">
        <v>155</v>
      </c>
      <c r="F355" s="217" t="s">
        <v>156</v>
      </c>
      <c r="G355" s="217" t="s">
        <v>157</v>
      </c>
      <c r="H355" s="803"/>
      <c r="I355" s="803"/>
      <c r="J355" s="805"/>
      <c r="K355" s="216" t="s">
        <v>158</v>
      </c>
      <c r="L355" s="127"/>
      <c r="M355" s="128"/>
      <c r="N355" s="128"/>
      <c r="O355" s="128"/>
      <c r="P355" s="128"/>
      <c r="Q355" s="129"/>
    </row>
    <row r="356" spans="1:17" customFormat="1" ht="19.5" customHeight="1" x14ac:dyDescent="0.15">
      <c r="A356" s="696" t="s">
        <v>185</v>
      </c>
      <c r="B356" s="856" t="s">
        <v>1437</v>
      </c>
      <c r="C356" s="857"/>
      <c r="D356" s="857"/>
      <c r="E356" s="857"/>
      <c r="F356" s="857"/>
      <c r="G356" s="857"/>
      <c r="H356" s="857"/>
      <c r="I356" s="857"/>
      <c r="J356" s="857"/>
      <c r="K356" s="858"/>
      <c r="L356" s="127"/>
      <c r="M356" s="128"/>
      <c r="N356" s="128"/>
      <c r="O356" s="128"/>
      <c r="P356" s="128"/>
      <c r="Q356" s="129"/>
    </row>
    <row r="357" spans="1:17" ht="28.5" customHeight="1" x14ac:dyDescent="0.15">
      <c r="A357" s="148"/>
      <c r="B357" s="788" t="s">
        <v>1494</v>
      </c>
      <c r="C357" s="789"/>
      <c r="D357" s="143"/>
      <c r="E357" s="143">
        <v>80</v>
      </c>
      <c r="F357" s="143">
        <v>60</v>
      </c>
      <c r="G357" s="143">
        <v>20</v>
      </c>
      <c r="H357" s="143">
        <v>1</v>
      </c>
      <c r="I357" s="143">
        <v>1</v>
      </c>
      <c r="J357" s="133" t="s">
        <v>319</v>
      </c>
      <c r="K357" s="143">
        <f>I357*H357</f>
        <v>1</v>
      </c>
      <c r="L357" s="127"/>
      <c r="M357" s="128"/>
      <c r="N357" s="128"/>
      <c r="O357" s="128"/>
      <c r="P357" s="128"/>
      <c r="Q357" s="129"/>
    </row>
    <row r="358" spans="1:17" ht="14" x14ac:dyDescent="0.15">
      <c r="A358" s="795" t="s">
        <v>149</v>
      </c>
      <c r="B358" s="817"/>
      <c r="C358" s="817"/>
      <c r="D358" s="817"/>
      <c r="E358" s="817"/>
      <c r="F358" s="817"/>
      <c r="G358" s="817"/>
      <c r="H358" s="817"/>
      <c r="I358" s="817"/>
      <c r="J358" s="796"/>
      <c r="K358" s="416">
        <f>SUM(K357:K357)</f>
        <v>1</v>
      </c>
      <c r="L358" s="134"/>
      <c r="M358" s="135"/>
      <c r="N358" s="135"/>
      <c r="O358" s="135"/>
      <c r="P358" s="135"/>
      <c r="Q358" s="136"/>
    </row>
    <row r="359" spans="1:17" x14ac:dyDescent="0.15">
      <c r="A359" s="790"/>
      <c r="B359" s="791"/>
      <c r="C359" s="791"/>
      <c r="D359" s="791"/>
      <c r="E359" s="791"/>
      <c r="F359" s="791"/>
      <c r="G359" s="791"/>
      <c r="H359" s="791"/>
      <c r="I359" s="791"/>
      <c r="J359" s="791"/>
      <c r="K359" s="791"/>
      <c r="L359" s="791"/>
      <c r="M359" s="791"/>
      <c r="N359" s="791"/>
      <c r="O359" s="791"/>
      <c r="P359" s="791"/>
      <c r="Q359" s="792"/>
    </row>
    <row r="360" spans="1:17" s="121" customFormat="1" ht="18" customHeight="1" x14ac:dyDescent="0.15">
      <c r="A360" s="218" t="s">
        <v>0</v>
      </c>
      <c r="B360" s="793" t="s">
        <v>1382</v>
      </c>
      <c r="C360" s="794"/>
      <c r="D360" s="794"/>
      <c r="E360" s="794"/>
      <c r="F360" s="794"/>
      <c r="G360" s="794"/>
      <c r="H360" s="794"/>
      <c r="I360" s="794"/>
      <c r="J360" s="794"/>
      <c r="K360" s="794"/>
      <c r="L360" s="794"/>
      <c r="M360" s="794"/>
      <c r="N360" s="821"/>
      <c r="O360" s="216" t="s">
        <v>73</v>
      </c>
      <c r="P360" s="795" t="s">
        <v>5</v>
      </c>
      <c r="Q360" s="796"/>
    </row>
    <row r="361" spans="1:17" x14ac:dyDescent="0.15">
      <c r="A361" s="790"/>
      <c r="B361" s="791"/>
      <c r="C361" s="791"/>
      <c r="D361" s="791"/>
      <c r="E361" s="791"/>
      <c r="F361" s="791"/>
      <c r="G361" s="791"/>
      <c r="H361" s="791"/>
      <c r="I361" s="791"/>
      <c r="J361" s="791"/>
      <c r="K361" s="791"/>
      <c r="L361" s="791"/>
      <c r="M361" s="791"/>
      <c r="N361" s="791"/>
      <c r="O361" s="791"/>
      <c r="P361" s="791"/>
      <c r="Q361" s="122"/>
    </row>
    <row r="362" spans="1:17" s="126" customFormat="1" ht="12.75" customHeight="1" x14ac:dyDescent="0.15">
      <c r="A362" s="822" t="s">
        <v>150</v>
      </c>
      <c r="B362" s="823" t="s">
        <v>151</v>
      </c>
      <c r="C362" s="823"/>
      <c r="D362" s="832" t="s">
        <v>241</v>
      </c>
      <c r="E362" s="823" t="s">
        <v>152</v>
      </c>
      <c r="F362" s="823"/>
      <c r="G362" s="823"/>
      <c r="H362" s="802" t="s">
        <v>153</v>
      </c>
      <c r="I362" s="802" t="s">
        <v>159</v>
      </c>
      <c r="J362" s="804" t="s">
        <v>73</v>
      </c>
      <c r="K362" s="216" t="s">
        <v>154</v>
      </c>
      <c r="L362" s="123"/>
      <c r="M362" s="124"/>
      <c r="N362" s="124"/>
      <c r="O362" s="124"/>
      <c r="P362" s="124"/>
      <c r="Q362" s="125"/>
    </row>
    <row r="363" spans="1:17" s="130" customFormat="1" ht="14" x14ac:dyDescent="0.15">
      <c r="A363" s="822"/>
      <c r="B363" s="823"/>
      <c r="C363" s="823"/>
      <c r="D363" s="833"/>
      <c r="E363" s="217" t="s">
        <v>155</v>
      </c>
      <c r="F363" s="220" t="s">
        <v>572</v>
      </c>
      <c r="G363" s="217" t="s">
        <v>157</v>
      </c>
      <c r="H363" s="803"/>
      <c r="I363" s="803"/>
      <c r="J363" s="805"/>
      <c r="K363" s="216" t="s">
        <v>158</v>
      </c>
      <c r="L363" s="127"/>
      <c r="M363" s="128"/>
      <c r="N363" s="128"/>
      <c r="O363" s="128"/>
      <c r="P363" s="128"/>
      <c r="Q363" s="129"/>
    </row>
    <row r="364" spans="1:17" customFormat="1" ht="19.5" customHeight="1" x14ac:dyDescent="0.15">
      <c r="A364" s="696" t="s">
        <v>185</v>
      </c>
      <c r="B364" s="856" t="s">
        <v>1437</v>
      </c>
      <c r="C364" s="857"/>
      <c r="D364" s="857"/>
      <c r="E364" s="857"/>
      <c r="F364" s="857"/>
      <c r="G364" s="857"/>
      <c r="H364" s="857"/>
      <c r="I364" s="857"/>
      <c r="J364" s="857"/>
      <c r="K364" s="858"/>
      <c r="L364" s="127"/>
      <c r="M364" s="128"/>
      <c r="N364" s="128"/>
      <c r="O364" s="128"/>
      <c r="P364" s="128"/>
      <c r="Q364" s="129"/>
    </row>
    <row r="365" spans="1:17" ht="18.75" customHeight="1" x14ac:dyDescent="0.15">
      <c r="A365" s="148"/>
      <c r="B365" s="815" t="s">
        <v>1463</v>
      </c>
      <c r="C365" s="816"/>
      <c r="D365" s="143">
        <v>5</v>
      </c>
      <c r="E365" s="143">
        <v>0</v>
      </c>
      <c r="F365" s="143">
        <v>0</v>
      </c>
      <c r="G365" s="143">
        <v>0</v>
      </c>
      <c r="H365" s="143">
        <v>1</v>
      </c>
      <c r="I365" s="143">
        <f>D365</f>
        <v>5</v>
      </c>
      <c r="J365" s="133" t="s">
        <v>5</v>
      </c>
      <c r="K365" s="143">
        <f>I365*H365</f>
        <v>5</v>
      </c>
      <c r="L365" s="127"/>
      <c r="M365" s="128"/>
      <c r="N365" s="128"/>
      <c r="O365" s="128"/>
      <c r="P365" s="128"/>
      <c r="Q365" s="129"/>
    </row>
    <row r="366" spans="1:17" ht="18.75" customHeight="1" x14ac:dyDescent="0.15">
      <c r="A366" s="148"/>
      <c r="B366" s="788" t="s">
        <v>1470</v>
      </c>
      <c r="C366" s="789"/>
      <c r="D366" s="143">
        <v>2.5</v>
      </c>
      <c r="E366" s="143">
        <v>0</v>
      </c>
      <c r="F366" s="143">
        <v>0</v>
      </c>
      <c r="G366" s="143">
        <v>0</v>
      </c>
      <c r="H366" s="143">
        <v>1</v>
      </c>
      <c r="I366" s="143">
        <f t="shared" ref="I366:I370" si="38">D366</f>
        <v>2.5</v>
      </c>
      <c r="J366" s="133" t="s">
        <v>5</v>
      </c>
      <c r="K366" s="143">
        <f t="shared" ref="K366:K370" si="39">I366*H366</f>
        <v>2.5</v>
      </c>
      <c r="L366" s="127"/>
      <c r="M366" s="128"/>
      <c r="N366" s="128"/>
      <c r="O366" s="128"/>
      <c r="P366" s="128"/>
      <c r="Q366" s="129"/>
    </row>
    <row r="367" spans="1:17" ht="18.75" customHeight="1" x14ac:dyDescent="0.15">
      <c r="A367" s="148"/>
      <c r="B367" s="788" t="s">
        <v>1471</v>
      </c>
      <c r="C367" s="789"/>
      <c r="D367" s="143">
        <v>2</v>
      </c>
      <c r="E367" s="143">
        <v>0</v>
      </c>
      <c r="F367" s="143">
        <v>0</v>
      </c>
      <c r="G367" s="143">
        <v>0</v>
      </c>
      <c r="H367" s="143">
        <v>1</v>
      </c>
      <c r="I367" s="143">
        <f t="shared" si="38"/>
        <v>2</v>
      </c>
      <c r="J367" s="133" t="s">
        <v>5</v>
      </c>
      <c r="K367" s="143">
        <f t="shared" si="39"/>
        <v>2</v>
      </c>
      <c r="L367" s="127"/>
      <c r="M367" s="128"/>
      <c r="N367" s="128"/>
      <c r="O367" s="128"/>
      <c r="P367" s="128"/>
      <c r="Q367" s="129"/>
    </row>
    <row r="368" spans="1:17" ht="18.75" customHeight="1" x14ac:dyDescent="0.15">
      <c r="A368" s="148"/>
      <c r="B368" s="788" t="s">
        <v>1474</v>
      </c>
      <c r="C368" s="789"/>
      <c r="D368" s="143">
        <v>2.5</v>
      </c>
      <c r="E368" s="143">
        <v>0</v>
      </c>
      <c r="F368" s="143">
        <v>0</v>
      </c>
      <c r="G368" s="143">
        <v>0</v>
      </c>
      <c r="H368" s="143">
        <v>1</v>
      </c>
      <c r="I368" s="143">
        <f t="shared" si="38"/>
        <v>2.5</v>
      </c>
      <c r="J368" s="133" t="s">
        <v>5</v>
      </c>
      <c r="K368" s="143">
        <f t="shared" si="39"/>
        <v>2.5</v>
      </c>
      <c r="L368" s="127"/>
      <c r="M368" s="128"/>
      <c r="N368" s="128"/>
      <c r="O368" s="128"/>
      <c r="P368" s="128"/>
      <c r="Q368" s="129"/>
    </row>
    <row r="369" spans="1:17" ht="18.75" customHeight="1" x14ac:dyDescent="0.15">
      <c r="A369" s="148"/>
      <c r="B369" s="788" t="s">
        <v>1496</v>
      </c>
      <c r="C369" s="789"/>
      <c r="D369" s="143">
        <v>3</v>
      </c>
      <c r="E369" s="143">
        <v>0</v>
      </c>
      <c r="F369" s="143">
        <v>0</v>
      </c>
      <c r="G369" s="143">
        <v>0</v>
      </c>
      <c r="H369" s="143">
        <v>1</v>
      </c>
      <c r="I369" s="143">
        <f t="shared" si="38"/>
        <v>3</v>
      </c>
      <c r="J369" s="133" t="s">
        <v>5</v>
      </c>
      <c r="K369" s="143">
        <f t="shared" si="39"/>
        <v>3</v>
      </c>
      <c r="L369" s="127"/>
      <c r="M369" s="128"/>
      <c r="N369" s="128"/>
      <c r="O369" s="128"/>
      <c r="P369" s="128"/>
      <c r="Q369" s="129"/>
    </row>
    <row r="370" spans="1:17" ht="18.75" customHeight="1" x14ac:dyDescent="0.15">
      <c r="A370" s="148"/>
      <c r="B370" s="788" t="s">
        <v>1497</v>
      </c>
      <c r="C370" s="789"/>
      <c r="D370" s="143">
        <v>2.1</v>
      </c>
      <c r="E370" s="143">
        <v>0</v>
      </c>
      <c r="F370" s="143">
        <v>0</v>
      </c>
      <c r="G370" s="143">
        <v>0</v>
      </c>
      <c r="H370" s="143">
        <v>1</v>
      </c>
      <c r="I370" s="143">
        <f t="shared" si="38"/>
        <v>2.1</v>
      </c>
      <c r="J370" s="133" t="s">
        <v>5</v>
      </c>
      <c r="K370" s="143">
        <f t="shared" si="39"/>
        <v>2.1</v>
      </c>
      <c r="L370" s="127"/>
      <c r="M370" s="128"/>
      <c r="N370" s="128"/>
      <c r="O370" s="128"/>
      <c r="P370" s="128"/>
      <c r="Q370" s="129"/>
    </row>
    <row r="371" spans="1:17" ht="14" x14ac:dyDescent="0.15">
      <c r="A371" s="795" t="s">
        <v>149</v>
      </c>
      <c r="B371" s="817"/>
      <c r="C371" s="817"/>
      <c r="D371" s="817"/>
      <c r="E371" s="817"/>
      <c r="F371" s="817"/>
      <c r="G371" s="817"/>
      <c r="H371" s="817"/>
      <c r="I371" s="817"/>
      <c r="J371" s="796"/>
      <c r="K371" s="416">
        <f>SUM(K365:K370)</f>
        <v>17.100000000000001</v>
      </c>
      <c r="L371" s="134"/>
      <c r="M371" s="135"/>
      <c r="N371" s="135"/>
      <c r="O371" s="135"/>
      <c r="P371" s="135"/>
      <c r="Q371" s="136"/>
    </row>
    <row r="372" spans="1:17" x14ac:dyDescent="0.15">
      <c r="A372" s="790"/>
      <c r="B372" s="791"/>
      <c r="C372" s="791"/>
      <c r="D372" s="791"/>
      <c r="E372" s="791"/>
      <c r="F372" s="791"/>
      <c r="G372" s="791"/>
      <c r="H372" s="791"/>
      <c r="I372" s="791"/>
      <c r="J372" s="791"/>
      <c r="K372" s="791"/>
      <c r="L372" s="791"/>
      <c r="M372" s="791"/>
      <c r="N372" s="791"/>
      <c r="O372" s="791"/>
      <c r="P372" s="791"/>
      <c r="Q372" s="792"/>
    </row>
    <row r="373" spans="1:17" s="121" customFormat="1" ht="18" customHeight="1" x14ac:dyDescent="0.15">
      <c r="A373" s="218" t="s">
        <v>0</v>
      </c>
      <c r="B373" s="838" t="s">
        <v>1220</v>
      </c>
      <c r="C373" s="839"/>
      <c r="D373" s="839"/>
      <c r="E373" s="839"/>
      <c r="F373" s="839"/>
      <c r="G373" s="839"/>
      <c r="H373" s="839"/>
      <c r="I373" s="839"/>
      <c r="J373" s="839"/>
      <c r="K373" s="839"/>
      <c r="L373" s="839"/>
      <c r="M373" s="839"/>
      <c r="N373" s="839"/>
      <c r="O373" s="216" t="s">
        <v>73</v>
      </c>
      <c r="P373" s="795" t="s">
        <v>5</v>
      </c>
      <c r="Q373" s="796"/>
    </row>
    <row r="374" spans="1:17" x14ac:dyDescent="0.15">
      <c r="A374" s="790"/>
      <c r="B374" s="791"/>
      <c r="C374" s="791"/>
      <c r="D374" s="791"/>
      <c r="E374" s="791"/>
      <c r="F374" s="791"/>
      <c r="G374" s="791"/>
      <c r="H374" s="791"/>
      <c r="I374" s="791"/>
      <c r="J374" s="791"/>
      <c r="K374" s="791"/>
      <c r="L374" s="791"/>
      <c r="M374" s="791"/>
      <c r="N374" s="791"/>
      <c r="O374" s="791"/>
      <c r="P374" s="791"/>
      <c r="Q374" s="792"/>
    </row>
    <row r="375" spans="1:17" s="126" customFormat="1" ht="12.75" customHeight="1" x14ac:dyDescent="0.15">
      <c r="A375" s="822" t="s">
        <v>150</v>
      </c>
      <c r="B375" s="823" t="s">
        <v>151</v>
      </c>
      <c r="C375" s="823"/>
      <c r="D375" s="832" t="s">
        <v>241</v>
      </c>
      <c r="E375" s="823" t="s">
        <v>152</v>
      </c>
      <c r="F375" s="823"/>
      <c r="G375" s="823"/>
      <c r="H375" s="802" t="s">
        <v>153</v>
      </c>
      <c r="I375" s="802" t="s">
        <v>159</v>
      </c>
      <c r="J375" s="804" t="s">
        <v>73</v>
      </c>
      <c r="K375" s="216" t="s">
        <v>154</v>
      </c>
      <c r="L375" s="123"/>
      <c r="M375" s="124"/>
      <c r="N375" s="124"/>
      <c r="O375" s="124"/>
      <c r="P375" s="124"/>
      <c r="Q375" s="125"/>
    </row>
    <row r="376" spans="1:17" s="130" customFormat="1" x14ac:dyDescent="0.15">
      <c r="A376" s="822"/>
      <c r="B376" s="823"/>
      <c r="C376" s="823"/>
      <c r="D376" s="833"/>
      <c r="E376" s="217" t="s">
        <v>155</v>
      </c>
      <c r="F376" s="217" t="s">
        <v>156</v>
      </c>
      <c r="G376" s="217" t="s">
        <v>157</v>
      </c>
      <c r="H376" s="803"/>
      <c r="I376" s="803"/>
      <c r="J376" s="805"/>
      <c r="K376" s="216" t="s">
        <v>158</v>
      </c>
      <c r="L376" s="127"/>
      <c r="M376" s="128"/>
      <c r="N376" s="128"/>
      <c r="O376" s="128"/>
      <c r="P376" s="128"/>
      <c r="Q376" s="129"/>
    </row>
    <row r="377" spans="1:17" customFormat="1" ht="19.5" customHeight="1" x14ac:dyDescent="0.15">
      <c r="A377" s="696" t="s">
        <v>185</v>
      </c>
      <c r="B377" s="856" t="s">
        <v>1437</v>
      </c>
      <c r="C377" s="857"/>
      <c r="D377" s="857"/>
      <c r="E377" s="857"/>
      <c r="F377" s="857"/>
      <c r="G377" s="857"/>
      <c r="H377" s="857"/>
      <c r="I377" s="857"/>
      <c r="J377" s="857"/>
      <c r="K377" s="858"/>
      <c r="L377" s="127"/>
      <c r="M377" s="128"/>
      <c r="N377" s="128"/>
      <c r="O377" s="128"/>
      <c r="P377" s="128"/>
      <c r="Q377" s="129"/>
    </row>
    <row r="378" spans="1:17" ht="21.75" customHeight="1" x14ac:dyDescent="0.15">
      <c r="A378" s="148"/>
      <c r="B378" s="788" t="s">
        <v>1442</v>
      </c>
      <c r="C378" s="789"/>
      <c r="D378" s="143">
        <v>2</v>
      </c>
      <c r="E378" s="143">
        <v>0</v>
      </c>
      <c r="F378" s="143">
        <v>0</v>
      </c>
      <c r="G378" s="143">
        <v>0</v>
      </c>
      <c r="H378" s="143">
        <v>1</v>
      </c>
      <c r="I378" s="143">
        <f t="shared" ref="I378:I383" si="40">D378</f>
        <v>2</v>
      </c>
      <c r="J378" s="133" t="s">
        <v>5</v>
      </c>
      <c r="K378" s="143">
        <f t="shared" ref="K378:K383" si="41">I378*H378</f>
        <v>2</v>
      </c>
      <c r="L378" s="127"/>
      <c r="M378" s="128"/>
      <c r="N378" s="128"/>
      <c r="O378" s="128"/>
      <c r="P378" s="128"/>
      <c r="Q378" s="129"/>
    </row>
    <row r="379" spans="1:17" ht="21.75" customHeight="1" x14ac:dyDescent="0.15">
      <c r="A379" s="148"/>
      <c r="B379" s="788" t="s">
        <v>1461</v>
      </c>
      <c r="C379" s="789"/>
      <c r="D379" s="143">
        <v>2</v>
      </c>
      <c r="E379" s="143">
        <v>0</v>
      </c>
      <c r="F379" s="143">
        <v>0</v>
      </c>
      <c r="G379" s="143">
        <v>0</v>
      </c>
      <c r="H379" s="143">
        <v>1</v>
      </c>
      <c r="I379" s="143">
        <f t="shared" si="40"/>
        <v>2</v>
      </c>
      <c r="J379" s="133" t="s">
        <v>5</v>
      </c>
      <c r="K379" s="143">
        <f t="shared" si="41"/>
        <v>2</v>
      </c>
      <c r="L379" s="127"/>
      <c r="M379" s="128"/>
      <c r="N379" s="128"/>
      <c r="O379" s="128"/>
      <c r="P379" s="128"/>
      <c r="Q379" s="129"/>
    </row>
    <row r="380" spans="1:17" ht="21.75" customHeight="1" x14ac:dyDescent="0.15">
      <c r="A380" s="148"/>
      <c r="B380" s="788" t="s">
        <v>1444</v>
      </c>
      <c r="C380" s="789"/>
      <c r="D380" s="143">
        <v>2</v>
      </c>
      <c r="E380" s="143">
        <v>0</v>
      </c>
      <c r="F380" s="143">
        <v>0</v>
      </c>
      <c r="G380" s="143">
        <v>0</v>
      </c>
      <c r="H380" s="143">
        <v>1</v>
      </c>
      <c r="I380" s="143">
        <f t="shared" si="40"/>
        <v>2</v>
      </c>
      <c r="J380" s="133" t="s">
        <v>5</v>
      </c>
      <c r="K380" s="143">
        <f t="shared" si="41"/>
        <v>2</v>
      </c>
      <c r="L380" s="127"/>
      <c r="M380" s="128"/>
      <c r="N380" s="128"/>
      <c r="O380" s="128"/>
      <c r="P380" s="128"/>
      <c r="Q380" s="129"/>
    </row>
    <row r="381" spans="1:17" ht="21.75" customHeight="1" x14ac:dyDescent="0.15">
      <c r="A381" s="148"/>
      <c r="B381" s="788" t="s">
        <v>1586</v>
      </c>
      <c r="C381" s="789"/>
      <c r="D381" s="143">
        <v>2</v>
      </c>
      <c r="E381" s="143">
        <v>0</v>
      </c>
      <c r="F381" s="143">
        <v>0</v>
      </c>
      <c r="G381" s="143">
        <v>0</v>
      </c>
      <c r="H381" s="143">
        <v>1</v>
      </c>
      <c r="I381" s="143">
        <f t="shared" si="40"/>
        <v>2</v>
      </c>
      <c r="J381" s="133" t="s">
        <v>5</v>
      </c>
      <c r="K381" s="143">
        <f t="shared" si="41"/>
        <v>2</v>
      </c>
      <c r="L381" s="127"/>
      <c r="M381" s="128"/>
      <c r="N381" s="128"/>
      <c r="O381" s="128"/>
      <c r="P381" s="128"/>
      <c r="Q381" s="129"/>
    </row>
    <row r="382" spans="1:17" ht="21.75" customHeight="1" x14ac:dyDescent="0.15">
      <c r="A382" s="148"/>
      <c r="B382" s="788" t="s">
        <v>1587</v>
      </c>
      <c r="C382" s="789"/>
      <c r="D382" s="143">
        <v>2</v>
      </c>
      <c r="E382" s="143">
        <v>0</v>
      </c>
      <c r="F382" s="143">
        <v>0</v>
      </c>
      <c r="G382" s="143">
        <v>0</v>
      </c>
      <c r="H382" s="143">
        <v>1</v>
      </c>
      <c r="I382" s="143">
        <f t="shared" si="40"/>
        <v>2</v>
      </c>
      <c r="J382" s="133" t="s">
        <v>5</v>
      </c>
      <c r="K382" s="143">
        <f t="shared" si="41"/>
        <v>2</v>
      </c>
      <c r="L382" s="127"/>
      <c r="M382" s="128"/>
      <c r="N382" s="128"/>
      <c r="O382" s="128"/>
      <c r="P382" s="128"/>
      <c r="Q382" s="129"/>
    </row>
    <row r="383" spans="1:17" ht="21.75" customHeight="1" x14ac:dyDescent="0.15">
      <c r="A383" s="148"/>
      <c r="B383" s="788" t="s">
        <v>1447</v>
      </c>
      <c r="C383" s="789"/>
      <c r="D383" s="143">
        <v>2</v>
      </c>
      <c r="E383" s="143">
        <v>0</v>
      </c>
      <c r="F383" s="143">
        <v>0</v>
      </c>
      <c r="G383" s="143">
        <v>0</v>
      </c>
      <c r="H383" s="143">
        <v>1</v>
      </c>
      <c r="I383" s="143">
        <f t="shared" si="40"/>
        <v>2</v>
      </c>
      <c r="J383" s="133" t="s">
        <v>5</v>
      </c>
      <c r="K383" s="143">
        <f t="shared" si="41"/>
        <v>2</v>
      </c>
      <c r="L383" s="127"/>
      <c r="M383" s="128"/>
      <c r="N383" s="128"/>
      <c r="O383" s="128"/>
      <c r="P383" s="128"/>
      <c r="Q383" s="129"/>
    </row>
    <row r="384" spans="1:17" customFormat="1" ht="19.5" customHeight="1" x14ac:dyDescent="0.15">
      <c r="A384" s="696" t="s">
        <v>247</v>
      </c>
      <c r="B384" s="856" t="s">
        <v>1452</v>
      </c>
      <c r="C384" s="857"/>
      <c r="D384" s="857"/>
      <c r="E384" s="857"/>
      <c r="F384" s="857"/>
      <c r="G384" s="857"/>
      <c r="H384" s="857"/>
      <c r="I384" s="857"/>
      <c r="J384" s="857"/>
      <c r="K384" s="858"/>
      <c r="L384" s="127"/>
      <c r="M384" s="128"/>
      <c r="N384" s="128"/>
      <c r="O384" s="128"/>
      <c r="P384" s="128"/>
      <c r="Q384" s="129"/>
    </row>
    <row r="385" spans="1:18" ht="21.75" customHeight="1" x14ac:dyDescent="0.15">
      <c r="A385" s="148"/>
      <c r="B385" s="788" t="s">
        <v>1498</v>
      </c>
      <c r="C385" s="789"/>
      <c r="D385" s="143">
        <v>6</v>
      </c>
      <c r="E385" s="143">
        <v>0</v>
      </c>
      <c r="F385" s="143">
        <v>0</v>
      </c>
      <c r="G385" s="143">
        <v>0</v>
      </c>
      <c r="H385" s="143">
        <v>1</v>
      </c>
      <c r="I385" s="143">
        <f>D385</f>
        <v>6</v>
      </c>
      <c r="J385" s="133" t="s">
        <v>5</v>
      </c>
      <c r="K385" s="143">
        <f>I385*H385</f>
        <v>6</v>
      </c>
      <c r="L385" s="127"/>
      <c r="M385" s="128"/>
      <c r="N385" s="128"/>
      <c r="O385" s="128"/>
      <c r="P385" s="128"/>
      <c r="Q385" s="129"/>
    </row>
    <row r="386" spans="1:18" ht="21.75" customHeight="1" x14ac:dyDescent="0.15">
      <c r="A386" s="148"/>
      <c r="B386" s="788" t="s">
        <v>1499</v>
      </c>
      <c r="C386" s="789"/>
      <c r="D386" s="143">
        <v>5.4</v>
      </c>
      <c r="E386" s="143">
        <v>0</v>
      </c>
      <c r="F386" s="143">
        <v>0</v>
      </c>
      <c r="G386" s="143">
        <v>0</v>
      </c>
      <c r="H386" s="143">
        <v>1</v>
      </c>
      <c r="I386" s="143">
        <f t="shared" ref="I386" si="42">D386</f>
        <v>5.4</v>
      </c>
      <c r="J386" s="133" t="s">
        <v>5</v>
      </c>
      <c r="K386" s="143">
        <f t="shared" ref="K386" si="43">I386*H386</f>
        <v>5.4</v>
      </c>
      <c r="L386" s="127"/>
      <c r="M386" s="128"/>
      <c r="N386" s="128"/>
      <c r="O386" s="128"/>
      <c r="P386" s="128"/>
      <c r="Q386" s="129"/>
    </row>
    <row r="387" spans="1:18" ht="14" x14ac:dyDescent="0.15">
      <c r="A387" s="795" t="s">
        <v>149</v>
      </c>
      <c r="B387" s="817"/>
      <c r="C387" s="817"/>
      <c r="D387" s="817"/>
      <c r="E387" s="817"/>
      <c r="F387" s="817"/>
      <c r="G387" s="817"/>
      <c r="H387" s="817"/>
      <c r="I387" s="817"/>
      <c r="J387" s="796"/>
      <c r="K387" s="416">
        <f>SUM(K378:K386)</f>
        <v>23.4</v>
      </c>
      <c r="L387" s="134"/>
      <c r="M387" s="135"/>
      <c r="N387" s="135"/>
      <c r="O387" s="135"/>
      <c r="P387" s="135"/>
      <c r="Q387" s="136"/>
    </row>
    <row r="388" spans="1:18" x14ac:dyDescent="0.15">
      <c r="A388" s="790"/>
      <c r="B388" s="791"/>
      <c r="C388" s="791"/>
      <c r="D388" s="791"/>
      <c r="E388" s="791"/>
      <c r="F388" s="791"/>
      <c r="G388" s="791"/>
      <c r="H388" s="791"/>
      <c r="I388" s="791"/>
      <c r="J388" s="791"/>
      <c r="K388" s="791"/>
      <c r="L388" s="791"/>
      <c r="M388" s="791"/>
      <c r="N388" s="791"/>
      <c r="O388" s="791"/>
      <c r="P388" s="791"/>
      <c r="Q388" s="792"/>
    </row>
    <row r="389" spans="1:18" s="121" customFormat="1" ht="18" customHeight="1" x14ac:dyDescent="0.15">
      <c r="A389" s="218" t="s">
        <v>0</v>
      </c>
      <c r="B389" s="841" t="s">
        <v>1066</v>
      </c>
      <c r="C389" s="842"/>
      <c r="D389" s="842"/>
      <c r="E389" s="842"/>
      <c r="F389" s="842"/>
      <c r="G389" s="842"/>
      <c r="H389" s="842"/>
      <c r="I389" s="842"/>
      <c r="J389" s="842"/>
      <c r="K389" s="842"/>
      <c r="L389" s="842"/>
      <c r="M389" s="842"/>
      <c r="N389" s="842"/>
      <c r="O389" s="216" t="s">
        <v>73</v>
      </c>
      <c r="P389" s="795" t="s">
        <v>19</v>
      </c>
      <c r="Q389" s="796"/>
    </row>
    <row r="390" spans="1:18" x14ac:dyDescent="0.15">
      <c r="A390" s="790"/>
      <c r="B390" s="791"/>
      <c r="C390" s="791"/>
      <c r="D390" s="791"/>
      <c r="E390" s="791"/>
      <c r="F390" s="791"/>
      <c r="G390" s="791"/>
      <c r="H390" s="791"/>
      <c r="I390" s="791"/>
      <c r="J390" s="791"/>
      <c r="K390" s="791"/>
      <c r="L390" s="791"/>
      <c r="M390" s="791"/>
      <c r="N390" s="791"/>
      <c r="O390" s="791"/>
      <c r="P390" s="791"/>
      <c r="Q390" s="792"/>
    </row>
    <row r="391" spans="1:18" s="126" customFormat="1" x14ac:dyDescent="0.15">
      <c r="A391" s="822" t="s">
        <v>150</v>
      </c>
      <c r="B391" s="823" t="s">
        <v>151</v>
      </c>
      <c r="C391" s="823"/>
      <c r="D391" s="802" t="s">
        <v>165</v>
      </c>
      <c r="E391" s="823" t="s">
        <v>152</v>
      </c>
      <c r="F391" s="823"/>
      <c r="G391" s="823"/>
      <c r="H391" s="802" t="s">
        <v>153</v>
      </c>
      <c r="I391" s="802" t="s">
        <v>479</v>
      </c>
      <c r="J391" s="804" t="s">
        <v>73</v>
      </c>
      <c r="K391" s="216" t="s">
        <v>154</v>
      </c>
      <c r="L391" s="123"/>
      <c r="M391" s="124"/>
      <c r="N391" s="124"/>
      <c r="O391" s="124"/>
      <c r="P391" s="124"/>
      <c r="Q391" s="125"/>
    </row>
    <row r="392" spans="1:18" s="130" customFormat="1" x14ac:dyDescent="0.15">
      <c r="A392" s="822"/>
      <c r="B392" s="823"/>
      <c r="C392" s="823"/>
      <c r="D392" s="803"/>
      <c r="E392" s="217" t="s">
        <v>155</v>
      </c>
      <c r="F392" s="217" t="s">
        <v>156</v>
      </c>
      <c r="G392" s="217" t="s">
        <v>157</v>
      </c>
      <c r="H392" s="803"/>
      <c r="I392" s="803"/>
      <c r="J392" s="805"/>
      <c r="K392" s="216" t="s">
        <v>158</v>
      </c>
      <c r="L392" s="127"/>
      <c r="M392" s="128"/>
      <c r="N392" s="128"/>
      <c r="O392" s="128"/>
      <c r="P392" s="128"/>
      <c r="Q392" s="129"/>
    </row>
    <row r="393" spans="1:18" ht="27.75" customHeight="1" x14ac:dyDescent="0.15">
      <c r="A393" s="148"/>
      <c r="B393" s="788" t="s">
        <v>1028</v>
      </c>
      <c r="C393" s="789"/>
      <c r="D393" s="143" t="s">
        <v>19</v>
      </c>
      <c r="E393" s="143">
        <v>0</v>
      </c>
      <c r="F393" s="143">
        <v>0</v>
      </c>
      <c r="G393" s="143">
        <v>0</v>
      </c>
      <c r="H393" s="143">
        <v>1</v>
      </c>
      <c r="I393" s="143">
        <v>1</v>
      </c>
      <c r="J393" s="133" t="s">
        <v>19</v>
      </c>
      <c r="K393" s="143">
        <f>I393*H393</f>
        <v>1</v>
      </c>
      <c r="L393" s="127"/>
      <c r="M393" s="128"/>
      <c r="N393" s="128"/>
      <c r="O393" s="128"/>
      <c r="P393" s="128"/>
      <c r="Q393" s="129"/>
    </row>
    <row r="394" spans="1:18" ht="14" x14ac:dyDescent="0.15">
      <c r="A394" s="795" t="s">
        <v>149</v>
      </c>
      <c r="B394" s="817"/>
      <c r="C394" s="817"/>
      <c r="D394" s="817"/>
      <c r="E394" s="817"/>
      <c r="F394" s="817"/>
      <c r="G394" s="817"/>
      <c r="H394" s="817"/>
      <c r="I394" s="817"/>
      <c r="J394" s="796"/>
      <c r="K394" s="416">
        <f>SUM(K393:K393)</f>
        <v>1</v>
      </c>
      <c r="L394" s="134"/>
      <c r="M394" s="135"/>
      <c r="N394" s="135"/>
      <c r="O394" s="135"/>
      <c r="P394" s="135"/>
      <c r="Q394" s="136"/>
    </row>
    <row r="395" spans="1:18" s="140" customFormat="1" x14ac:dyDescent="0.15">
      <c r="A395" s="855"/>
      <c r="B395" s="855"/>
      <c r="C395" s="855"/>
      <c r="D395" s="855"/>
      <c r="E395" s="855"/>
      <c r="F395" s="855"/>
      <c r="G395" s="855"/>
      <c r="H395" s="855"/>
      <c r="I395" s="855"/>
      <c r="J395" s="855"/>
      <c r="K395" s="855"/>
      <c r="L395" s="855"/>
      <c r="M395" s="855"/>
      <c r="N395" s="855"/>
      <c r="O395" s="855"/>
      <c r="P395" s="855"/>
      <c r="Q395" s="855"/>
      <c r="R395" s="120"/>
    </row>
    <row r="396" spans="1:18" s="140" customFormat="1" x14ac:dyDescent="0.15">
      <c r="A396" s="178"/>
      <c r="B396" s="178"/>
      <c r="C396" s="137"/>
      <c r="D396" s="137"/>
      <c r="E396" s="138"/>
      <c r="F396" s="139"/>
      <c r="J396" s="141"/>
      <c r="K396" s="138"/>
      <c r="L396" s="142"/>
      <c r="M396" s="142"/>
      <c r="N396" s="142"/>
      <c r="O396" s="142"/>
      <c r="P396" s="138"/>
      <c r="Q396" s="120"/>
      <c r="R396" s="120"/>
    </row>
    <row r="397" spans="1:18" x14ac:dyDescent="0.15">
      <c r="I397" s="120"/>
      <c r="J397" s="120"/>
    </row>
    <row r="398" spans="1:18" x14ac:dyDescent="0.15">
      <c r="I398" s="120"/>
      <c r="J398" s="120"/>
    </row>
    <row r="399" spans="1:18" x14ac:dyDescent="0.15">
      <c r="I399" s="120"/>
      <c r="J399" s="120"/>
    </row>
    <row r="400" spans="1:18" ht="14" x14ac:dyDescent="0.15">
      <c r="B400" s="102"/>
      <c r="I400" s="120"/>
      <c r="J400" s="120"/>
    </row>
    <row r="401" spans="2:10" ht="14" x14ac:dyDescent="0.15">
      <c r="B401" s="83"/>
      <c r="I401" s="120"/>
      <c r="J401" s="120"/>
    </row>
    <row r="402" spans="2:10" ht="18" x14ac:dyDescent="0.2">
      <c r="C402" s="150"/>
      <c r="D402" s="151"/>
      <c r="E402" s="150"/>
      <c r="I402" s="120"/>
      <c r="J402" s="120"/>
    </row>
    <row r="403" spans="2:10" ht="18" x14ac:dyDescent="0.2">
      <c r="C403" s="152"/>
      <c r="D403" s="153"/>
      <c r="E403" s="152"/>
      <c r="I403" s="120"/>
      <c r="J403" s="120"/>
    </row>
    <row r="404" spans="2:10" ht="18" x14ac:dyDescent="0.2">
      <c r="B404" s="83"/>
      <c r="C404" s="154"/>
      <c r="D404" s="154"/>
      <c r="E404" s="154"/>
      <c r="I404" s="120"/>
      <c r="J404" s="120"/>
    </row>
    <row r="405" spans="2:10" x14ac:dyDescent="0.15">
      <c r="I405" s="120"/>
      <c r="J405" s="120"/>
    </row>
    <row r="406" spans="2:10" x14ac:dyDescent="0.15">
      <c r="I406" s="120"/>
      <c r="J406" s="120"/>
    </row>
    <row r="407" spans="2:10" x14ac:dyDescent="0.15">
      <c r="I407" s="120"/>
      <c r="J407" s="120"/>
    </row>
    <row r="408" spans="2:10" x14ac:dyDescent="0.15">
      <c r="I408" s="120"/>
      <c r="J408" s="120"/>
    </row>
    <row r="409" spans="2:10" x14ac:dyDescent="0.15">
      <c r="I409" s="120"/>
      <c r="J409" s="120"/>
    </row>
    <row r="410" spans="2:10" x14ac:dyDescent="0.15">
      <c r="I410" s="120"/>
      <c r="J410" s="120"/>
    </row>
    <row r="411" spans="2:10" x14ac:dyDescent="0.15">
      <c r="I411" s="120"/>
      <c r="J411" s="120"/>
    </row>
    <row r="412" spans="2:10" x14ac:dyDescent="0.15">
      <c r="I412" s="120"/>
      <c r="J412" s="120"/>
    </row>
    <row r="413" spans="2:10" x14ac:dyDescent="0.15">
      <c r="I413" s="120"/>
      <c r="J413" s="120"/>
    </row>
    <row r="414" spans="2:10" x14ac:dyDescent="0.15">
      <c r="I414" s="120"/>
      <c r="J414" s="120"/>
    </row>
    <row r="415" spans="2:10" x14ac:dyDescent="0.15">
      <c r="I415" s="120"/>
      <c r="J415" s="120"/>
    </row>
    <row r="416" spans="2:10" x14ac:dyDescent="0.15">
      <c r="I416" s="120"/>
      <c r="J416" s="120"/>
    </row>
    <row r="417" s="120" customFormat="1" x14ac:dyDescent="0.15"/>
    <row r="418" s="120" customFormat="1" x14ac:dyDescent="0.15"/>
    <row r="419" s="120" customFormat="1" x14ac:dyDescent="0.15"/>
    <row r="420" s="120" customFormat="1" x14ac:dyDescent="0.15"/>
    <row r="421" s="120" customFormat="1" x14ac:dyDescent="0.15"/>
    <row r="422" s="120" customFormat="1" x14ac:dyDescent="0.15"/>
    <row r="423" s="120" customFormat="1" x14ac:dyDescent="0.15"/>
    <row r="424" s="120" customFormat="1" x14ac:dyDescent="0.15"/>
    <row r="425" s="120" customFormat="1" x14ac:dyDescent="0.15"/>
    <row r="426" s="120" customFormat="1" x14ac:dyDescent="0.15"/>
    <row r="427" s="120" customFormat="1" x14ac:dyDescent="0.15"/>
    <row r="428" s="120" customFormat="1" x14ac:dyDescent="0.15"/>
    <row r="429" s="120" customFormat="1" x14ac:dyDescent="0.15"/>
    <row r="430" s="120" customFormat="1" x14ac:dyDescent="0.15"/>
    <row r="431" s="120" customFormat="1" x14ac:dyDescent="0.15"/>
    <row r="432" s="120" customFormat="1" x14ac:dyDescent="0.15"/>
    <row r="433" s="120" customFormat="1" x14ac:dyDescent="0.15"/>
    <row r="434" s="120" customFormat="1" x14ac:dyDescent="0.15"/>
    <row r="435" s="120" customFormat="1" x14ac:dyDescent="0.15"/>
    <row r="436" s="120" customFormat="1" x14ac:dyDescent="0.15"/>
    <row r="437" s="120" customFormat="1" x14ac:dyDescent="0.15"/>
    <row r="438" s="120" customFormat="1" x14ac:dyDescent="0.15"/>
    <row r="439" s="120" customFormat="1" x14ac:dyDescent="0.15"/>
    <row r="440" s="120" customFormat="1" x14ac:dyDescent="0.15"/>
    <row r="441" s="120" customFormat="1" x14ac:dyDescent="0.15"/>
    <row r="442" s="120" customFormat="1" x14ac:dyDescent="0.15"/>
    <row r="443" s="120" customFormat="1" x14ac:dyDescent="0.15"/>
    <row r="444" s="120" customFormat="1" x14ac:dyDescent="0.15"/>
    <row r="445" s="120" customFormat="1" x14ac:dyDescent="0.15"/>
    <row r="446" s="120" customFormat="1" x14ac:dyDescent="0.15"/>
    <row r="447" s="120" customFormat="1" x14ac:dyDescent="0.15"/>
    <row r="448" s="120" customFormat="1" x14ac:dyDescent="0.15"/>
    <row r="449" s="120" customFormat="1" x14ac:dyDescent="0.15"/>
    <row r="450" s="120" customFormat="1" x14ac:dyDescent="0.15"/>
    <row r="451" s="120" customFormat="1" x14ac:dyDescent="0.15"/>
    <row r="452" s="120" customFormat="1" x14ac:dyDescent="0.15"/>
    <row r="453" s="120" customFormat="1" x14ac:dyDescent="0.15"/>
    <row r="454" s="120" customFormat="1" x14ac:dyDescent="0.15"/>
    <row r="455" s="120" customFormat="1" x14ac:dyDescent="0.15"/>
    <row r="456" s="120" customFormat="1" x14ac:dyDescent="0.15"/>
    <row r="457" s="120" customFormat="1" x14ac:dyDescent="0.15"/>
    <row r="458" s="120" customFormat="1" x14ac:dyDescent="0.15"/>
    <row r="459" s="120" customFormat="1" x14ac:dyDescent="0.15"/>
    <row r="460" s="120" customFormat="1" x14ac:dyDescent="0.15"/>
    <row r="461" s="120" customFormat="1" x14ac:dyDescent="0.15"/>
    <row r="462" s="120" customFormat="1" x14ac:dyDescent="0.15"/>
    <row r="463" s="120" customFormat="1" x14ac:dyDescent="0.15"/>
    <row r="464" s="120" customFormat="1" x14ac:dyDescent="0.15"/>
    <row r="465" s="120" customFormat="1" x14ac:dyDescent="0.15"/>
    <row r="466" s="120" customFormat="1" x14ac:dyDescent="0.15"/>
    <row r="467" s="120" customFormat="1" x14ac:dyDescent="0.15"/>
    <row r="468" s="120" customFormat="1" x14ac:dyDescent="0.15"/>
    <row r="469" s="120" customFormat="1" x14ac:dyDescent="0.15"/>
    <row r="470" s="120" customFormat="1" x14ac:dyDescent="0.15"/>
    <row r="471" s="120" customFormat="1" x14ac:dyDescent="0.15"/>
    <row r="472" s="120" customFormat="1" x14ac:dyDescent="0.15"/>
    <row r="473" s="120" customFormat="1" x14ac:dyDescent="0.15"/>
    <row r="474" s="120" customFormat="1" x14ac:dyDescent="0.15"/>
    <row r="475" s="120" customFormat="1" x14ac:dyDescent="0.15"/>
    <row r="476" s="120" customFormat="1" x14ac:dyDescent="0.15"/>
    <row r="477" s="120" customFormat="1" x14ac:dyDescent="0.15"/>
    <row r="478" s="120" customFormat="1" x14ac:dyDescent="0.15"/>
    <row r="479" s="120" customFormat="1" x14ac:dyDescent="0.15"/>
    <row r="480" s="120" customFormat="1" x14ac:dyDescent="0.15"/>
    <row r="481" s="120" customFormat="1" x14ac:dyDescent="0.15"/>
    <row r="482" s="120" customFormat="1" x14ac:dyDescent="0.15"/>
    <row r="483" s="120" customFormat="1" x14ac:dyDescent="0.15"/>
    <row r="484" s="120" customFormat="1" x14ac:dyDescent="0.15"/>
    <row r="485" s="120" customFormat="1" x14ac:dyDescent="0.15"/>
    <row r="486" s="120" customFormat="1" x14ac:dyDescent="0.15"/>
    <row r="487" s="120" customFormat="1" x14ac:dyDescent="0.15"/>
    <row r="488" s="120" customFormat="1" x14ac:dyDescent="0.15"/>
    <row r="489" s="120" customFormat="1" x14ac:dyDescent="0.15"/>
    <row r="490" s="120" customFormat="1" x14ac:dyDescent="0.15"/>
    <row r="491" s="120" customFormat="1" x14ac:dyDescent="0.15"/>
    <row r="492" s="120" customFormat="1" x14ac:dyDescent="0.15"/>
    <row r="493" s="120" customFormat="1" x14ac:dyDescent="0.15"/>
    <row r="494" s="120" customFormat="1" x14ac:dyDescent="0.15"/>
    <row r="495" s="120" customFormat="1" x14ac:dyDescent="0.15"/>
    <row r="496" s="120" customFormat="1" x14ac:dyDescent="0.15"/>
    <row r="497" s="120" customFormat="1" x14ac:dyDescent="0.15"/>
    <row r="498" s="120" customFormat="1" x14ac:dyDescent="0.15"/>
    <row r="499" s="120" customFormat="1" x14ac:dyDescent="0.15"/>
    <row r="500" s="120" customFormat="1" x14ac:dyDescent="0.15"/>
    <row r="501" s="120" customFormat="1" x14ac:dyDescent="0.15"/>
    <row r="502" s="120" customFormat="1" x14ac:dyDescent="0.15"/>
    <row r="503" s="120" customFormat="1" x14ac:dyDescent="0.15"/>
    <row r="504" s="120" customFormat="1" x14ac:dyDescent="0.15"/>
    <row r="505" s="120" customFormat="1" x14ac:dyDescent="0.15"/>
    <row r="506" s="120" customFormat="1" x14ac:dyDescent="0.15"/>
    <row r="507" s="120" customFormat="1" x14ac:dyDescent="0.15"/>
    <row r="508" s="120" customFormat="1" x14ac:dyDescent="0.15"/>
    <row r="509" s="120" customFormat="1" x14ac:dyDescent="0.15"/>
    <row r="510" s="120" customFormat="1" x14ac:dyDescent="0.15"/>
    <row r="511" s="120" customFormat="1" x14ac:dyDescent="0.15"/>
    <row r="512" s="120" customFormat="1" x14ac:dyDescent="0.15"/>
    <row r="513" s="120" customFormat="1" x14ac:dyDescent="0.15"/>
    <row r="514" s="120" customFormat="1" x14ac:dyDescent="0.15"/>
    <row r="515" s="120" customFormat="1" x14ac:dyDescent="0.15"/>
    <row r="516" s="120" customFormat="1" x14ac:dyDescent="0.15"/>
    <row r="517" s="120" customFormat="1" x14ac:dyDescent="0.15"/>
    <row r="518" s="120" customFormat="1" x14ac:dyDescent="0.15"/>
    <row r="519" s="120" customFormat="1" x14ac:dyDescent="0.15"/>
    <row r="520" s="120" customFormat="1" x14ac:dyDescent="0.15"/>
    <row r="521" s="120" customFormat="1" x14ac:dyDescent="0.15"/>
    <row r="522" s="120" customFormat="1" x14ac:dyDescent="0.15"/>
    <row r="523" s="120" customFormat="1" x14ac:dyDescent="0.15"/>
    <row r="524" s="120" customFormat="1" x14ac:dyDescent="0.15"/>
    <row r="525" s="120" customFormat="1" x14ac:dyDescent="0.15"/>
    <row r="526" s="120" customFormat="1" x14ac:dyDescent="0.15"/>
    <row r="527" s="120" customFormat="1" x14ac:dyDescent="0.15"/>
    <row r="528" s="120" customFormat="1" x14ac:dyDescent="0.15"/>
    <row r="529" s="120" customFormat="1" x14ac:dyDescent="0.15"/>
    <row r="530" s="120" customFormat="1" x14ac:dyDescent="0.15"/>
    <row r="531" s="120" customFormat="1" x14ac:dyDescent="0.15"/>
    <row r="532" s="120" customFormat="1" x14ac:dyDescent="0.15"/>
    <row r="533" s="120" customFormat="1" x14ac:dyDescent="0.15"/>
    <row r="534" s="120" customFormat="1" x14ac:dyDescent="0.15"/>
    <row r="535" s="120" customFormat="1" x14ac:dyDescent="0.15"/>
    <row r="536" s="120" customFormat="1" x14ac:dyDescent="0.15"/>
    <row r="537" s="120" customFormat="1" x14ac:dyDescent="0.15"/>
    <row r="538" s="120" customFormat="1" x14ac:dyDescent="0.15"/>
    <row r="539" s="120" customFormat="1" x14ac:dyDescent="0.15"/>
    <row r="540" s="120" customFormat="1" x14ac:dyDescent="0.15"/>
    <row r="541" s="120" customFormat="1" x14ac:dyDescent="0.15"/>
    <row r="542" s="120" customFormat="1" x14ac:dyDescent="0.15"/>
    <row r="543" s="120" customFormat="1" x14ac:dyDescent="0.15"/>
    <row r="544" s="120" customFormat="1" x14ac:dyDescent="0.15"/>
    <row r="545" s="120" customFormat="1" x14ac:dyDescent="0.15"/>
    <row r="546" s="120" customFormat="1" x14ac:dyDescent="0.15"/>
    <row r="547" s="120" customFormat="1" x14ac:dyDescent="0.15"/>
    <row r="548" s="120" customFormat="1" x14ac:dyDescent="0.15"/>
    <row r="549" s="120" customFormat="1" x14ac:dyDescent="0.15"/>
    <row r="550" s="120" customFormat="1" x14ac:dyDescent="0.15"/>
    <row r="551" s="120" customFormat="1" x14ac:dyDescent="0.15"/>
    <row r="552" s="120" customFormat="1" x14ac:dyDescent="0.15"/>
    <row r="553" s="120" customFormat="1" x14ac:dyDescent="0.15"/>
    <row r="554" s="120" customFormat="1" x14ac:dyDescent="0.15"/>
    <row r="555" s="120" customFormat="1" x14ac:dyDescent="0.15"/>
    <row r="556" s="120" customFormat="1" x14ac:dyDescent="0.15"/>
    <row r="557" s="120" customFormat="1" x14ac:dyDescent="0.15"/>
    <row r="558" s="120" customFormat="1" x14ac:dyDescent="0.15"/>
    <row r="559" s="120" customFormat="1" x14ac:dyDescent="0.15"/>
    <row r="560" s="120" customFormat="1" x14ac:dyDescent="0.15"/>
    <row r="561" s="120" customFormat="1" x14ac:dyDescent="0.15"/>
    <row r="562" s="120" customFormat="1" x14ac:dyDescent="0.15"/>
    <row r="563" s="120" customFormat="1" x14ac:dyDescent="0.15"/>
    <row r="564" s="120" customFormat="1" x14ac:dyDescent="0.15"/>
    <row r="565" s="120" customFormat="1" x14ac:dyDescent="0.15"/>
    <row r="566" s="120" customFormat="1" x14ac:dyDescent="0.15"/>
    <row r="567" s="120" customFormat="1" x14ac:dyDescent="0.15"/>
    <row r="568" s="120" customFormat="1" x14ac:dyDescent="0.15"/>
    <row r="569" s="120" customFormat="1" x14ac:dyDescent="0.15"/>
    <row r="570" s="120" customFormat="1" x14ac:dyDescent="0.15"/>
    <row r="571" s="120" customFormat="1" x14ac:dyDescent="0.15"/>
    <row r="572" s="120" customFormat="1" x14ac:dyDescent="0.15"/>
    <row r="573" s="120" customFormat="1" x14ac:dyDescent="0.15"/>
    <row r="574" s="120" customFormat="1" x14ac:dyDescent="0.15"/>
    <row r="575" s="120" customFormat="1" x14ac:dyDescent="0.15"/>
    <row r="576" s="120" customFormat="1" x14ac:dyDescent="0.15"/>
    <row r="577" s="120" customFormat="1" x14ac:dyDescent="0.15"/>
    <row r="578" s="120" customFormat="1" x14ac:dyDescent="0.15"/>
    <row r="579" s="120" customFormat="1" x14ac:dyDescent="0.15"/>
    <row r="580" s="120" customFormat="1" x14ac:dyDescent="0.15"/>
    <row r="581" s="120" customFormat="1" x14ac:dyDescent="0.15"/>
    <row r="582" s="120" customFormat="1" x14ac:dyDescent="0.15"/>
    <row r="583" s="120" customFormat="1" x14ac:dyDescent="0.15"/>
    <row r="584" s="120" customFormat="1" x14ac:dyDescent="0.15"/>
    <row r="585" s="120" customFormat="1" x14ac:dyDescent="0.15"/>
    <row r="586" s="120" customFormat="1" x14ac:dyDescent="0.15"/>
    <row r="587" s="120" customFormat="1" x14ac:dyDescent="0.15"/>
    <row r="588" s="120" customFormat="1" x14ac:dyDescent="0.15"/>
    <row r="589" s="120" customFormat="1" x14ac:dyDescent="0.15"/>
    <row r="590" s="120" customFormat="1" x14ac:dyDescent="0.15"/>
    <row r="591" s="120" customFormat="1" x14ac:dyDescent="0.15"/>
    <row r="592" s="120" customFormat="1" x14ac:dyDescent="0.15"/>
    <row r="593" s="120" customFormat="1" x14ac:dyDescent="0.15"/>
    <row r="594" s="120" customFormat="1" x14ac:dyDescent="0.15"/>
    <row r="595" s="120" customFormat="1" x14ac:dyDescent="0.15"/>
    <row r="596" s="120" customFormat="1" x14ac:dyDescent="0.15"/>
    <row r="597" s="120" customFormat="1" x14ac:dyDescent="0.15"/>
    <row r="598" s="120" customFormat="1" x14ac:dyDescent="0.15"/>
    <row r="599" s="120" customFormat="1" x14ac:dyDescent="0.15"/>
    <row r="600" s="120" customFormat="1" x14ac:dyDescent="0.15"/>
    <row r="601" s="120" customFormat="1" x14ac:dyDescent="0.15"/>
    <row r="602" s="120" customFormat="1" x14ac:dyDescent="0.15"/>
    <row r="603" s="120" customFormat="1" x14ac:dyDescent="0.15"/>
    <row r="604" s="120" customFormat="1" x14ac:dyDescent="0.15"/>
    <row r="605" s="120" customFormat="1" x14ac:dyDescent="0.15"/>
    <row r="606" s="120" customFormat="1" x14ac:dyDescent="0.15"/>
    <row r="607" s="120" customFormat="1" x14ac:dyDescent="0.15"/>
    <row r="608" s="120" customFormat="1" x14ac:dyDescent="0.15"/>
    <row r="609" s="120" customFormat="1" x14ac:dyDescent="0.15"/>
    <row r="610" s="120" customFormat="1" x14ac:dyDescent="0.15"/>
    <row r="611" s="120" customFormat="1" x14ac:dyDescent="0.15"/>
    <row r="612" s="120" customFormat="1" x14ac:dyDescent="0.15"/>
    <row r="613" s="120" customFormat="1" x14ac:dyDescent="0.15"/>
    <row r="614" s="120" customFormat="1" x14ac:dyDescent="0.15"/>
    <row r="615" s="120" customFormat="1" x14ac:dyDescent="0.15"/>
    <row r="616" s="120" customFormat="1" x14ac:dyDescent="0.15"/>
    <row r="617" s="120" customFormat="1" x14ac:dyDescent="0.15"/>
    <row r="618" s="120" customFormat="1" x14ac:dyDescent="0.15"/>
    <row r="619" s="120" customFormat="1" x14ac:dyDescent="0.15"/>
    <row r="620" s="120" customFormat="1" x14ac:dyDescent="0.15"/>
    <row r="621" s="120" customFormat="1" x14ac:dyDescent="0.15"/>
    <row r="622" s="120" customFormat="1" x14ac:dyDescent="0.15"/>
    <row r="623" s="120" customFormat="1" x14ac:dyDescent="0.15"/>
    <row r="624" s="120" customFormat="1" x14ac:dyDescent="0.15"/>
    <row r="625" s="120" customFormat="1" x14ac:dyDescent="0.15"/>
    <row r="626" s="120" customFormat="1" x14ac:dyDescent="0.15"/>
    <row r="627" s="120" customFormat="1" x14ac:dyDescent="0.15"/>
    <row r="628" s="120" customFormat="1" x14ac:dyDescent="0.15"/>
    <row r="629" s="120" customFormat="1" x14ac:dyDescent="0.15"/>
    <row r="630" s="120" customFormat="1" x14ac:dyDescent="0.15"/>
    <row r="631" s="120" customFormat="1" x14ac:dyDescent="0.15"/>
    <row r="632" s="120" customFormat="1" x14ac:dyDescent="0.15"/>
    <row r="633" s="120" customFormat="1" x14ac:dyDescent="0.15"/>
    <row r="634" s="120" customFormat="1" x14ac:dyDescent="0.15"/>
    <row r="635" s="120" customFormat="1" x14ac:dyDescent="0.15"/>
    <row r="636" s="120" customFormat="1" x14ac:dyDescent="0.15"/>
    <row r="637" s="120" customFormat="1" x14ac:dyDescent="0.15"/>
    <row r="638" s="120" customFormat="1" x14ac:dyDescent="0.15"/>
    <row r="639" s="120" customFormat="1" x14ac:dyDescent="0.15"/>
    <row r="640" s="120" customFormat="1" x14ac:dyDescent="0.15"/>
    <row r="641" s="120" customFormat="1" x14ac:dyDescent="0.15"/>
    <row r="642" s="120" customFormat="1" x14ac:dyDescent="0.15"/>
    <row r="643" s="120" customFormat="1" x14ac:dyDescent="0.15"/>
    <row r="644" s="120" customFormat="1" x14ac:dyDescent="0.15"/>
    <row r="645" s="120" customFormat="1" x14ac:dyDescent="0.15"/>
    <row r="646" s="120" customFormat="1" x14ac:dyDescent="0.15"/>
    <row r="647" s="120" customFormat="1" x14ac:dyDescent="0.15"/>
    <row r="648" s="120" customFormat="1" x14ac:dyDescent="0.15"/>
    <row r="649" s="120" customFormat="1" x14ac:dyDescent="0.15"/>
    <row r="650" s="120" customFormat="1" x14ac:dyDescent="0.15"/>
    <row r="651" s="120" customFormat="1" x14ac:dyDescent="0.15"/>
    <row r="652" s="120" customFormat="1" x14ac:dyDescent="0.15"/>
    <row r="653" s="120" customFormat="1" x14ac:dyDescent="0.15"/>
    <row r="654" s="120" customFormat="1" x14ac:dyDescent="0.15"/>
    <row r="655" s="120" customFormat="1" x14ac:dyDescent="0.15"/>
    <row r="656" s="120" customFormat="1" x14ac:dyDescent="0.15"/>
    <row r="657" s="120" customFormat="1" x14ac:dyDescent="0.15"/>
    <row r="658" s="120" customFormat="1" x14ac:dyDescent="0.15"/>
    <row r="659" s="120" customFormat="1" x14ac:dyDescent="0.15"/>
    <row r="660" s="120" customFormat="1" x14ac:dyDescent="0.15"/>
    <row r="661" s="120" customFormat="1" x14ac:dyDescent="0.15"/>
    <row r="662" s="120" customFormat="1" x14ac:dyDescent="0.15"/>
    <row r="663" s="120" customFormat="1" x14ac:dyDescent="0.15"/>
    <row r="664" s="120" customFormat="1" x14ac:dyDescent="0.15"/>
    <row r="665" s="120" customFormat="1" x14ac:dyDescent="0.15"/>
    <row r="666" s="120" customFormat="1" x14ac:dyDescent="0.15"/>
    <row r="667" s="120" customFormat="1" x14ac:dyDescent="0.15"/>
    <row r="668" s="120" customFormat="1" x14ac:dyDescent="0.15"/>
    <row r="669" s="120" customFormat="1" x14ac:dyDescent="0.15"/>
    <row r="670" s="120" customFormat="1" x14ac:dyDescent="0.15"/>
    <row r="671" s="120" customFormat="1" x14ac:dyDescent="0.15"/>
    <row r="672" s="120" customFormat="1" x14ac:dyDescent="0.15"/>
    <row r="673" s="120" customFormat="1" x14ac:dyDescent="0.15"/>
    <row r="674" s="120" customFormat="1" x14ac:dyDescent="0.15"/>
    <row r="675" s="120" customFormat="1" x14ac:dyDescent="0.15"/>
    <row r="676" s="120" customFormat="1" x14ac:dyDescent="0.15"/>
    <row r="677" s="120" customFormat="1" x14ac:dyDescent="0.15"/>
    <row r="678" s="120" customFormat="1" x14ac:dyDescent="0.15"/>
    <row r="679" s="120" customFormat="1" x14ac:dyDescent="0.15"/>
    <row r="680" s="120" customFormat="1" x14ac:dyDescent="0.15"/>
    <row r="681" s="120" customFormat="1" x14ac:dyDescent="0.15"/>
    <row r="682" s="120" customFormat="1" x14ac:dyDescent="0.15"/>
    <row r="683" s="120" customFormat="1" x14ac:dyDescent="0.15"/>
    <row r="684" s="120" customFormat="1" x14ac:dyDescent="0.15"/>
    <row r="685" s="120" customFormat="1" x14ac:dyDescent="0.15"/>
    <row r="686" s="120" customFormat="1" x14ac:dyDescent="0.15"/>
    <row r="687" s="120" customFormat="1" x14ac:dyDescent="0.15"/>
    <row r="688" s="120" customFormat="1" x14ac:dyDescent="0.15"/>
    <row r="689" s="120" customFormat="1" x14ac:dyDescent="0.15"/>
    <row r="690" s="120" customFormat="1" x14ac:dyDescent="0.15"/>
    <row r="691" s="120" customFormat="1" x14ac:dyDescent="0.15"/>
    <row r="692" s="120" customFormat="1" x14ac:dyDescent="0.15"/>
    <row r="693" s="120" customFormat="1" x14ac:dyDescent="0.15"/>
    <row r="694" s="120" customFormat="1" x14ac:dyDescent="0.15"/>
    <row r="695" s="120" customFormat="1" x14ac:dyDescent="0.15"/>
    <row r="696" s="120" customFormat="1" x14ac:dyDescent="0.15"/>
    <row r="697" s="120" customFormat="1" x14ac:dyDescent="0.15"/>
    <row r="698" s="120" customFormat="1" x14ac:dyDescent="0.15"/>
    <row r="699" s="120" customFormat="1" x14ac:dyDescent="0.15"/>
    <row r="700" s="120" customFormat="1" x14ac:dyDescent="0.15"/>
    <row r="701" s="120" customFormat="1" x14ac:dyDescent="0.15"/>
    <row r="702" s="120" customFormat="1" x14ac:dyDescent="0.15"/>
    <row r="703" s="120" customFormat="1" x14ac:dyDescent="0.15"/>
    <row r="704" s="120" customFormat="1" x14ac:dyDescent="0.15"/>
    <row r="705" s="120" customFormat="1" x14ac:dyDescent="0.15"/>
    <row r="706" s="120" customFormat="1" x14ac:dyDescent="0.15"/>
    <row r="707" s="120" customFormat="1" x14ac:dyDescent="0.15"/>
    <row r="708" s="120" customFormat="1" x14ac:dyDescent="0.15"/>
    <row r="709" s="120" customFormat="1" x14ac:dyDescent="0.15"/>
    <row r="710" s="120" customFormat="1" x14ac:dyDescent="0.15"/>
    <row r="711" s="120" customFormat="1" x14ac:dyDescent="0.15"/>
    <row r="712" s="120" customFormat="1" x14ac:dyDescent="0.15"/>
    <row r="713" s="120" customFormat="1" x14ac:dyDescent="0.15"/>
    <row r="714" s="120" customFormat="1" x14ac:dyDescent="0.15"/>
    <row r="715" s="120" customFormat="1" x14ac:dyDescent="0.15"/>
    <row r="716" s="120" customFormat="1" x14ac:dyDescent="0.15"/>
    <row r="717" s="120" customFormat="1" x14ac:dyDescent="0.15"/>
    <row r="718" s="120" customFormat="1" x14ac:dyDescent="0.15"/>
    <row r="719" s="120" customFormat="1" x14ac:dyDescent="0.15"/>
    <row r="720" s="120" customFormat="1" x14ac:dyDescent="0.15"/>
    <row r="721" s="120" customFormat="1" x14ac:dyDescent="0.15"/>
    <row r="722" s="120" customFormat="1" x14ac:dyDescent="0.15"/>
    <row r="723" s="120" customFormat="1" x14ac:dyDescent="0.15"/>
    <row r="724" s="120" customFormat="1" x14ac:dyDescent="0.15"/>
    <row r="725" s="120" customFormat="1" x14ac:dyDescent="0.15"/>
    <row r="726" s="120" customFormat="1" x14ac:dyDescent="0.15"/>
    <row r="727" s="120" customFormat="1" x14ac:dyDescent="0.15"/>
    <row r="728" s="120" customFormat="1" x14ac:dyDescent="0.15"/>
    <row r="729" s="120" customFormat="1" x14ac:dyDescent="0.15"/>
    <row r="730" s="120" customFormat="1" x14ac:dyDescent="0.15"/>
    <row r="731" s="120" customFormat="1" x14ac:dyDescent="0.15"/>
    <row r="732" s="120" customFormat="1" x14ac:dyDescent="0.15"/>
    <row r="733" s="120" customFormat="1" x14ac:dyDescent="0.15"/>
    <row r="734" s="120" customFormat="1" x14ac:dyDescent="0.15"/>
    <row r="735" s="120" customFormat="1" x14ac:dyDescent="0.15"/>
    <row r="736" s="120" customFormat="1" x14ac:dyDescent="0.15"/>
    <row r="737" s="120" customFormat="1" x14ac:dyDescent="0.15"/>
    <row r="738" s="120" customFormat="1" x14ac:dyDescent="0.15"/>
    <row r="739" s="120" customFormat="1" x14ac:dyDescent="0.15"/>
    <row r="740" s="120" customFormat="1" x14ac:dyDescent="0.15"/>
    <row r="741" s="120" customFormat="1" x14ac:dyDescent="0.15"/>
    <row r="742" s="120" customFormat="1" x14ac:dyDescent="0.15"/>
    <row r="743" s="120" customFormat="1" x14ac:dyDescent="0.15"/>
    <row r="744" s="120" customFormat="1" x14ac:dyDescent="0.15"/>
    <row r="745" s="120" customFormat="1" x14ac:dyDescent="0.15"/>
    <row r="746" s="120" customFormat="1" x14ac:dyDescent="0.15"/>
    <row r="747" s="120" customFormat="1" x14ac:dyDescent="0.15"/>
    <row r="748" s="120" customFormat="1" x14ac:dyDescent="0.15"/>
    <row r="749" s="120" customFormat="1" x14ac:dyDescent="0.15"/>
    <row r="750" s="120" customFormat="1" x14ac:dyDescent="0.15"/>
    <row r="751" s="120" customFormat="1" x14ac:dyDescent="0.15"/>
    <row r="752" s="120" customFormat="1" x14ac:dyDescent="0.15"/>
    <row r="753" s="120" customFormat="1" x14ac:dyDescent="0.15"/>
    <row r="754" s="120" customFormat="1" x14ac:dyDescent="0.15"/>
    <row r="755" s="120" customFormat="1" x14ac:dyDescent="0.15"/>
    <row r="756" s="120" customFormat="1" x14ac:dyDescent="0.15"/>
    <row r="757" s="120" customFormat="1" x14ac:dyDescent="0.15"/>
    <row r="758" s="120" customFormat="1" x14ac:dyDescent="0.15"/>
    <row r="759" s="120" customFormat="1" x14ac:dyDescent="0.15"/>
    <row r="760" s="120" customFormat="1" x14ac:dyDescent="0.15"/>
    <row r="761" s="120" customFormat="1" x14ac:dyDescent="0.15"/>
    <row r="762" s="120" customFormat="1" x14ac:dyDescent="0.15"/>
    <row r="763" s="120" customFormat="1" x14ac:dyDescent="0.15"/>
    <row r="764" s="120" customFormat="1" x14ac:dyDescent="0.15"/>
    <row r="765" s="120" customFormat="1" x14ac:dyDescent="0.15"/>
    <row r="766" s="120" customFormat="1" x14ac:dyDescent="0.15"/>
    <row r="767" s="120" customFormat="1" x14ac:dyDescent="0.15"/>
    <row r="768" s="120" customFormat="1" x14ac:dyDescent="0.15"/>
    <row r="769" s="120" customFormat="1" x14ac:dyDescent="0.15"/>
    <row r="770" s="120" customFormat="1" x14ac:dyDescent="0.15"/>
    <row r="771" s="120" customFormat="1" x14ac:dyDescent="0.15"/>
    <row r="772" s="120" customFormat="1" x14ac:dyDescent="0.15"/>
    <row r="773" s="120" customFormat="1" x14ac:dyDescent="0.15"/>
    <row r="774" s="120" customFormat="1" x14ac:dyDescent="0.15"/>
    <row r="775" s="120" customFormat="1" x14ac:dyDescent="0.15"/>
    <row r="776" s="120" customFormat="1" x14ac:dyDescent="0.15"/>
    <row r="777" s="120" customFormat="1" x14ac:dyDescent="0.15"/>
    <row r="778" s="120" customFormat="1" x14ac:dyDescent="0.15"/>
    <row r="779" s="120" customFormat="1" x14ac:dyDescent="0.15"/>
    <row r="780" s="120" customFormat="1" x14ac:dyDescent="0.15"/>
    <row r="781" s="120" customFormat="1" x14ac:dyDescent="0.15"/>
    <row r="782" s="120" customFormat="1" x14ac:dyDescent="0.15"/>
    <row r="783" s="120" customFormat="1" x14ac:dyDescent="0.15"/>
    <row r="784" s="120" customFormat="1" x14ac:dyDescent="0.15"/>
    <row r="785" s="120" customFormat="1" x14ac:dyDescent="0.15"/>
    <row r="786" s="120" customFormat="1" x14ac:dyDescent="0.15"/>
    <row r="787" s="120" customFormat="1" x14ac:dyDescent="0.15"/>
    <row r="788" s="120" customFormat="1" x14ac:dyDescent="0.15"/>
    <row r="789" s="120" customFormat="1" x14ac:dyDescent="0.15"/>
    <row r="790" s="120" customFormat="1" x14ac:dyDescent="0.15"/>
    <row r="791" s="120" customFormat="1" x14ac:dyDescent="0.15"/>
    <row r="792" s="120" customFormat="1" x14ac:dyDescent="0.15"/>
    <row r="793" s="120" customFormat="1" x14ac:dyDescent="0.15"/>
    <row r="794" s="120" customFormat="1" x14ac:dyDescent="0.15"/>
    <row r="795" s="120" customFormat="1" x14ac:dyDescent="0.15"/>
    <row r="796" s="120" customFormat="1" x14ac:dyDescent="0.15"/>
    <row r="797" s="120" customFormat="1" x14ac:dyDescent="0.15"/>
    <row r="798" s="120" customFormat="1" x14ac:dyDescent="0.15"/>
    <row r="799" s="120" customFormat="1" x14ac:dyDescent="0.15"/>
    <row r="800" s="120" customFormat="1" x14ac:dyDescent="0.15"/>
    <row r="801" s="120" customFormat="1" x14ac:dyDescent="0.15"/>
    <row r="802" s="120" customFormat="1" x14ac:dyDescent="0.15"/>
    <row r="803" s="120" customFormat="1" x14ac:dyDescent="0.15"/>
    <row r="804" s="120" customFormat="1" x14ac:dyDescent="0.15"/>
    <row r="805" s="120" customFormat="1" x14ac:dyDescent="0.15"/>
    <row r="806" s="120" customFormat="1" x14ac:dyDescent="0.15"/>
    <row r="807" s="120" customFormat="1" x14ac:dyDescent="0.15"/>
    <row r="808" s="120" customFormat="1" x14ac:dyDescent="0.15"/>
    <row r="809" s="120" customFormat="1" x14ac:dyDescent="0.15"/>
    <row r="810" s="120" customFormat="1" x14ac:dyDescent="0.15"/>
    <row r="811" s="120" customFormat="1" x14ac:dyDescent="0.15"/>
    <row r="812" s="120" customFormat="1" x14ac:dyDescent="0.15"/>
    <row r="813" s="120" customFormat="1" x14ac:dyDescent="0.15"/>
    <row r="814" s="120" customFormat="1" x14ac:dyDescent="0.15"/>
    <row r="815" s="120" customFormat="1" x14ac:dyDescent="0.15"/>
    <row r="816" s="120" customFormat="1" x14ac:dyDescent="0.15"/>
    <row r="817" s="120" customFormat="1" x14ac:dyDescent="0.15"/>
    <row r="818" s="120" customFormat="1" x14ac:dyDescent="0.15"/>
    <row r="819" s="120" customFormat="1" x14ac:dyDescent="0.15"/>
    <row r="820" s="120" customFormat="1" x14ac:dyDescent="0.15"/>
    <row r="821" s="120" customFormat="1" x14ac:dyDescent="0.15"/>
    <row r="822" s="120" customFormat="1" x14ac:dyDescent="0.15"/>
    <row r="823" s="120" customFormat="1" x14ac:dyDescent="0.15"/>
    <row r="824" s="120" customFormat="1" x14ac:dyDescent="0.15"/>
    <row r="825" s="120" customFormat="1" x14ac:dyDescent="0.15"/>
    <row r="826" s="120" customFormat="1" x14ac:dyDescent="0.15"/>
    <row r="827" s="120" customFormat="1" x14ac:dyDescent="0.15"/>
    <row r="828" s="120" customFormat="1" x14ac:dyDescent="0.15"/>
    <row r="829" s="120" customFormat="1" x14ac:dyDescent="0.15"/>
    <row r="830" s="120" customFormat="1" x14ac:dyDescent="0.15"/>
    <row r="831" s="120" customFormat="1" x14ac:dyDescent="0.15"/>
    <row r="832" s="120" customFormat="1" x14ac:dyDescent="0.15"/>
    <row r="833" s="120" customFormat="1" x14ac:dyDescent="0.15"/>
    <row r="834" s="120" customFormat="1" x14ac:dyDescent="0.15"/>
    <row r="835" s="120" customFormat="1" x14ac:dyDescent="0.15"/>
    <row r="836" s="120" customFormat="1" x14ac:dyDescent="0.15"/>
    <row r="837" s="120" customFormat="1" x14ac:dyDescent="0.15"/>
    <row r="838" s="120" customFormat="1" x14ac:dyDescent="0.15"/>
    <row r="839" s="120" customFormat="1" x14ac:dyDescent="0.15"/>
    <row r="840" s="120" customFormat="1" x14ac:dyDescent="0.15"/>
    <row r="841" s="120" customFormat="1" x14ac:dyDescent="0.15"/>
    <row r="842" s="120" customFormat="1" x14ac:dyDescent="0.15"/>
    <row r="843" s="120" customFormat="1" x14ac:dyDescent="0.15"/>
    <row r="844" s="120" customFormat="1" x14ac:dyDescent="0.15"/>
    <row r="845" s="120" customFormat="1" x14ac:dyDescent="0.15"/>
    <row r="846" s="120" customFormat="1" x14ac:dyDescent="0.15"/>
    <row r="847" s="120" customFormat="1" x14ac:dyDescent="0.15"/>
    <row r="848" s="120" customFormat="1" x14ac:dyDescent="0.15"/>
    <row r="849" s="120" customFormat="1" x14ac:dyDescent="0.15"/>
    <row r="850" s="120" customFormat="1" x14ac:dyDescent="0.15"/>
    <row r="851" s="120" customFormat="1" x14ac:dyDescent="0.15"/>
    <row r="852" s="120" customFormat="1" x14ac:dyDescent="0.15"/>
    <row r="853" s="120" customFormat="1" x14ac:dyDescent="0.15"/>
    <row r="854" s="120" customFormat="1" x14ac:dyDescent="0.15"/>
    <row r="855" s="120" customFormat="1" x14ac:dyDescent="0.15"/>
    <row r="856" s="120" customFormat="1" x14ac:dyDescent="0.15"/>
    <row r="857" s="120" customFormat="1" x14ac:dyDescent="0.15"/>
    <row r="858" s="120" customFormat="1" x14ac:dyDescent="0.15"/>
    <row r="859" s="120" customFormat="1" x14ac:dyDescent="0.15"/>
    <row r="860" s="120" customFormat="1" x14ac:dyDescent="0.15"/>
    <row r="861" s="120" customFormat="1" x14ac:dyDescent="0.15"/>
    <row r="862" s="120" customFormat="1" x14ac:dyDescent="0.15"/>
    <row r="863" s="120" customFormat="1" x14ac:dyDescent="0.15"/>
    <row r="864" s="120" customFormat="1" x14ac:dyDescent="0.15"/>
    <row r="865" s="120" customFormat="1" x14ac:dyDescent="0.15"/>
    <row r="866" s="120" customFormat="1" x14ac:dyDescent="0.15"/>
    <row r="867" s="120" customFormat="1" x14ac:dyDescent="0.15"/>
    <row r="868" s="120" customFormat="1" x14ac:dyDescent="0.15"/>
    <row r="869" s="120" customFormat="1" x14ac:dyDescent="0.15"/>
    <row r="870" s="120" customFormat="1" x14ac:dyDescent="0.15"/>
    <row r="871" s="120" customFormat="1" x14ac:dyDescent="0.15"/>
    <row r="872" s="120" customFormat="1" x14ac:dyDescent="0.15"/>
    <row r="873" s="120" customFormat="1" x14ac:dyDescent="0.15"/>
    <row r="874" s="120" customFormat="1" x14ac:dyDescent="0.15"/>
    <row r="875" s="120" customFormat="1" x14ac:dyDescent="0.15"/>
    <row r="876" s="120" customFormat="1" x14ac:dyDescent="0.15"/>
    <row r="877" s="120" customFormat="1" x14ac:dyDescent="0.15"/>
    <row r="878" s="120" customFormat="1" x14ac:dyDescent="0.15"/>
    <row r="879" s="120" customFormat="1" x14ac:dyDescent="0.15"/>
    <row r="880" s="120" customFormat="1" x14ac:dyDescent="0.15"/>
    <row r="881" s="120" customFormat="1" x14ac:dyDescent="0.15"/>
    <row r="882" s="120" customFormat="1" x14ac:dyDescent="0.15"/>
    <row r="883" s="120" customFormat="1" x14ac:dyDescent="0.15"/>
    <row r="884" s="120" customFormat="1" x14ac:dyDescent="0.15"/>
    <row r="885" s="120" customFormat="1" x14ac:dyDescent="0.15"/>
    <row r="886" s="120" customFormat="1" x14ac:dyDescent="0.15"/>
    <row r="887" s="120" customFormat="1" x14ac:dyDescent="0.15"/>
    <row r="888" s="120" customFormat="1" x14ac:dyDescent="0.15"/>
    <row r="889" s="120" customFormat="1" x14ac:dyDescent="0.15"/>
    <row r="890" s="120" customFormat="1" x14ac:dyDescent="0.15"/>
    <row r="891" s="120" customFormat="1" x14ac:dyDescent="0.15"/>
    <row r="892" s="120" customFormat="1" x14ac:dyDescent="0.15"/>
    <row r="893" s="120" customFormat="1" x14ac:dyDescent="0.15"/>
    <row r="894" s="120" customFormat="1" x14ac:dyDescent="0.15"/>
    <row r="895" s="120" customFormat="1" x14ac:dyDescent="0.15"/>
    <row r="896" s="120" customFormat="1" x14ac:dyDescent="0.15"/>
    <row r="897" s="120" customFormat="1" x14ac:dyDescent="0.15"/>
    <row r="898" s="120" customFormat="1" x14ac:dyDescent="0.15"/>
    <row r="899" s="120" customFormat="1" x14ac:dyDescent="0.15"/>
    <row r="900" s="120" customFormat="1" x14ac:dyDescent="0.15"/>
    <row r="901" s="120" customFormat="1" x14ac:dyDescent="0.15"/>
    <row r="902" s="120" customFormat="1" x14ac:dyDescent="0.15"/>
    <row r="903" s="120" customFormat="1" x14ac:dyDescent="0.15"/>
    <row r="904" s="120" customFormat="1" x14ac:dyDescent="0.15"/>
    <row r="905" s="120" customFormat="1" x14ac:dyDescent="0.15"/>
    <row r="906" s="120" customFormat="1" x14ac:dyDescent="0.15"/>
    <row r="907" s="120" customFormat="1" x14ac:dyDescent="0.15"/>
    <row r="908" s="120" customFormat="1" x14ac:dyDescent="0.15"/>
    <row r="909" s="120" customFormat="1" x14ac:dyDescent="0.15"/>
    <row r="910" s="120" customFormat="1" x14ac:dyDescent="0.15"/>
    <row r="911" s="120" customFormat="1" x14ac:dyDescent="0.15"/>
    <row r="912" s="120" customFormat="1" x14ac:dyDescent="0.15"/>
    <row r="913" s="120" customFormat="1" x14ac:dyDescent="0.15"/>
    <row r="914" s="120" customFormat="1" x14ac:dyDescent="0.15"/>
    <row r="915" s="120" customFormat="1" x14ac:dyDescent="0.15"/>
    <row r="916" s="120" customFormat="1" x14ac:dyDescent="0.15"/>
    <row r="917" s="120" customFormat="1" x14ac:dyDescent="0.15"/>
    <row r="918" s="120" customFormat="1" x14ac:dyDescent="0.15"/>
    <row r="919" s="120" customFormat="1" x14ac:dyDescent="0.15"/>
    <row r="920" s="120" customFormat="1" x14ac:dyDescent="0.15"/>
    <row r="921" s="120" customFormat="1" x14ac:dyDescent="0.15"/>
    <row r="922" s="120" customFormat="1" x14ac:dyDescent="0.15"/>
    <row r="923" s="120" customFormat="1" x14ac:dyDescent="0.15"/>
    <row r="924" s="120" customFormat="1" x14ac:dyDescent="0.15"/>
    <row r="925" s="120" customFormat="1" x14ac:dyDescent="0.15"/>
    <row r="926" s="120" customFormat="1" x14ac:dyDescent="0.15"/>
    <row r="927" s="120" customFormat="1" x14ac:dyDescent="0.15"/>
    <row r="928" s="120" customFormat="1" x14ac:dyDescent="0.15"/>
    <row r="929" s="120" customFormat="1" x14ac:dyDescent="0.15"/>
    <row r="930" s="120" customFormat="1" x14ac:dyDescent="0.15"/>
    <row r="931" s="120" customFormat="1" x14ac:dyDescent="0.15"/>
    <row r="932" s="120" customFormat="1" x14ac:dyDescent="0.15"/>
    <row r="933" s="120" customFormat="1" x14ac:dyDescent="0.15"/>
    <row r="934" s="120" customFormat="1" x14ac:dyDescent="0.15"/>
    <row r="935" s="120" customFormat="1" x14ac:dyDescent="0.15"/>
    <row r="936" s="120" customFormat="1" x14ac:dyDescent="0.15"/>
    <row r="937" s="120" customFormat="1" x14ac:dyDescent="0.15"/>
    <row r="938" s="120" customFormat="1" x14ac:dyDescent="0.15"/>
    <row r="939" s="120" customFormat="1" x14ac:dyDescent="0.15"/>
    <row r="940" s="120" customFormat="1" x14ac:dyDescent="0.15"/>
    <row r="941" s="120" customFormat="1" x14ac:dyDescent="0.15"/>
    <row r="942" s="120" customFormat="1" x14ac:dyDescent="0.15"/>
    <row r="943" s="120" customFormat="1" x14ac:dyDescent="0.15"/>
    <row r="944" s="120" customFormat="1" x14ac:dyDescent="0.15"/>
    <row r="945" s="120" customFormat="1" x14ac:dyDescent="0.15"/>
    <row r="946" s="120" customFormat="1" x14ac:dyDescent="0.15"/>
    <row r="947" s="120" customFormat="1" x14ac:dyDescent="0.15"/>
    <row r="948" s="120" customFormat="1" x14ac:dyDescent="0.15"/>
    <row r="949" s="120" customFormat="1" x14ac:dyDescent="0.15"/>
    <row r="950" s="120" customFormat="1" x14ac:dyDescent="0.15"/>
    <row r="951" s="120" customFormat="1" x14ac:dyDescent="0.15"/>
    <row r="952" s="120" customFormat="1" x14ac:dyDescent="0.15"/>
    <row r="953" s="120" customFormat="1" x14ac:dyDescent="0.15"/>
    <row r="954" s="120" customFormat="1" x14ac:dyDescent="0.15"/>
    <row r="955" s="120" customFormat="1" x14ac:dyDescent="0.15"/>
    <row r="956" s="120" customFormat="1" x14ac:dyDescent="0.15"/>
    <row r="957" s="120" customFormat="1" x14ac:dyDescent="0.15"/>
    <row r="958" s="120" customFormat="1" x14ac:dyDescent="0.15"/>
    <row r="959" s="120" customFormat="1" x14ac:dyDescent="0.15"/>
    <row r="960" s="120" customFormat="1" x14ac:dyDescent="0.15"/>
    <row r="961" s="120" customFormat="1" x14ac:dyDescent="0.15"/>
    <row r="962" s="120" customFormat="1" x14ac:dyDescent="0.15"/>
    <row r="963" s="120" customFormat="1" x14ac:dyDescent="0.15"/>
    <row r="964" s="120" customFormat="1" x14ac:dyDescent="0.15"/>
    <row r="965" s="120" customFormat="1" x14ac:dyDescent="0.15"/>
    <row r="966" s="120" customFormat="1" x14ac:dyDescent="0.15"/>
    <row r="967" s="120" customFormat="1" x14ac:dyDescent="0.15"/>
    <row r="968" s="120" customFormat="1" x14ac:dyDescent="0.15"/>
    <row r="969" s="120" customFormat="1" x14ac:dyDescent="0.15"/>
    <row r="970" s="120" customFormat="1" x14ac:dyDescent="0.15"/>
    <row r="971" s="120" customFormat="1" x14ac:dyDescent="0.15"/>
    <row r="972" s="120" customFormat="1" x14ac:dyDescent="0.15"/>
    <row r="973" s="120" customFormat="1" x14ac:dyDescent="0.15"/>
    <row r="974" s="120" customFormat="1" x14ac:dyDescent="0.15"/>
    <row r="975" s="120" customFormat="1" x14ac:dyDescent="0.15"/>
    <row r="976" s="120" customFormat="1" x14ac:dyDescent="0.15"/>
    <row r="977" s="120" customFormat="1" x14ac:dyDescent="0.15"/>
    <row r="978" s="120" customFormat="1" x14ac:dyDescent="0.15"/>
    <row r="979" s="120" customFormat="1" x14ac:dyDescent="0.15"/>
    <row r="980" s="120" customFormat="1" x14ac:dyDescent="0.15"/>
    <row r="981" s="120" customFormat="1" x14ac:dyDescent="0.15"/>
    <row r="982" s="120" customFormat="1" x14ac:dyDescent="0.15"/>
    <row r="983" s="120" customFormat="1" x14ac:dyDescent="0.15"/>
    <row r="984" s="120" customFormat="1" x14ac:dyDescent="0.15"/>
    <row r="985" s="120" customFormat="1" x14ac:dyDescent="0.15"/>
    <row r="986" s="120" customFormat="1" x14ac:dyDescent="0.15"/>
    <row r="987" s="120" customFormat="1" x14ac:dyDescent="0.15"/>
    <row r="988" s="120" customFormat="1" x14ac:dyDescent="0.15"/>
    <row r="989" s="120" customFormat="1" x14ac:dyDescent="0.15"/>
    <row r="990" s="120" customFormat="1" x14ac:dyDescent="0.15"/>
    <row r="991" s="120" customFormat="1" x14ac:dyDescent="0.15"/>
    <row r="992" s="120" customFormat="1" x14ac:dyDescent="0.15"/>
    <row r="993" s="120" customFormat="1" x14ac:dyDescent="0.15"/>
    <row r="994" s="120" customFormat="1" x14ac:dyDescent="0.15"/>
    <row r="995" s="120" customFormat="1" x14ac:dyDescent="0.15"/>
    <row r="996" s="120" customFormat="1" x14ac:dyDescent="0.15"/>
    <row r="997" s="120" customFormat="1" x14ac:dyDescent="0.15"/>
    <row r="998" s="120" customFormat="1" x14ac:dyDescent="0.15"/>
    <row r="999" s="120" customFormat="1" x14ac:dyDescent="0.15"/>
    <row r="1000" s="120" customFormat="1" x14ac:dyDescent="0.15"/>
    <row r="1001" s="120" customFormat="1" x14ac:dyDescent="0.15"/>
    <row r="1002" s="120" customFormat="1" x14ac:dyDescent="0.15"/>
    <row r="1003" s="120" customFormat="1" x14ac:dyDescent="0.15"/>
    <row r="1004" s="120" customFormat="1" x14ac:dyDescent="0.15"/>
    <row r="1005" s="120" customFormat="1" x14ac:dyDescent="0.15"/>
    <row r="1006" s="120" customFormat="1" x14ac:dyDescent="0.15"/>
    <row r="1007" s="120" customFormat="1" x14ac:dyDescent="0.15"/>
    <row r="1008" s="120" customFormat="1" x14ac:dyDescent="0.15"/>
    <row r="1009" s="120" customFormat="1" x14ac:dyDescent="0.15"/>
    <row r="1010" s="120" customFormat="1" x14ac:dyDescent="0.15"/>
    <row r="1011" s="120" customFormat="1" x14ac:dyDescent="0.15"/>
    <row r="1012" s="120" customFormat="1" x14ac:dyDescent="0.15"/>
    <row r="1013" s="120" customFormat="1" x14ac:dyDescent="0.15"/>
    <row r="1014" s="120" customFormat="1" x14ac:dyDescent="0.15"/>
    <row r="1015" s="120" customFormat="1" x14ac:dyDescent="0.15"/>
    <row r="1016" s="120" customFormat="1" x14ac:dyDescent="0.15"/>
    <row r="1017" s="120" customFormat="1" x14ac:dyDescent="0.15"/>
    <row r="1018" s="120" customFormat="1" x14ac:dyDescent="0.15"/>
    <row r="1019" s="120" customFormat="1" x14ac:dyDescent="0.15"/>
    <row r="1020" s="120" customFormat="1" x14ac:dyDescent="0.15"/>
    <row r="1021" s="120" customFormat="1" x14ac:dyDescent="0.15"/>
    <row r="1022" s="120" customFormat="1" x14ac:dyDescent="0.15"/>
    <row r="1023" s="120" customFormat="1" x14ac:dyDescent="0.15"/>
    <row r="1024" s="120" customFormat="1" x14ac:dyDescent="0.15"/>
    <row r="1025" s="120" customFormat="1" x14ac:dyDescent="0.15"/>
    <row r="1026" s="120" customFormat="1" x14ac:dyDescent="0.15"/>
    <row r="1027" s="120" customFormat="1" x14ac:dyDescent="0.15"/>
    <row r="1028" s="120" customFormat="1" x14ac:dyDescent="0.15"/>
    <row r="1029" s="120" customFormat="1" x14ac:dyDescent="0.15"/>
    <row r="1030" s="120" customFormat="1" x14ac:dyDescent="0.15"/>
    <row r="1031" s="120" customFormat="1" x14ac:dyDescent="0.15"/>
    <row r="1032" s="120" customFormat="1" x14ac:dyDescent="0.15"/>
    <row r="1033" s="120" customFormat="1" x14ac:dyDescent="0.15"/>
    <row r="1034" s="120" customFormat="1" x14ac:dyDescent="0.15"/>
    <row r="1035" s="120" customFormat="1" x14ac:dyDescent="0.15"/>
    <row r="1036" s="120" customFormat="1" x14ac:dyDescent="0.15"/>
    <row r="1037" s="120" customFormat="1" x14ac:dyDescent="0.15"/>
    <row r="1038" s="120" customFormat="1" x14ac:dyDescent="0.15"/>
    <row r="1039" s="120" customFormat="1" x14ac:dyDescent="0.15"/>
    <row r="1040" s="120" customFormat="1" x14ac:dyDescent="0.15"/>
    <row r="1041" s="120" customFormat="1" x14ac:dyDescent="0.15"/>
    <row r="1042" s="120" customFormat="1" x14ac:dyDescent="0.15"/>
    <row r="1043" s="120" customFormat="1" x14ac:dyDescent="0.15"/>
    <row r="1044" s="120" customFormat="1" x14ac:dyDescent="0.15"/>
    <row r="1045" s="120" customFormat="1" x14ac:dyDescent="0.15"/>
    <row r="1046" s="120" customFormat="1" x14ac:dyDescent="0.15"/>
    <row r="1047" s="120" customFormat="1" x14ac:dyDescent="0.15"/>
    <row r="1048" s="120" customFormat="1" x14ac:dyDescent="0.15"/>
    <row r="1049" s="120" customFormat="1" x14ac:dyDescent="0.15"/>
    <row r="1050" s="120" customFormat="1" x14ac:dyDescent="0.15"/>
    <row r="1051" s="120" customFormat="1" x14ac:dyDescent="0.15"/>
    <row r="1052" s="120" customFormat="1" x14ac:dyDescent="0.15"/>
    <row r="1053" s="120" customFormat="1" x14ac:dyDescent="0.15"/>
    <row r="1054" s="120" customFormat="1" x14ac:dyDescent="0.15"/>
    <row r="1055" s="120" customFormat="1" x14ac:dyDescent="0.15"/>
    <row r="1056" s="120" customFormat="1" x14ac:dyDescent="0.15"/>
    <row r="1057" s="120" customFormat="1" x14ac:dyDescent="0.15"/>
    <row r="1058" s="120" customFormat="1" x14ac:dyDescent="0.15"/>
    <row r="1059" s="120" customFormat="1" x14ac:dyDescent="0.15"/>
    <row r="1060" s="120" customFormat="1" x14ac:dyDescent="0.15"/>
    <row r="1061" s="120" customFormat="1" x14ac:dyDescent="0.15"/>
    <row r="1062" s="120" customFormat="1" x14ac:dyDescent="0.15"/>
    <row r="1063" s="120" customFormat="1" x14ac:dyDescent="0.15"/>
    <row r="1064" s="120" customFormat="1" x14ac:dyDescent="0.15"/>
    <row r="1065" s="120" customFormat="1" x14ac:dyDescent="0.15"/>
    <row r="1066" s="120" customFormat="1" x14ac:dyDescent="0.15"/>
    <row r="1067" s="120" customFormat="1" x14ac:dyDescent="0.15"/>
    <row r="1068" s="120" customFormat="1" x14ac:dyDescent="0.15"/>
    <row r="1069" s="120" customFormat="1" x14ac:dyDescent="0.15"/>
    <row r="1070" s="120" customFormat="1" x14ac:dyDescent="0.15"/>
    <row r="1071" s="120" customFormat="1" x14ac:dyDescent="0.15"/>
    <row r="1072" s="120" customFormat="1" x14ac:dyDescent="0.15"/>
    <row r="1073" s="120" customFormat="1" x14ac:dyDescent="0.15"/>
    <row r="1074" s="120" customFormat="1" x14ac:dyDescent="0.15"/>
    <row r="1075" s="120" customFormat="1" x14ac:dyDescent="0.15"/>
    <row r="1076" s="120" customFormat="1" x14ac:dyDescent="0.15"/>
    <row r="1077" s="120" customFormat="1" x14ac:dyDescent="0.15"/>
    <row r="1078" s="120" customFormat="1" x14ac:dyDescent="0.15"/>
    <row r="1079" s="120" customFormat="1" x14ac:dyDescent="0.15"/>
    <row r="1080" s="120" customFormat="1" x14ac:dyDescent="0.15"/>
    <row r="1081" s="120" customFormat="1" x14ac:dyDescent="0.15"/>
    <row r="1082" s="120" customFormat="1" x14ac:dyDescent="0.15"/>
    <row r="1083" s="120" customFormat="1" x14ac:dyDescent="0.15"/>
    <row r="1084" s="120" customFormat="1" x14ac:dyDescent="0.15"/>
    <row r="1085" s="120" customFormat="1" x14ac:dyDescent="0.15"/>
    <row r="1086" s="120" customFormat="1" x14ac:dyDescent="0.15"/>
    <row r="1087" s="120" customFormat="1" x14ac:dyDescent="0.15"/>
    <row r="1088" s="120" customFormat="1" x14ac:dyDescent="0.15"/>
    <row r="1089" s="120" customFormat="1" x14ac:dyDescent="0.15"/>
    <row r="1090" s="120" customFormat="1" x14ac:dyDescent="0.15"/>
    <row r="1091" s="120" customFormat="1" x14ac:dyDescent="0.15"/>
    <row r="1092" s="120" customFormat="1" x14ac:dyDescent="0.15"/>
    <row r="1093" s="120" customFormat="1" x14ac:dyDescent="0.15"/>
    <row r="1094" s="120" customFormat="1" x14ac:dyDescent="0.15"/>
    <row r="1095" s="120" customFormat="1" x14ac:dyDescent="0.15"/>
    <row r="1096" s="120" customFormat="1" x14ac:dyDescent="0.15"/>
    <row r="1097" s="120" customFormat="1" x14ac:dyDescent="0.15"/>
    <row r="1098" s="120" customFormat="1" x14ac:dyDescent="0.15"/>
    <row r="1099" s="120" customFormat="1" x14ac:dyDescent="0.15"/>
    <row r="1100" s="120" customFormat="1" x14ac:dyDescent="0.15"/>
    <row r="1101" s="120" customFormat="1" x14ac:dyDescent="0.15"/>
    <row r="1102" s="120" customFormat="1" x14ac:dyDescent="0.15"/>
    <row r="1103" s="120" customFormat="1" x14ac:dyDescent="0.15"/>
    <row r="1104" s="120" customFormat="1" x14ac:dyDescent="0.15"/>
    <row r="1105" s="120" customFormat="1" x14ac:dyDescent="0.15"/>
    <row r="1106" s="120" customFormat="1" x14ac:dyDescent="0.15"/>
    <row r="1107" s="120" customFormat="1" x14ac:dyDescent="0.15"/>
    <row r="1108" s="120" customFormat="1" x14ac:dyDescent="0.15"/>
    <row r="1109" s="120" customFormat="1" x14ac:dyDescent="0.15"/>
    <row r="1110" s="120" customFormat="1" x14ac:dyDescent="0.15"/>
    <row r="1111" s="120" customFormat="1" x14ac:dyDescent="0.15"/>
    <row r="1112" s="120" customFormat="1" x14ac:dyDescent="0.15"/>
    <row r="1113" s="120" customFormat="1" x14ac:dyDescent="0.15"/>
    <row r="1114" s="120" customFormat="1" x14ac:dyDescent="0.15"/>
    <row r="1115" s="120" customFormat="1" x14ac:dyDescent="0.15"/>
    <row r="1116" s="120" customFormat="1" x14ac:dyDescent="0.15"/>
    <row r="1117" s="120" customFormat="1" x14ac:dyDescent="0.15"/>
    <row r="1118" s="120" customFormat="1" x14ac:dyDescent="0.15"/>
    <row r="1119" s="120" customFormat="1" x14ac:dyDescent="0.15"/>
    <row r="1120" s="120" customFormat="1" x14ac:dyDescent="0.15"/>
    <row r="1121" s="120" customFormat="1" x14ac:dyDescent="0.15"/>
    <row r="1122" s="120" customFormat="1" x14ac:dyDescent="0.15"/>
    <row r="1123" s="120" customFormat="1" x14ac:dyDescent="0.15"/>
    <row r="1124" s="120" customFormat="1" x14ac:dyDescent="0.15"/>
    <row r="1125" s="120" customFormat="1" x14ac:dyDescent="0.15"/>
    <row r="1126" s="120" customFormat="1" x14ac:dyDescent="0.15"/>
    <row r="1127" s="120" customFormat="1" x14ac:dyDescent="0.15"/>
    <row r="1128" s="120" customFormat="1" x14ac:dyDescent="0.15"/>
    <row r="1129" s="120" customFormat="1" x14ac:dyDescent="0.15"/>
    <row r="1130" s="120" customFormat="1" x14ac:dyDescent="0.15"/>
    <row r="1131" s="120" customFormat="1" x14ac:dyDescent="0.15"/>
    <row r="1132" s="120" customFormat="1" x14ac:dyDescent="0.15"/>
    <row r="1133" s="120" customFormat="1" x14ac:dyDescent="0.15"/>
    <row r="1134" s="120" customFormat="1" x14ac:dyDescent="0.15"/>
    <row r="1135" s="120" customFormat="1" x14ac:dyDescent="0.15"/>
    <row r="1136" s="120" customFormat="1" x14ac:dyDescent="0.15"/>
    <row r="1137" s="120" customFormat="1" x14ac:dyDescent="0.15"/>
    <row r="1138" s="120" customFormat="1" x14ac:dyDescent="0.15"/>
    <row r="1139" s="120" customFormat="1" x14ac:dyDescent="0.15"/>
    <row r="1140" s="120" customFormat="1" x14ac:dyDescent="0.15"/>
    <row r="1141" s="120" customFormat="1" x14ac:dyDescent="0.15"/>
    <row r="1142" s="120" customFormat="1" x14ac:dyDescent="0.15"/>
    <row r="1143" s="120" customFormat="1" x14ac:dyDescent="0.15"/>
    <row r="1144" s="120" customFormat="1" x14ac:dyDescent="0.15"/>
    <row r="1145" s="120" customFormat="1" x14ac:dyDescent="0.15"/>
    <row r="1146" s="120" customFormat="1" x14ac:dyDescent="0.15"/>
    <row r="1147" s="120" customFormat="1" x14ac:dyDescent="0.15"/>
    <row r="1148" s="120" customFormat="1" x14ac:dyDescent="0.15"/>
    <row r="1149" s="120" customFormat="1" x14ac:dyDescent="0.15"/>
    <row r="1150" s="120" customFormat="1" x14ac:dyDescent="0.15"/>
    <row r="1151" s="120" customFormat="1" x14ac:dyDescent="0.15"/>
    <row r="1152" s="120" customFormat="1" x14ac:dyDescent="0.15"/>
    <row r="1153" s="120" customFormat="1" x14ac:dyDescent="0.15"/>
    <row r="1154" s="120" customFormat="1" x14ac:dyDescent="0.15"/>
    <row r="1155" s="120" customFormat="1" x14ac:dyDescent="0.15"/>
    <row r="1156" s="120" customFormat="1" x14ac:dyDescent="0.15"/>
    <row r="1157" s="120" customFormat="1" x14ac:dyDescent="0.15"/>
    <row r="1158" s="120" customFormat="1" x14ac:dyDescent="0.15"/>
    <row r="1159" s="120" customFormat="1" x14ac:dyDescent="0.15"/>
    <row r="1160" s="120" customFormat="1" x14ac:dyDescent="0.15"/>
    <row r="1161" s="120" customFormat="1" x14ac:dyDescent="0.15"/>
    <row r="1162" s="120" customFormat="1" x14ac:dyDescent="0.15"/>
    <row r="1163" s="120" customFormat="1" x14ac:dyDescent="0.15"/>
    <row r="1164" s="120" customFormat="1" x14ac:dyDescent="0.15"/>
    <row r="1165" s="120" customFormat="1" x14ac:dyDescent="0.15"/>
    <row r="1166" s="120" customFormat="1" x14ac:dyDescent="0.15"/>
    <row r="1167" s="120" customFormat="1" x14ac:dyDescent="0.15"/>
    <row r="1168" s="120" customFormat="1" x14ac:dyDescent="0.15"/>
    <row r="1169" s="120" customFormat="1" x14ac:dyDescent="0.15"/>
    <row r="1170" s="120" customFormat="1" x14ac:dyDescent="0.15"/>
    <row r="1171" s="120" customFormat="1" x14ac:dyDescent="0.15"/>
    <row r="1172" s="120" customFormat="1" x14ac:dyDescent="0.15"/>
    <row r="1173" s="120" customFormat="1" x14ac:dyDescent="0.15"/>
    <row r="1174" s="120" customFormat="1" x14ac:dyDescent="0.15"/>
    <row r="1175" s="120" customFormat="1" x14ac:dyDescent="0.15"/>
    <row r="1176" s="120" customFormat="1" x14ac:dyDescent="0.15"/>
    <row r="1177" s="120" customFormat="1" x14ac:dyDescent="0.15"/>
    <row r="1178" s="120" customFormat="1" x14ac:dyDescent="0.15"/>
    <row r="1179" s="120" customFormat="1" x14ac:dyDescent="0.15"/>
    <row r="1180" s="120" customFormat="1" x14ac:dyDescent="0.15"/>
    <row r="1181" s="120" customFormat="1" x14ac:dyDescent="0.15"/>
    <row r="1182" s="120" customFormat="1" x14ac:dyDescent="0.15"/>
    <row r="1183" s="120" customFormat="1" x14ac:dyDescent="0.15"/>
    <row r="1184" s="120" customFormat="1" x14ac:dyDescent="0.15"/>
    <row r="1185" s="120" customFormat="1" x14ac:dyDescent="0.15"/>
    <row r="1186" s="120" customFormat="1" x14ac:dyDescent="0.15"/>
    <row r="1187" s="120" customFormat="1" x14ac:dyDescent="0.15"/>
    <row r="1188" s="120" customFormat="1" x14ac:dyDescent="0.15"/>
    <row r="1189" s="120" customFormat="1" x14ac:dyDescent="0.15"/>
    <row r="1190" s="120" customFormat="1" x14ac:dyDescent="0.15"/>
    <row r="1191" s="120" customFormat="1" x14ac:dyDescent="0.15"/>
    <row r="1192" s="120" customFormat="1" x14ac:dyDescent="0.15"/>
    <row r="1193" s="120" customFormat="1" x14ac:dyDescent="0.15"/>
    <row r="1194" s="120" customFormat="1" x14ac:dyDescent="0.15"/>
    <row r="1195" s="120" customFormat="1" x14ac:dyDescent="0.15"/>
    <row r="1196" s="120" customFormat="1" x14ac:dyDescent="0.15"/>
    <row r="1197" s="120" customFormat="1" x14ac:dyDescent="0.15"/>
    <row r="1198" s="120" customFormat="1" x14ac:dyDescent="0.15"/>
    <row r="1199" s="120" customFormat="1" x14ac:dyDescent="0.15"/>
    <row r="1200" s="120" customFormat="1" x14ac:dyDescent="0.15"/>
    <row r="1201" s="120" customFormat="1" x14ac:dyDescent="0.15"/>
    <row r="1202" s="120" customFormat="1" x14ac:dyDescent="0.15"/>
    <row r="1203" s="120" customFormat="1" x14ac:dyDescent="0.15"/>
    <row r="1204" s="120" customFormat="1" x14ac:dyDescent="0.15"/>
    <row r="1205" s="120" customFormat="1" x14ac:dyDescent="0.15"/>
    <row r="1206" s="120" customFormat="1" x14ac:dyDescent="0.15"/>
    <row r="1207" s="120" customFormat="1" x14ac:dyDescent="0.15"/>
    <row r="1208" s="120" customFormat="1" x14ac:dyDescent="0.15"/>
    <row r="1209" s="120" customFormat="1" x14ac:dyDescent="0.15"/>
    <row r="1210" s="120" customFormat="1" x14ac:dyDescent="0.15"/>
    <row r="1211" s="120" customFormat="1" x14ac:dyDescent="0.15"/>
    <row r="1212" s="120" customFormat="1" x14ac:dyDescent="0.15"/>
    <row r="1213" s="120" customFormat="1" x14ac:dyDescent="0.15"/>
    <row r="1214" s="120" customFormat="1" x14ac:dyDescent="0.15"/>
    <row r="1215" s="120" customFormat="1" x14ac:dyDescent="0.15"/>
    <row r="1216" s="120" customFormat="1" x14ac:dyDescent="0.15"/>
    <row r="1217" s="120" customFormat="1" x14ac:dyDescent="0.15"/>
    <row r="1218" s="120" customFormat="1" x14ac:dyDescent="0.15"/>
    <row r="1219" s="120" customFormat="1" x14ac:dyDescent="0.15"/>
    <row r="1220" s="120" customFormat="1" x14ac:dyDescent="0.15"/>
    <row r="1221" s="120" customFormat="1" x14ac:dyDescent="0.15"/>
    <row r="1222" s="120" customFormat="1" x14ac:dyDescent="0.15"/>
    <row r="1223" s="120" customFormat="1" x14ac:dyDescent="0.15"/>
    <row r="1224" s="120" customFormat="1" x14ac:dyDescent="0.15"/>
    <row r="1225" s="120" customFormat="1" x14ac:dyDescent="0.15"/>
    <row r="1226" s="120" customFormat="1" x14ac:dyDescent="0.15"/>
    <row r="1227" s="120" customFormat="1" x14ac:dyDescent="0.15"/>
    <row r="1228" s="120" customFormat="1" x14ac:dyDescent="0.15"/>
    <row r="1229" s="120" customFormat="1" x14ac:dyDescent="0.15"/>
    <row r="1230" s="120" customFormat="1" x14ac:dyDescent="0.15"/>
    <row r="1231" s="120" customFormat="1" x14ac:dyDescent="0.15"/>
    <row r="1232" s="120" customFormat="1" x14ac:dyDescent="0.15"/>
    <row r="1233" s="120" customFormat="1" x14ac:dyDescent="0.15"/>
    <row r="1234" s="120" customFormat="1" x14ac:dyDescent="0.15"/>
    <row r="1235" s="120" customFormat="1" x14ac:dyDescent="0.15"/>
    <row r="1236" s="120" customFormat="1" x14ac:dyDescent="0.15"/>
    <row r="1237" s="120" customFormat="1" x14ac:dyDescent="0.15"/>
    <row r="1238" s="120" customFormat="1" x14ac:dyDescent="0.15"/>
    <row r="1239" s="120" customFormat="1" x14ac:dyDescent="0.15"/>
    <row r="1240" s="120" customFormat="1" x14ac:dyDescent="0.15"/>
    <row r="1241" s="120" customFormat="1" x14ac:dyDescent="0.15"/>
    <row r="1242" s="120" customFormat="1" x14ac:dyDescent="0.15"/>
    <row r="1243" s="120" customFormat="1" x14ac:dyDescent="0.15"/>
    <row r="1244" s="120" customFormat="1" x14ac:dyDescent="0.15"/>
    <row r="1245" s="120" customFormat="1" x14ac:dyDescent="0.15"/>
    <row r="1246" s="120" customFormat="1" x14ac:dyDescent="0.15"/>
    <row r="1247" s="120" customFormat="1" x14ac:dyDescent="0.15"/>
    <row r="1248" s="120" customFormat="1" x14ac:dyDescent="0.15"/>
    <row r="1249" s="120" customFormat="1" x14ac:dyDescent="0.15"/>
    <row r="1250" s="120" customFormat="1" x14ac:dyDescent="0.15"/>
    <row r="1251" s="120" customFormat="1" x14ac:dyDescent="0.15"/>
    <row r="1252" s="120" customFormat="1" x14ac:dyDescent="0.15"/>
    <row r="1253" s="120" customFormat="1" x14ac:dyDescent="0.15"/>
    <row r="1254" s="120" customFormat="1" x14ac:dyDescent="0.15"/>
    <row r="1255" s="120" customFormat="1" x14ac:dyDescent="0.15"/>
    <row r="1256" s="120" customFormat="1" x14ac:dyDescent="0.15"/>
    <row r="1257" s="120" customFormat="1" x14ac:dyDescent="0.15"/>
    <row r="1258" s="120" customFormat="1" x14ac:dyDescent="0.15"/>
    <row r="1259" s="120" customFormat="1" x14ac:dyDescent="0.15"/>
    <row r="1260" s="120" customFormat="1" x14ac:dyDescent="0.15"/>
    <row r="1261" s="120" customFormat="1" x14ac:dyDescent="0.15"/>
    <row r="1262" s="120" customFormat="1" x14ac:dyDescent="0.15"/>
    <row r="1263" s="120" customFormat="1" x14ac:dyDescent="0.15"/>
    <row r="1264" s="120" customFormat="1" x14ac:dyDescent="0.15"/>
    <row r="1265" s="120" customFormat="1" x14ac:dyDescent="0.15"/>
    <row r="1266" s="120" customFormat="1" x14ac:dyDescent="0.15"/>
    <row r="1267" s="120" customFormat="1" x14ac:dyDescent="0.15"/>
    <row r="1268" s="120" customFormat="1" x14ac:dyDescent="0.15"/>
    <row r="1269" s="120" customFormat="1" x14ac:dyDescent="0.15"/>
    <row r="1270" s="120" customFormat="1" x14ac:dyDescent="0.15"/>
    <row r="1271" s="120" customFormat="1" x14ac:dyDescent="0.15"/>
    <row r="1272" s="120" customFormat="1" x14ac:dyDescent="0.15"/>
    <row r="1273" s="120" customFormat="1" x14ac:dyDescent="0.15"/>
    <row r="1274" s="120" customFormat="1" x14ac:dyDescent="0.15"/>
    <row r="1275" s="120" customFormat="1" x14ac:dyDescent="0.15"/>
    <row r="1276" s="120" customFormat="1" x14ac:dyDescent="0.15"/>
    <row r="1277" s="120" customFormat="1" x14ac:dyDescent="0.15"/>
    <row r="1278" s="120" customFormat="1" x14ac:dyDescent="0.15"/>
    <row r="1279" s="120" customFormat="1" x14ac:dyDescent="0.15"/>
    <row r="1280" s="120" customFormat="1" x14ac:dyDescent="0.15"/>
    <row r="1281" s="120" customFormat="1" x14ac:dyDescent="0.15"/>
    <row r="1282" s="120" customFormat="1" x14ac:dyDescent="0.15"/>
    <row r="1283" s="120" customFormat="1" x14ac:dyDescent="0.15"/>
    <row r="1284" s="120" customFormat="1" x14ac:dyDescent="0.15"/>
    <row r="1285" s="120" customFormat="1" x14ac:dyDescent="0.15"/>
    <row r="1286" s="120" customFormat="1" x14ac:dyDescent="0.15"/>
    <row r="1287" s="120" customFormat="1" x14ac:dyDescent="0.15"/>
    <row r="1288" s="120" customFormat="1" x14ac:dyDescent="0.15"/>
    <row r="1289" s="120" customFormat="1" x14ac:dyDescent="0.15"/>
    <row r="1290" s="120" customFormat="1" x14ac:dyDescent="0.15"/>
    <row r="1291" s="120" customFormat="1" x14ac:dyDescent="0.15"/>
    <row r="1292" s="120" customFormat="1" x14ac:dyDescent="0.15"/>
    <row r="1293" s="120" customFormat="1" x14ac:dyDescent="0.15"/>
    <row r="1294" s="120" customFormat="1" x14ac:dyDescent="0.15"/>
    <row r="1295" s="120" customFormat="1" x14ac:dyDescent="0.15"/>
    <row r="1296" s="120" customFormat="1" x14ac:dyDescent="0.15"/>
    <row r="1297" s="120" customFormat="1" x14ac:dyDescent="0.15"/>
    <row r="1298" s="120" customFormat="1" x14ac:dyDescent="0.15"/>
    <row r="1299" s="120" customFormat="1" x14ac:dyDescent="0.15"/>
    <row r="1300" s="120" customFormat="1" x14ac:dyDescent="0.15"/>
    <row r="1301" s="120" customFormat="1" x14ac:dyDescent="0.15"/>
    <row r="1302" s="120" customFormat="1" x14ac:dyDescent="0.15"/>
    <row r="1303" s="120" customFormat="1" x14ac:dyDescent="0.15"/>
    <row r="1304" s="120" customFormat="1" x14ac:dyDescent="0.15"/>
    <row r="1305" s="120" customFormat="1" x14ac:dyDescent="0.15"/>
    <row r="1306" s="120" customFormat="1" x14ac:dyDescent="0.15"/>
    <row r="1307" s="120" customFormat="1" x14ac:dyDescent="0.15"/>
    <row r="1308" s="120" customFormat="1" x14ac:dyDescent="0.15"/>
    <row r="1309" s="120" customFormat="1" x14ac:dyDescent="0.15"/>
    <row r="1310" s="120" customFormat="1" x14ac:dyDescent="0.15"/>
    <row r="1311" s="120" customFormat="1" x14ac:dyDescent="0.15"/>
    <row r="1312" s="120" customFormat="1" x14ac:dyDescent="0.15"/>
    <row r="1313" s="120" customFormat="1" x14ac:dyDescent="0.15"/>
    <row r="1314" s="120" customFormat="1" x14ac:dyDescent="0.15"/>
    <row r="1315" s="120" customFormat="1" x14ac:dyDescent="0.15"/>
    <row r="1316" s="120" customFormat="1" x14ac:dyDescent="0.15"/>
    <row r="1317" s="120" customFormat="1" x14ac:dyDescent="0.15"/>
    <row r="1318" s="120" customFormat="1" x14ac:dyDescent="0.15"/>
    <row r="1319" s="120" customFormat="1" x14ac:dyDescent="0.15"/>
    <row r="1320" s="120" customFormat="1" x14ac:dyDescent="0.15"/>
    <row r="1321" s="120" customFormat="1" x14ac:dyDescent="0.15"/>
    <row r="1322" s="120" customFormat="1" x14ac:dyDescent="0.15"/>
    <row r="1323" s="120" customFormat="1" x14ac:dyDescent="0.15"/>
    <row r="1324" s="120" customFormat="1" x14ac:dyDescent="0.15"/>
    <row r="1325" s="120" customFormat="1" x14ac:dyDescent="0.15"/>
    <row r="1326" s="120" customFormat="1" x14ac:dyDescent="0.15"/>
    <row r="1327" s="120" customFormat="1" x14ac:dyDescent="0.15"/>
    <row r="1328" s="120" customFormat="1" x14ac:dyDescent="0.15"/>
    <row r="1329" s="120" customFormat="1" x14ac:dyDescent="0.15"/>
    <row r="1330" s="120" customFormat="1" x14ac:dyDescent="0.15"/>
    <row r="1331" s="120" customFormat="1" x14ac:dyDescent="0.15"/>
    <row r="1332" s="120" customFormat="1" x14ac:dyDescent="0.15"/>
    <row r="1333" s="120" customFormat="1" x14ac:dyDescent="0.15"/>
    <row r="1334" s="120" customFormat="1" x14ac:dyDescent="0.15"/>
    <row r="1335" s="120" customFormat="1" x14ac:dyDescent="0.15"/>
    <row r="1336" s="120" customFormat="1" x14ac:dyDescent="0.15"/>
    <row r="1337" s="120" customFormat="1" x14ac:dyDescent="0.15"/>
    <row r="1338" s="120" customFormat="1" x14ac:dyDescent="0.15"/>
    <row r="1339" s="120" customFormat="1" x14ac:dyDescent="0.15"/>
    <row r="1340" s="120" customFormat="1" x14ac:dyDescent="0.15"/>
    <row r="1341" s="120" customFormat="1" x14ac:dyDescent="0.15"/>
    <row r="1342" s="120" customFormat="1" x14ac:dyDescent="0.15"/>
    <row r="1343" s="120" customFormat="1" x14ac:dyDescent="0.15"/>
    <row r="1344" s="120" customFormat="1" x14ac:dyDescent="0.15"/>
    <row r="1345" s="120" customFormat="1" x14ac:dyDescent="0.15"/>
    <row r="1346" s="120" customFormat="1" x14ac:dyDescent="0.15"/>
    <row r="1347" s="120" customFormat="1" x14ac:dyDescent="0.15"/>
    <row r="1348" s="120" customFormat="1" x14ac:dyDescent="0.15"/>
    <row r="1349" s="120" customFormat="1" x14ac:dyDescent="0.15"/>
    <row r="1350" s="120" customFormat="1" x14ac:dyDescent="0.15"/>
    <row r="1351" s="120" customFormat="1" x14ac:dyDescent="0.15"/>
    <row r="1352" s="120" customFormat="1" x14ac:dyDescent="0.15"/>
    <row r="1353" s="120" customFormat="1" x14ac:dyDescent="0.15"/>
    <row r="1354" s="120" customFormat="1" x14ac:dyDescent="0.15"/>
    <row r="1355" s="120" customFormat="1" x14ac:dyDescent="0.15"/>
    <row r="1356" s="120" customFormat="1" x14ac:dyDescent="0.15"/>
    <row r="1357" s="120" customFormat="1" x14ac:dyDescent="0.15"/>
    <row r="1358" s="120" customFormat="1" x14ac:dyDescent="0.15"/>
    <row r="1359" s="120" customFormat="1" x14ac:dyDescent="0.15"/>
    <row r="1360" s="120" customFormat="1" x14ac:dyDescent="0.15"/>
    <row r="1361" s="120" customFormat="1" x14ac:dyDescent="0.15"/>
    <row r="1362" s="120" customFormat="1" x14ac:dyDescent="0.15"/>
    <row r="1363" s="120" customFormat="1" x14ac:dyDescent="0.15"/>
    <row r="1364" s="120" customFormat="1" x14ac:dyDescent="0.15"/>
    <row r="1365" s="120" customFormat="1" x14ac:dyDescent="0.15"/>
    <row r="1366" s="120" customFormat="1" x14ac:dyDescent="0.15"/>
    <row r="1367" s="120" customFormat="1" x14ac:dyDescent="0.15"/>
    <row r="1368" s="120" customFormat="1" x14ac:dyDescent="0.15"/>
    <row r="1369" s="120" customFormat="1" x14ac:dyDescent="0.15"/>
    <row r="1370" s="120" customFormat="1" x14ac:dyDescent="0.15"/>
    <row r="1371" s="120" customFormat="1" x14ac:dyDescent="0.15"/>
    <row r="1372" s="120" customFormat="1" x14ac:dyDescent="0.15"/>
    <row r="1373" s="120" customFormat="1" x14ac:dyDescent="0.15"/>
    <row r="1374" s="120" customFormat="1" x14ac:dyDescent="0.15"/>
    <row r="1375" s="120" customFormat="1" x14ac:dyDescent="0.15"/>
    <row r="1376" s="120" customFormat="1" x14ac:dyDescent="0.15"/>
    <row r="1377" s="120" customFormat="1" x14ac:dyDescent="0.15"/>
    <row r="1378" s="120" customFormat="1" x14ac:dyDescent="0.15"/>
    <row r="1379" s="120" customFormat="1" x14ac:dyDescent="0.15"/>
    <row r="1380" s="120" customFormat="1" x14ac:dyDescent="0.15"/>
    <row r="1381" s="120" customFormat="1" x14ac:dyDescent="0.15"/>
    <row r="1382" s="120" customFormat="1" x14ac:dyDescent="0.15"/>
    <row r="1383" s="120" customFormat="1" x14ac:dyDescent="0.15"/>
    <row r="1384" s="120" customFormat="1" x14ac:dyDescent="0.15"/>
    <row r="1385" s="120" customFormat="1" x14ac:dyDescent="0.15"/>
    <row r="1386" s="120" customFormat="1" x14ac:dyDescent="0.15"/>
    <row r="1387" s="120" customFormat="1" x14ac:dyDescent="0.15"/>
    <row r="1388" s="120" customFormat="1" x14ac:dyDescent="0.15"/>
    <row r="1389" s="120" customFormat="1" x14ac:dyDescent="0.15"/>
    <row r="1390" s="120" customFormat="1" x14ac:dyDescent="0.15"/>
    <row r="1391" s="120" customFormat="1" x14ac:dyDescent="0.15"/>
    <row r="1392" s="120" customFormat="1" x14ac:dyDescent="0.15"/>
    <row r="1393" s="120" customFormat="1" x14ac:dyDescent="0.15"/>
    <row r="1394" s="120" customFormat="1" x14ac:dyDescent="0.15"/>
    <row r="1395" s="120" customFormat="1" x14ac:dyDescent="0.15"/>
    <row r="1396" s="120" customFormat="1" x14ac:dyDescent="0.15"/>
    <row r="1397" s="120" customFormat="1" x14ac:dyDescent="0.15"/>
    <row r="1398" s="120" customFormat="1" x14ac:dyDescent="0.15"/>
    <row r="1399" s="120" customFormat="1" x14ac:dyDescent="0.15"/>
    <row r="1400" s="120" customFormat="1" x14ac:dyDescent="0.15"/>
    <row r="1401" s="120" customFormat="1" x14ac:dyDescent="0.15"/>
    <row r="1402" s="120" customFormat="1" x14ac:dyDescent="0.15"/>
    <row r="1403" s="120" customFormat="1" x14ac:dyDescent="0.15"/>
    <row r="1404" s="120" customFormat="1" x14ac:dyDescent="0.15"/>
    <row r="1405" s="120" customFormat="1" x14ac:dyDescent="0.15"/>
    <row r="1406" s="120" customFormat="1" x14ac:dyDescent="0.15"/>
    <row r="1407" s="120" customFormat="1" x14ac:dyDescent="0.15"/>
    <row r="1408" s="120" customFormat="1" x14ac:dyDescent="0.15"/>
    <row r="1409" s="120" customFormat="1" x14ac:dyDescent="0.15"/>
    <row r="1410" s="120" customFormat="1" x14ac:dyDescent="0.15"/>
    <row r="1411" s="120" customFormat="1" x14ac:dyDescent="0.15"/>
    <row r="1412" s="120" customFormat="1" x14ac:dyDescent="0.15"/>
    <row r="1413" s="120" customFormat="1" x14ac:dyDescent="0.15"/>
    <row r="1414" s="120" customFormat="1" x14ac:dyDescent="0.15"/>
    <row r="1415" s="120" customFormat="1" x14ac:dyDescent="0.15"/>
    <row r="1416" s="120" customFormat="1" x14ac:dyDescent="0.15"/>
    <row r="1417" s="120" customFormat="1" x14ac:dyDescent="0.15"/>
    <row r="1418" s="120" customFormat="1" x14ac:dyDescent="0.15"/>
    <row r="1419" s="120" customFormat="1" x14ac:dyDescent="0.15"/>
    <row r="1420" s="120" customFormat="1" x14ac:dyDescent="0.15"/>
    <row r="1421" s="120" customFormat="1" x14ac:dyDescent="0.15"/>
    <row r="1422" s="120" customFormat="1" x14ac:dyDescent="0.15"/>
    <row r="1423" s="120" customFormat="1" x14ac:dyDescent="0.15"/>
    <row r="1424" s="120" customFormat="1" x14ac:dyDescent="0.15"/>
    <row r="1425" s="120" customFormat="1" x14ac:dyDescent="0.15"/>
    <row r="1426" s="120" customFormat="1" x14ac:dyDescent="0.15"/>
    <row r="1427" s="120" customFormat="1" x14ac:dyDescent="0.15"/>
    <row r="1428" s="120" customFormat="1" x14ac:dyDescent="0.15"/>
    <row r="1429" s="120" customFormat="1" x14ac:dyDescent="0.15"/>
    <row r="1430" s="120" customFormat="1" x14ac:dyDescent="0.15"/>
    <row r="1431" s="120" customFormat="1" x14ac:dyDescent="0.15"/>
    <row r="1432" s="120" customFormat="1" x14ac:dyDescent="0.15"/>
    <row r="1433" s="120" customFormat="1" x14ac:dyDescent="0.15"/>
    <row r="1434" s="120" customFormat="1" x14ac:dyDescent="0.15"/>
    <row r="1435" s="120" customFormat="1" x14ac:dyDescent="0.15"/>
    <row r="1436" s="120" customFormat="1" x14ac:dyDescent="0.15"/>
    <row r="1437" s="120" customFormat="1" x14ac:dyDescent="0.15"/>
    <row r="1438" s="120" customFormat="1" x14ac:dyDescent="0.15"/>
    <row r="1439" s="120" customFormat="1" x14ac:dyDescent="0.15"/>
    <row r="1440" s="120" customFormat="1" x14ac:dyDescent="0.15"/>
    <row r="1441" s="120" customFormat="1" x14ac:dyDescent="0.15"/>
    <row r="1442" s="120" customFormat="1" x14ac:dyDescent="0.15"/>
    <row r="1443" s="120" customFormat="1" x14ac:dyDescent="0.15"/>
    <row r="1444" s="120" customFormat="1" x14ac:dyDescent="0.15"/>
    <row r="1445" s="120" customFormat="1" x14ac:dyDescent="0.15"/>
    <row r="1446" s="120" customFormat="1" x14ac:dyDescent="0.15"/>
    <row r="1447" s="120" customFormat="1" x14ac:dyDescent="0.15"/>
    <row r="1448" s="120" customFormat="1" x14ac:dyDescent="0.15"/>
    <row r="1449" s="120" customFormat="1" x14ac:dyDescent="0.15"/>
    <row r="1450" s="120" customFormat="1" x14ac:dyDescent="0.15"/>
    <row r="1451" s="120" customFormat="1" x14ac:dyDescent="0.15"/>
    <row r="1452" s="120" customFormat="1" x14ac:dyDescent="0.15"/>
    <row r="1453" s="120" customFormat="1" x14ac:dyDescent="0.15"/>
    <row r="1454" s="120" customFormat="1" x14ac:dyDescent="0.15"/>
    <row r="1455" s="120" customFormat="1" x14ac:dyDescent="0.15"/>
    <row r="1456" s="120" customFormat="1" x14ac:dyDescent="0.15"/>
    <row r="1457" s="120" customFormat="1" x14ac:dyDescent="0.15"/>
    <row r="1458" s="120" customFormat="1" x14ac:dyDescent="0.15"/>
    <row r="1459" s="120" customFormat="1" x14ac:dyDescent="0.15"/>
    <row r="1460" s="120" customFormat="1" x14ac:dyDescent="0.15"/>
    <row r="1461" s="120" customFormat="1" x14ac:dyDescent="0.15"/>
    <row r="1462" s="120" customFormat="1" x14ac:dyDescent="0.15"/>
    <row r="1463" s="120" customFormat="1" x14ac:dyDescent="0.15"/>
    <row r="1464" s="120" customFormat="1" x14ac:dyDescent="0.15"/>
    <row r="1465" s="120" customFormat="1" x14ac:dyDescent="0.15"/>
    <row r="1466" s="120" customFormat="1" x14ac:dyDescent="0.15"/>
    <row r="1467" s="120" customFormat="1" x14ac:dyDescent="0.15"/>
    <row r="1468" s="120" customFormat="1" x14ac:dyDescent="0.15"/>
    <row r="1469" s="120" customFormat="1" x14ac:dyDescent="0.15"/>
    <row r="1470" s="120" customFormat="1" x14ac:dyDescent="0.15"/>
    <row r="1471" s="120" customFormat="1" x14ac:dyDescent="0.15"/>
    <row r="1472" s="120" customFormat="1" x14ac:dyDescent="0.15"/>
    <row r="1473" s="120" customFormat="1" x14ac:dyDescent="0.15"/>
    <row r="1474" s="120" customFormat="1" x14ac:dyDescent="0.15"/>
    <row r="1475" s="120" customFormat="1" x14ac:dyDescent="0.15"/>
    <row r="1476" s="120" customFormat="1" x14ac:dyDescent="0.15"/>
    <row r="1477" s="120" customFormat="1" x14ac:dyDescent="0.15"/>
    <row r="1478" s="120" customFormat="1" x14ac:dyDescent="0.15"/>
    <row r="1479" s="120" customFormat="1" x14ac:dyDescent="0.15"/>
    <row r="1480" s="120" customFormat="1" x14ac:dyDescent="0.15"/>
    <row r="1481" s="120" customFormat="1" x14ac:dyDescent="0.15"/>
    <row r="1482" s="120" customFormat="1" x14ac:dyDescent="0.15"/>
    <row r="1483" s="120" customFormat="1" x14ac:dyDescent="0.15"/>
    <row r="1484" s="120" customFormat="1" x14ac:dyDescent="0.15"/>
    <row r="1485" s="120" customFormat="1" x14ac:dyDescent="0.15"/>
    <row r="1486" s="120" customFormat="1" x14ac:dyDescent="0.15"/>
    <row r="1487" s="120" customFormat="1" x14ac:dyDescent="0.15"/>
    <row r="1488" s="120" customFormat="1" x14ac:dyDescent="0.15"/>
    <row r="1489" s="120" customFormat="1" x14ac:dyDescent="0.15"/>
    <row r="1490" s="120" customFormat="1" x14ac:dyDescent="0.15"/>
    <row r="1491" s="120" customFormat="1" x14ac:dyDescent="0.15"/>
    <row r="1492" s="120" customFormat="1" x14ac:dyDescent="0.15"/>
    <row r="1493" s="120" customFormat="1" x14ac:dyDescent="0.15"/>
    <row r="1494" s="120" customFormat="1" x14ac:dyDescent="0.15"/>
    <row r="1495" s="120" customFormat="1" x14ac:dyDescent="0.15"/>
    <row r="1496" s="120" customFormat="1" x14ac:dyDescent="0.15"/>
    <row r="1497" s="120" customFormat="1" x14ac:dyDescent="0.15"/>
    <row r="1498" s="120" customFormat="1" x14ac:dyDescent="0.15"/>
    <row r="1499" s="120" customFormat="1" x14ac:dyDescent="0.15"/>
    <row r="1500" s="120" customFormat="1" x14ac:dyDescent="0.15"/>
    <row r="1501" s="120" customFormat="1" x14ac:dyDescent="0.15"/>
    <row r="1502" s="120" customFormat="1" x14ac:dyDescent="0.15"/>
    <row r="1503" s="120" customFormat="1" x14ac:dyDescent="0.15"/>
    <row r="1504" s="120" customFormat="1" x14ac:dyDescent="0.15"/>
    <row r="1505" s="120" customFormat="1" x14ac:dyDescent="0.15"/>
    <row r="1506" s="120" customFormat="1" x14ac:dyDescent="0.15"/>
    <row r="1507" s="120" customFormat="1" x14ac:dyDescent="0.15"/>
    <row r="1508" s="120" customFormat="1" x14ac:dyDescent="0.15"/>
    <row r="1509" s="120" customFormat="1" x14ac:dyDescent="0.15"/>
    <row r="1510" s="120" customFormat="1" x14ac:dyDescent="0.15"/>
    <row r="1511" s="120" customFormat="1" x14ac:dyDescent="0.15"/>
    <row r="1512" s="120" customFormat="1" x14ac:dyDescent="0.15"/>
    <row r="1513" s="120" customFormat="1" x14ac:dyDescent="0.15"/>
    <row r="1514" s="120" customFormat="1" x14ac:dyDescent="0.15"/>
    <row r="1515" s="120" customFormat="1" x14ac:dyDescent="0.15"/>
    <row r="1516" s="120" customFormat="1" x14ac:dyDescent="0.15"/>
    <row r="1517" s="120" customFormat="1" x14ac:dyDescent="0.15"/>
    <row r="1518" s="120" customFormat="1" x14ac:dyDescent="0.15"/>
    <row r="1519" s="120" customFormat="1" x14ac:dyDescent="0.15"/>
    <row r="1520" s="120" customFormat="1" x14ac:dyDescent="0.15"/>
    <row r="1521" s="120" customFormat="1" x14ac:dyDescent="0.15"/>
    <row r="1522" s="120" customFormat="1" x14ac:dyDescent="0.15"/>
    <row r="1523" s="120" customFormat="1" x14ac:dyDescent="0.15"/>
    <row r="1524" s="120" customFormat="1" x14ac:dyDescent="0.15"/>
    <row r="1525" s="120" customFormat="1" x14ac:dyDescent="0.15"/>
    <row r="1526" s="120" customFormat="1" x14ac:dyDescent="0.15"/>
    <row r="1527" s="120" customFormat="1" x14ac:dyDescent="0.15"/>
    <row r="1528" s="120" customFormat="1" x14ac:dyDescent="0.15"/>
    <row r="1529" s="120" customFormat="1" x14ac:dyDescent="0.15"/>
    <row r="1530" s="120" customFormat="1" x14ac:dyDescent="0.15"/>
    <row r="1531" s="120" customFormat="1" x14ac:dyDescent="0.15"/>
    <row r="1532" s="120" customFormat="1" x14ac:dyDescent="0.15"/>
    <row r="1533" s="120" customFormat="1" x14ac:dyDescent="0.15"/>
    <row r="1534" s="120" customFormat="1" x14ac:dyDescent="0.15"/>
    <row r="1535" s="120" customFormat="1" x14ac:dyDescent="0.15"/>
    <row r="1536" s="120" customFormat="1" x14ac:dyDescent="0.15"/>
    <row r="1537" s="120" customFormat="1" x14ac:dyDescent="0.15"/>
    <row r="1538" s="120" customFormat="1" x14ac:dyDescent="0.15"/>
    <row r="1539" s="120" customFormat="1" x14ac:dyDescent="0.15"/>
    <row r="1540" s="120" customFormat="1" x14ac:dyDescent="0.15"/>
    <row r="1541" s="120" customFormat="1" x14ac:dyDescent="0.15"/>
    <row r="1542" s="120" customFormat="1" x14ac:dyDescent="0.15"/>
    <row r="1543" s="120" customFormat="1" x14ac:dyDescent="0.15"/>
    <row r="1544" s="120" customFormat="1" x14ac:dyDescent="0.15"/>
    <row r="1545" s="120" customFormat="1" x14ac:dyDescent="0.15"/>
    <row r="1546" s="120" customFormat="1" x14ac:dyDescent="0.15"/>
    <row r="1547" s="120" customFormat="1" x14ac:dyDescent="0.15"/>
    <row r="1548" s="120" customFormat="1" x14ac:dyDescent="0.15"/>
    <row r="1549" s="120" customFormat="1" x14ac:dyDescent="0.15"/>
    <row r="1550" s="120" customFormat="1" x14ac:dyDescent="0.15"/>
    <row r="1551" s="120" customFormat="1" x14ac:dyDescent="0.15"/>
    <row r="1552" s="120" customFormat="1" x14ac:dyDescent="0.15"/>
    <row r="1553" s="120" customFormat="1" x14ac:dyDescent="0.15"/>
    <row r="1554" s="120" customFormat="1" x14ac:dyDescent="0.15"/>
    <row r="1555" s="120" customFormat="1" x14ac:dyDescent="0.15"/>
    <row r="1556" s="120" customFormat="1" x14ac:dyDescent="0.15"/>
    <row r="1557" s="120" customFormat="1" x14ac:dyDescent="0.15"/>
    <row r="1558" s="120" customFormat="1" x14ac:dyDescent="0.15"/>
    <row r="1559" s="120" customFormat="1" x14ac:dyDescent="0.15"/>
    <row r="1560" s="120" customFormat="1" x14ac:dyDescent="0.15"/>
    <row r="1561" s="120" customFormat="1" x14ac:dyDescent="0.15"/>
    <row r="1562" s="120" customFormat="1" x14ac:dyDescent="0.15"/>
    <row r="1563" s="120" customFormat="1" x14ac:dyDescent="0.15"/>
    <row r="1564" s="120" customFormat="1" x14ac:dyDescent="0.15"/>
    <row r="1565" s="120" customFormat="1" x14ac:dyDescent="0.15"/>
    <row r="1566" s="120" customFormat="1" x14ac:dyDescent="0.15"/>
    <row r="1567" s="120" customFormat="1" x14ac:dyDescent="0.15"/>
    <row r="1568" s="120" customFormat="1" x14ac:dyDescent="0.15"/>
    <row r="1569" s="120" customFormat="1" x14ac:dyDescent="0.15"/>
    <row r="1570" s="120" customFormat="1" x14ac:dyDescent="0.15"/>
    <row r="1571" s="120" customFormat="1" x14ac:dyDescent="0.15"/>
    <row r="1572" s="120" customFormat="1" x14ac:dyDescent="0.15"/>
    <row r="1573" s="120" customFormat="1" x14ac:dyDescent="0.15"/>
    <row r="1574" s="120" customFormat="1" x14ac:dyDescent="0.15"/>
    <row r="1575" s="120" customFormat="1" x14ac:dyDescent="0.15"/>
    <row r="1576" s="120" customFormat="1" x14ac:dyDescent="0.15"/>
    <row r="1577" s="120" customFormat="1" x14ac:dyDescent="0.15"/>
    <row r="1578" s="120" customFormat="1" x14ac:dyDescent="0.15"/>
    <row r="1579" s="120" customFormat="1" x14ac:dyDescent="0.15"/>
    <row r="1580" s="120" customFormat="1" x14ac:dyDescent="0.15"/>
    <row r="1581" s="120" customFormat="1" x14ac:dyDescent="0.15"/>
    <row r="1582" s="120" customFormat="1" x14ac:dyDescent="0.15"/>
    <row r="1583" s="120" customFormat="1" x14ac:dyDescent="0.15"/>
    <row r="1584" s="120" customFormat="1" x14ac:dyDescent="0.15"/>
    <row r="1585" s="120" customFormat="1" x14ac:dyDescent="0.15"/>
    <row r="1586" s="120" customFormat="1" x14ac:dyDescent="0.15"/>
    <row r="1587" s="120" customFormat="1" x14ac:dyDescent="0.15"/>
    <row r="1588" s="120" customFormat="1" x14ac:dyDescent="0.15"/>
    <row r="1589" s="120" customFormat="1" x14ac:dyDescent="0.15"/>
    <row r="1590" s="120" customFormat="1" x14ac:dyDescent="0.15"/>
    <row r="1591" s="120" customFormat="1" x14ac:dyDescent="0.15"/>
    <row r="1592" s="120" customFormat="1" x14ac:dyDescent="0.15"/>
    <row r="1593" s="120" customFormat="1" x14ac:dyDescent="0.15"/>
    <row r="1594" s="120" customFormat="1" x14ac:dyDescent="0.15"/>
    <row r="1595" s="120" customFormat="1" x14ac:dyDescent="0.15"/>
    <row r="1596" s="120" customFormat="1" x14ac:dyDescent="0.15"/>
    <row r="1597" s="120" customFormat="1" x14ac:dyDescent="0.15"/>
    <row r="1598" s="120" customFormat="1" x14ac:dyDescent="0.15"/>
    <row r="1599" s="120" customFormat="1" x14ac:dyDescent="0.15"/>
    <row r="1600" s="120" customFormat="1" x14ac:dyDescent="0.15"/>
    <row r="1601" s="120" customFormat="1" x14ac:dyDescent="0.15"/>
    <row r="1602" s="120" customFormat="1" x14ac:dyDescent="0.15"/>
    <row r="1603" s="120" customFormat="1" x14ac:dyDescent="0.15"/>
    <row r="1604" s="120" customFormat="1" x14ac:dyDescent="0.15"/>
    <row r="1605" s="120" customFormat="1" x14ac:dyDescent="0.15"/>
    <row r="1606" s="120" customFormat="1" x14ac:dyDescent="0.15"/>
    <row r="1607" s="120" customFormat="1" x14ac:dyDescent="0.15"/>
    <row r="1608" s="120" customFormat="1" x14ac:dyDescent="0.15"/>
    <row r="1609" s="120" customFormat="1" x14ac:dyDescent="0.15"/>
    <row r="1610" s="120" customFormat="1" x14ac:dyDescent="0.15"/>
    <row r="1611" s="120" customFormat="1" x14ac:dyDescent="0.15"/>
    <row r="1612" s="120" customFormat="1" x14ac:dyDescent="0.15"/>
    <row r="1613" s="120" customFormat="1" x14ac:dyDescent="0.15"/>
    <row r="1614" s="120" customFormat="1" x14ac:dyDescent="0.15"/>
    <row r="1615" s="120" customFormat="1" x14ac:dyDescent="0.15"/>
    <row r="1616" s="120" customFormat="1" x14ac:dyDescent="0.15"/>
    <row r="1617" s="120" customFormat="1" x14ac:dyDescent="0.15"/>
    <row r="1618" s="120" customFormat="1" x14ac:dyDescent="0.15"/>
    <row r="1619" s="120" customFormat="1" x14ac:dyDescent="0.15"/>
    <row r="1620" s="120" customFormat="1" x14ac:dyDescent="0.15"/>
    <row r="1621" s="120" customFormat="1" x14ac:dyDescent="0.15"/>
    <row r="1622" s="120" customFormat="1" x14ac:dyDescent="0.15"/>
    <row r="1623" s="120" customFormat="1" x14ac:dyDescent="0.15"/>
    <row r="1624" s="120" customFormat="1" x14ac:dyDescent="0.15"/>
    <row r="1625" s="120" customFormat="1" x14ac:dyDescent="0.15"/>
    <row r="1626" s="120" customFormat="1" x14ac:dyDescent="0.15"/>
    <row r="1627" s="120" customFormat="1" x14ac:dyDescent="0.15"/>
    <row r="1628" s="120" customFormat="1" x14ac:dyDescent="0.15"/>
    <row r="1629" s="120" customFormat="1" x14ac:dyDescent="0.15"/>
    <row r="1630" s="120" customFormat="1" x14ac:dyDescent="0.15"/>
    <row r="1631" s="120" customFormat="1" x14ac:dyDescent="0.15"/>
    <row r="1632" s="120" customFormat="1" x14ac:dyDescent="0.15"/>
    <row r="1633" s="120" customFormat="1" x14ac:dyDescent="0.15"/>
    <row r="1634" s="120" customFormat="1" x14ac:dyDescent="0.15"/>
    <row r="1635" s="120" customFormat="1" x14ac:dyDescent="0.15"/>
    <row r="1636" s="120" customFormat="1" x14ac:dyDescent="0.15"/>
    <row r="1637" s="120" customFormat="1" x14ac:dyDescent="0.15"/>
    <row r="1638" s="120" customFormat="1" x14ac:dyDescent="0.15"/>
    <row r="1639" s="120" customFormat="1" x14ac:dyDescent="0.15"/>
    <row r="1640" s="120" customFormat="1" x14ac:dyDescent="0.15"/>
    <row r="1641" s="120" customFormat="1" x14ac:dyDescent="0.15"/>
    <row r="1642" s="120" customFormat="1" x14ac:dyDescent="0.15"/>
    <row r="1643" s="120" customFormat="1" x14ac:dyDescent="0.15"/>
    <row r="1644" s="120" customFormat="1" x14ac:dyDescent="0.15"/>
    <row r="1645" s="120" customFormat="1" x14ac:dyDescent="0.15"/>
    <row r="1646" s="120" customFormat="1" x14ac:dyDescent="0.15"/>
    <row r="1647" s="120" customFormat="1" x14ac:dyDescent="0.15"/>
    <row r="1648" s="120" customFormat="1" x14ac:dyDescent="0.15"/>
    <row r="1649" s="120" customFormat="1" x14ac:dyDescent="0.15"/>
    <row r="1650" s="120" customFormat="1" x14ac:dyDescent="0.15"/>
    <row r="1651" s="120" customFormat="1" x14ac:dyDescent="0.15"/>
    <row r="1652" s="120" customFormat="1" x14ac:dyDescent="0.15"/>
    <row r="1653" s="120" customFormat="1" x14ac:dyDescent="0.15"/>
    <row r="1654" s="120" customFormat="1" x14ac:dyDescent="0.15"/>
    <row r="1655" s="120" customFormat="1" x14ac:dyDescent="0.15"/>
    <row r="1656" s="120" customFormat="1" x14ac:dyDescent="0.15"/>
    <row r="1657" s="120" customFormat="1" x14ac:dyDescent="0.15"/>
    <row r="1658" s="120" customFormat="1" x14ac:dyDescent="0.15"/>
    <row r="1659" s="120" customFormat="1" x14ac:dyDescent="0.15"/>
    <row r="1660" s="120" customFormat="1" x14ac:dyDescent="0.15"/>
    <row r="1661" s="120" customFormat="1" x14ac:dyDescent="0.15"/>
    <row r="1662" s="120" customFormat="1" x14ac:dyDescent="0.15"/>
    <row r="1663" s="120" customFormat="1" x14ac:dyDescent="0.15"/>
    <row r="1664" s="120" customFormat="1" x14ac:dyDescent="0.15"/>
    <row r="1665" s="120" customFormat="1" x14ac:dyDescent="0.15"/>
    <row r="1666" s="120" customFormat="1" x14ac:dyDescent="0.15"/>
    <row r="1667" s="120" customFormat="1" x14ac:dyDescent="0.15"/>
    <row r="1668" s="120" customFormat="1" x14ac:dyDescent="0.15"/>
    <row r="1669" s="120" customFormat="1" x14ac:dyDescent="0.15"/>
    <row r="1670" s="120" customFormat="1" x14ac:dyDescent="0.15"/>
    <row r="1671" s="120" customFormat="1" x14ac:dyDescent="0.15"/>
    <row r="1672" s="120" customFormat="1" x14ac:dyDescent="0.15"/>
    <row r="1673" s="120" customFormat="1" x14ac:dyDescent="0.15"/>
    <row r="1674" s="120" customFormat="1" x14ac:dyDescent="0.15"/>
    <row r="1675" s="120" customFormat="1" x14ac:dyDescent="0.15"/>
    <row r="1676" s="120" customFormat="1" x14ac:dyDescent="0.15"/>
    <row r="1677" s="120" customFormat="1" x14ac:dyDescent="0.15"/>
    <row r="1678" s="120" customFormat="1" x14ac:dyDescent="0.15"/>
    <row r="1679" s="120" customFormat="1" x14ac:dyDescent="0.15"/>
    <row r="1680" s="120" customFormat="1" x14ac:dyDescent="0.15"/>
    <row r="1681" s="120" customFormat="1" x14ac:dyDescent="0.15"/>
    <row r="1682" s="120" customFormat="1" x14ac:dyDescent="0.15"/>
    <row r="1683" s="120" customFormat="1" x14ac:dyDescent="0.15"/>
    <row r="1684" s="120" customFormat="1" x14ac:dyDescent="0.15"/>
    <row r="1685" s="120" customFormat="1" x14ac:dyDescent="0.15"/>
    <row r="1686" s="120" customFormat="1" x14ac:dyDescent="0.15"/>
    <row r="1687" s="120" customFormat="1" x14ac:dyDescent="0.15"/>
    <row r="1688" s="120" customFormat="1" x14ac:dyDescent="0.15"/>
    <row r="1689" s="120" customFormat="1" x14ac:dyDescent="0.15"/>
    <row r="1690" s="120" customFormat="1" x14ac:dyDescent="0.15"/>
    <row r="1691" s="120" customFormat="1" x14ac:dyDescent="0.15"/>
    <row r="1692" s="120" customFormat="1" x14ac:dyDescent="0.15"/>
    <row r="1693" s="120" customFormat="1" x14ac:dyDescent="0.15"/>
    <row r="1694" s="120" customFormat="1" x14ac:dyDescent="0.15"/>
    <row r="1695" s="120" customFormat="1" x14ac:dyDescent="0.15"/>
    <row r="1696" s="120" customFormat="1" x14ac:dyDescent="0.15"/>
    <row r="1697" s="120" customFormat="1" x14ac:dyDescent="0.15"/>
    <row r="1698" s="120" customFormat="1" x14ac:dyDescent="0.15"/>
    <row r="1699" s="120" customFormat="1" x14ac:dyDescent="0.15"/>
    <row r="1700" s="120" customFormat="1" x14ac:dyDescent="0.15"/>
    <row r="1701" s="120" customFormat="1" x14ac:dyDescent="0.15"/>
    <row r="1702" s="120" customFormat="1" x14ac:dyDescent="0.15"/>
    <row r="1703" s="120" customFormat="1" x14ac:dyDescent="0.15"/>
    <row r="1704" s="120" customFormat="1" x14ac:dyDescent="0.15"/>
    <row r="1705" s="120" customFormat="1" x14ac:dyDescent="0.15"/>
    <row r="1706" s="120" customFormat="1" x14ac:dyDescent="0.15"/>
    <row r="1707" s="120" customFormat="1" x14ac:dyDescent="0.15"/>
    <row r="1708" s="120" customFormat="1" x14ac:dyDescent="0.15"/>
    <row r="1709" s="120" customFormat="1" x14ac:dyDescent="0.15"/>
    <row r="1710" s="120" customFormat="1" x14ac:dyDescent="0.15"/>
    <row r="1711" s="120" customFormat="1" x14ac:dyDescent="0.15"/>
    <row r="1712" s="120" customFormat="1" x14ac:dyDescent="0.15"/>
    <row r="1713" s="120" customFormat="1" x14ac:dyDescent="0.15"/>
    <row r="1714" s="120" customFormat="1" x14ac:dyDescent="0.15"/>
    <row r="1715" s="120" customFormat="1" x14ac:dyDescent="0.15"/>
    <row r="1716" s="120" customFormat="1" x14ac:dyDescent="0.15"/>
    <row r="1717" s="120" customFormat="1" x14ac:dyDescent="0.15"/>
    <row r="1718" s="120" customFormat="1" x14ac:dyDescent="0.15"/>
    <row r="1719" s="120" customFormat="1" x14ac:dyDescent="0.15"/>
    <row r="1720" s="120" customFormat="1" x14ac:dyDescent="0.15"/>
    <row r="1721" s="120" customFormat="1" x14ac:dyDescent="0.15"/>
    <row r="1722" s="120" customFormat="1" x14ac:dyDescent="0.15"/>
    <row r="1723" s="120" customFormat="1" x14ac:dyDescent="0.15"/>
    <row r="1724" s="120" customFormat="1" x14ac:dyDescent="0.15"/>
    <row r="1725" s="120" customFormat="1" x14ac:dyDescent="0.15"/>
    <row r="1726" s="120" customFormat="1" x14ac:dyDescent="0.15"/>
    <row r="1727" s="120" customFormat="1" x14ac:dyDescent="0.15"/>
    <row r="1728" s="120" customFormat="1" x14ac:dyDescent="0.15"/>
    <row r="1729" s="120" customFormat="1" x14ac:dyDescent="0.15"/>
    <row r="1730" s="120" customFormat="1" x14ac:dyDescent="0.15"/>
    <row r="1731" s="120" customFormat="1" x14ac:dyDescent="0.15"/>
    <row r="1732" s="120" customFormat="1" x14ac:dyDescent="0.15"/>
    <row r="1733" s="120" customFormat="1" x14ac:dyDescent="0.15"/>
    <row r="1734" s="120" customFormat="1" x14ac:dyDescent="0.15"/>
    <row r="1735" s="120" customFormat="1" x14ac:dyDescent="0.15"/>
    <row r="1736" s="120" customFormat="1" x14ac:dyDescent="0.15"/>
    <row r="1737" s="120" customFormat="1" x14ac:dyDescent="0.15"/>
    <row r="1738" s="120" customFormat="1" x14ac:dyDescent="0.15"/>
    <row r="1739" s="120" customFormat="1" x14ac:dyDescent="0.15"/>
    <row r="1740" s="120" customFormat="1" x14ac:dyDescent="0.15"/>
    <row r="1741" s="120" customFormat="1" x14ac:dyDescent="0.15"/>
    <row r="1742" s="120" customFormat="1" x14ac:dyDescent="0.15"/>
    <row r="1743" s="120" customFormat="1" x14ac:dyDescent="0.15"/>
    <row r="1744" s="120" customFormat="1" x14ac:dyDescent="0.15"/>
    <row r="1745" s="120" customFormat="1" x14ac:dyDescent="0.15"/>
    <row r="1746" s="120" customFormat="1" x14ac:dyDescent="0.15"/>
    <row r="1747" s="120" customFormat="1" x14ac:dyDescent="0.15"/>
    <row r="1748" s="120" customFormat="1" x14ac:dyDescent="0.15"/>
    <row r="1749" s="120" customFormat="1" x14ac:dyDescent="0.15"/>
    <row r="1750" s="120" customFormat="1" x14ac:dyDescent="0.15"/>
    <row r="1751" s="120" customFormat="1" x14ac:dyDescent="0.15"/>
    <row r="1752" s="120" customFormat="1" x14ac:dyDescent="0.15"/>
    <row r="1753" s="120" customFormat="1" x14ac:dyDescent="0.15"/>
    <row r="1754" s="120" customFormat="1" x14ac:dyDescent="0.15"/>
    <row r="1755" s="120" customFormat="1" x14ac:dyDescent="0.15"/>
    <row r="1756" s="120" customFormat="1" x14ac:dyDescent="0.15"/>
    <row r="1757" s="120" customFormat="1" x14ac:dyDescent="0.15"/>
    <row r="1758" s="120" customFormat="1" x14ac:dyDescent="0.15"/>
    <row r="1759" s="120" customFormat="1" x14ac:dyDescent="0.15"/>
    <row r="1760" s="120" customFormat="1" x14ac:dyDescent="0.15"/>
    <row r="1761" s="120" customFormat="1" x14ac:dyDescent="0.15"/>
    <row r="1762" s="120" customFormat="1" x14ac:dyDescent="0.15"/>
    <row r="1763" s="120" customFormat="1" x14ac:dyDescent="0.15"/>
    <row r="1764" s="120" customFormat="1" x14ac:dyDescent="0.15"/>
    <row r="1765" s="120" customFormat="1" x14ac:dyDescent="0.15"/>
    <row r="1766" s="120" customFormat="1" x14ac:dyDescent="0.15"/>
    <row r="1767" s="120" customFormat="1" x14ac:dyDescent="0.15"/>
    <row r="1768" s="120" customFormat="1" x14ac:dyDescent="0.15"/>
    <row r="1769" s="120" customFormat="1" x14ac:dyDescent="0.15"/>
    <row r="1770" s="120" customFormat="1" x14ac:dyDescent="0.15"/>
    <row r="1771" s="120" customFormat="1" x14ac:dyDescent="0.15"/>
    <row r="1772" s="120" customFormat="1" x14ac:dyDescent="0.15"/>
    <row r="1773" s="120" customFormat="1" x14ac:dyDescent="0.15"/>
    <row r="1774" s="120" customFormat="1" x14ac:dyDescent="0.15"/>
    <row r="1775" s="120" customFormat="1" x14ac:dyDescent="0.15"/>
    <row r="1776" s="120" customFormat="1" x14ac:dyDescent="0.15"/>
    <row r="1777" s="120" customFormat="1" x14ac:dyDescent="0.15"/>
    <row r="1778" s="120" customFormat="1" x14ac:dyDescent="0.15"/>
    <row r="1779" s="120" customFormat="1" x14ac:dyDescent="0.15"/>
    <row r="1780" s="120" customFormat="1" x14ac:dyDescent="0.15"/>
    <row r="1781" s="120" customFormat="1" x14ac:dyDescent="0.15"/>
    <row r="1782" s="120" customFormat="1" x14ac:dyDescent="0.15"/>
    <row r="1783" s="120" customFormat="1" x14ac:dyDescent="0.15"/>
    <row r="1784" s="120" customFormat="1" x14ac:dyDescent="0.15"/>
    <row r="1785" s="120" customFormat="1" x14ac:dyDescent="0.15"/>
    <row r="1786" s="120" customFormat="1" x14ac:dyDescent="0.15"/>
    <row r="1787" s="120" customFormat="1" x14ac:dyDescent="0.15"/>
    <row r="1788" s="120" customFormat="1" x14ac:dyDescent="0.15"/>
    <row r="1789" s="120" customFormat="1" x14ac:dyDescent="0.15"/>
    <row r="1790" s="120" customFormat="1" x14ac:dyDescent="0.15"/>
    <row r="1791" s="120" customFormat="1" x14ac:dyDescent="0.15"/>
    <row r="1792" s="120" customFormat="1" x14ac:dyDescent="0.15"/>
    <row r="1793" s="120" customFormat="1" x14ac:dyDescent="0.15"/>
    <row r="1794" s="120" customFormat="1" x14ac:dyDescent="0.15"/>
    <row r="1795" s="120" customFormat="1" x14ac:dyDescent="0.15"/>
    <row r="1796" s="120" customFormat="1" x14ac:dyDescent="0.15"/>
    <row r="1797" s="120" customFormat="1" x14ac:dyDescent="0.15"/>
    <row r="1798" s="120" customFormat="1" x14ac:dyDescent="0.15"/>
    <row r="1799" s="120" customFormat="1" x14ac:dyDescent="0.15"/>
    <row r="1800" s="120" customFormat="1" x14ac:dyDescent="0.15"/>
    <row r="1801" s="120" customFormat="1" x14ac:dyDescent="0.15"/>
    <row r="1802" s="120" customFormat="1" x14ac:dyDescent="0.15"/>
    <row r="1803" s="120" customFormat="1" x14ac:dyDescent="0.15"/>
    <row r="1804" s="120" customFormat="1" x14ac:dyDescent="0.15"/>
    <row r="1805" s="120" customFormat="1" x14ac:dyDescent="0.15"/>
    <row r="1806" s="120" customFormat="1" x14ac:dyDescent="0.15"/>
    <row r="1807" s="120" customFormat="1" x14ac:dyDescent="0.15"/>
    <row r="1808" s="120" customFormat="1" x14ac:dyDescent="0.15"/>
    <row r="1809" s="120" customFormat="1" x14ac:dyDescent="0.15"/>
    <row r="1810" s="120" customFormat="1" x14ac:dyDescent="0.15"/>
    <row r="1811" s="120" customFormat="1" x14ac:dyDescent="0.15"/>
    <row r="1812" s="120" customFormat="1" x14ac:dyDescent="0.15"/>
    <row r="1813" s="120" customFormat="1" x14ac:dyDescent="0.15"/>
    <row r="1814" s="120" customFormat="1" x14ac:dyDescent="0.15"/>
    <row r="1815" s="120" customFormat="1" x14ac:dyDescent="0.15"/>
    <row r="1816" s="120" customFormat="1" x14ac:dyDescent="0.15"/>
    <row r="1817" s="120" customFormat="1" x14ac:dyDescent="0.15"/>
    <row r="1818" s="120" customFormat="1" x14ac:dyDescent="0.15"/>
    <row r="1819" s="120" customFormat="1" x14ac:dyDescent="0.15"/>
    <row r="1820" s="120" customFormat="1" x14ac:dyDescent="0.15"/>
    <row r="1821" s="120" customFormat="1" x14ac:dyDescent="0.15"/>
    <row r="1822" s="120" customFormat="1" x14ac:dyDescent="0.15"/>
    <row r="1823" s="120" customFormat="1" x14ac:dyDescent="0.15"/>
    <row r="1824" s="120" customFormat="1" x14ac:dyDescent="0.15"/>
    <row r="1825" s="120" customFormat="1" x14ac:dyDescent="0.15"/>
    <row r="1826" s="120" customFormat="1" x14ac:dyDescent="0.15"/>
    <row r="1827" s="120" customFormat="1" x14ac:dyDescent="0.15"/>
    <row r="1828" s="120" customFormat="1" x14ac:dyDescent="0.15"/>
    <row r="1829" s="120" customFormat="1" x14ac:dyDescent="0.15"/>
    <row r="1830" s="120" customFormat="1" x14ac:dyDescent="0.15"/>
    <row r="1831" s="120" customFormat="1" x14ac:dyDescent="0.15"/>
    <row r="1832" s="120" customFormat="1" x14ac:dyDescent="0.15"/>
    <row r="1833" s="120" customFormat="1" x14ac:dyDescent="0.15"/>
    <row r="1834" s="120" customFormat="1" x14ac:dyDescent="0.15"/>
    <row r="1835" s="120" customFormat="1" x14ac:dyDescent="0.15"/>
    <row r="1836" s="120" customFormat="1" x14ac:dyDescent="0.15"/>
    <row r="1837" s="120" customFormat="1" x14ac:dyDescent="0.15"/>
    <row r="1838" s="120" customFormat="1" x14ac:dyDescent="0.15"/>
    <row r="1839" s="120" customFormat="1" x14ac:dyDescent="0.15"/>
    <row r="1840" s="120" customFormat="1" x14ac:dyDescent="0.15"/>
    <row r="1841" s="120" customFormat="1" x14ac:dyDescent="0.15"/>
    <row r="1842" s="120" customFormat="1" x14ac:dyDescent="0.15"/>
    <row r="1843" s="120" customFormat="1" x14ac:dyDescent="0.15"/>
    <row r="1844" s="120" customFormat="1" x14ac:dyDescent="0.15"/>
    <row r="1845" s="120" customFormat="1" x14ac:dyDescent="0.15"/>
    <row r="1846" s="120" customFormat="1" x14ac:dyDescent="0.15"/>
    <row r="1847" s="120" customFormat="1" x14ac:dyDescent="0.15"/>
    <row r="1848" s="120" customFormat="1" x14ac:dyDescent="0.15"/>
    <row r="1849" s="120" customFormat="1" x14ac:dyDescent="0.15"/>
    <row r="1850" s="120" customFormat="1" x14ac:dyDescent="0.15"/>
    <row r="1851" s="120" customFormat="1" x14ac:dyDescent="0.15"/>
    <row r="1852" s="120" customFormat="1" x14ac:dyDescent="0.15"/>
    <row r="1853" s="120" customFormat="1" x14ac:dyDescent="0.15"/>
    <row r="1854" s="120" customFormat="1" x14ac:dyDescent="0.15"/>
    <row r="1855" s="120" customFormat="1" x14ac:dyDescent="0.15"/>
    <row r="1856" s="120" customFormat="1" x14ac:dyDescent="0.15"/>
    <row r="1857" s="120" customFormat="1" x14ac:dyDescent="0.15"/>
    <row r="1858" s="120" customFormat="1" x14ac:dyDescent="0.15"/>
    <row r="1859" s="120" customFormat="1" x14ac:dyDescent="0.15"/>
    <row r="1860" s="120" customFormat="1" x14ac:dyDescent="0.15"/>
    <row r="1861" s="120" customFormat="1" x14ac:dyDescent="0.15"/>
    <row r="1862" s="120" customFormat="1" x14ac:dyDescent="0.15"/>
    <row r="1863" s="120" customFormat="1" x14ac:dyDescent="0.15"/>
    <row r="1864" s="120" customFormat="1" x14ac:dyDescent="0.15"/>
    <row r="1865" s="120" customFormat="1" x14ac:dyDescent="0.15"/>
    <row r="1866" s="120" customFormat="1" x14ac:dyDescent="0.15"/>
    <row r="1867" s="120" customFormat="1" x14ac:dyDescent="0.15"/>
    <row r="1868" s="120" customFormat="1" x14ac:dyDescent="0.15"/>
    <row r="1869" s="120" customFormat="1" x14ac:dyDescent="0.15"/>
    <row r="1870" s="120" customFormat="1" x14ac:dyDescent="0.15"/>
    <row r="1871" s="120" customFormat="1" x14ac:dyDescent="0.15"/>
    <row r="1872" s="120" customFormat="1" x14ac:dyDescent="0.15"/>
    <row r="1873" s="120" customFormat="1" x14ac:dyDescent="0.15"/>
    <row r="1874" s="120" customFormat="1" x14ac:dyDescent="0.15"/>
    <row r="1875" s="120" customFormat="1" x14ac:dyDescent="0.15"/>
    <row r="1876" s="120" customFormat="1" x14ac:dyDescent="0.15"/>
    <row r="1877" s="120" customFormat="1" x14ac:dyDescent="0.15"/>
    <row r="1878" s="120" customFormat="1" x14ac:dyDescent="0.15"/>
    <row r="1879" s="120" customFormat="1" x14ac:dyDescent="0.15"/>
    <row r="1880" s="120" customFormat="1" x14ac:dyDescent="0.15"/>
    <row r="1881" s="120" customFormat="1" x14ac:dyDescent="0.15"/>
    <row r="1882" s="120" customFormat="1" x14ac:dyDescent="0.15"/>
    <row r="1883" s="120" customFormat="1" x14ac:dyDescent="0.15"/>
    <row r="1884" s="120" customFormat="1" x14ac:dyDescent="0.15"/>
    <row r="1885" s="120" customFormat="1" x14ac:dyDescent="0.15"/>
    <row r="1886" s="120" customFormat="1" x14ac:dyDescent="0.15"/>
    <row r="1887" s="120" customFormat="1" x14ac:dyDescent="0.15"/>
    <row r="1888" s="120" customFormat="1" x14ac:dyDescent="0.15"/>
    <row r="1889" s="120" customFormat="1" x14ac:dyDescent="0.15"/>
    <row r="1890" s="120" customFormat="1" x14ac:dyDescent="0.15"/>
    <row r="1891" s="120" customFormat="1" x14ac:dyDescent="0.15"/>
    <row r="1892" s="120" customFormat="1" x14ac:dyDescent="0.15"/>
    <row r="1893" s="120" customFormat="1" x14ac:dyDescent="0.15"/>
    <row r="1894" s="120" customFormat="1" x14ac:dyDescent="0.15"/>
    <row r="1895" s="120" customFormat="1" x14ac:dyDescent="0.15"/>
    <row r="1896" s="120" customFormat="1" x14ac:dyDescent="0.15"/>
    <row r="1897" s="120" customFormat="1" x14ac:dyDescent="0.15"/>
    <row r="1898" s="120" customFormat="1" x14ac:dyDescent="0.15"/>
    <row r="1899" s="120" customFormat="1" x14ac:dyDescent="0.15"/>
    <row r="1900" s="120" customFormat="1" x14ac:dyDescent="0.15"/>
    <row r="1901" s="120" customFormat="1" x14ac:dyDescent="0.15"/>
    <row r="1902" s="120" customFormat="1" x14ac:dyDescent="0.15"/>
    <row r="1903" s="120" customFormat="1" x14ac:dyDescent="0.15"/>
    <row r="1904" s="120" customFormat="1" x14ac:dyDescent="0.15"/>
    <row r="1905" s="120" customFormat="1" x14ac:dyDescent="0.15"/>
    <row r="1906" s="120" customFormat="1" x14ac:dyDescent="0.15"/>
    <row r="1907" s="120" customFormat="1" x14ac:dyDescent="0.15"/>
    <row r="1908" s="120" customFormat="1" x14ac:dyDescent="0.15"/>
    <row r="1909" s="120" customFormat="1" x14ac:dyDescent="0.15"/>
    <row r="1910" s="120" customFormat="1" x14ac:dyDescent="0.15"/>
    <row r="1911" s="120" customFormat="1" x14ac:dyDescent="0.15"/>
    <row r="1912" s="120" customFormat="1" x14ac:dyDescent="0.15"/>
    <row r="1913" s="120" customFormat="1" x14ac:dyDescent="0.15"/>
    <row r="1914" s="120" customFormat="1" x14ac:dyDescent="0.15"/>
    <row r="1915" s="120" customFormat="1" x14ac:dyDescent="0.15"/>
    <row r="1916" s="120" customFormat="1" x14ac:dyDescent="0.15"/>
    <row r="1917" s="120" customFormat="1" x14ac:dyDescent="0.15"/>
    <row r="1918" s="120" customFormat="1" x14ac:dyDescent="0.15"/>
    <row r="1919" s="120" customFormat="1" x14ac:dyDescent="0.15"/>
    <row r="1920" s="120" customFormat="1" x14ac:dyDescent="0.15"/>
    <row r="1921" s="120" customFormat="1" x14ac:dyDescent="0.15"/>
    <row r="1922" s="120" customFormat="1" x14ac:dyDescent="0.15"/>
    <row r="1923" s="120" customFormat="1" x14ac:dyDescent="0.15"/>
    <row r="1924" s="120" customFormat="1" x14ac:dyDescent="0.15"/>
    <row r="1925" s="120" customFormat="1" x14ac:dyDescent="0.15"/>
    <row r="1926" s="120" customFormat="1" x14ac:dyDescent="0.15"/>
    <row r="1927" s="120" customFormat="1" x14ac:dyDescent="0.15"/>
    <row r="1928" s="120" customFormat="1" x14ac:dyDescent="0.15"/>
    <row r="1929" s="120" customFormat="1" x14ac:dyDescent="0.15"/>
    <row r="1930" s="120" customFormat="1" x14ac:dyDescent="0.15"/>
    <row r="1931" s="120" customFormat="1" x14ac:dyDescent="0.15"/>
    <row r="1932" s="120" customFormat="1" x14ac:dyDescent="0.15"/>
    <row r="1933" s="120" customFormat="1" x14ac:dyDescent="0.15"/>
    <row r="1934" s="120" customFormat="1" x14ac:dyDescent="0.15"/>
    <row r="1935" s="120" customFormat="1" x14ac:dyDescent="0.15"/>
    <row r="1936" s="120" customFormat="1" x14ac:dyDescent="0.15"/>
    <row r="1937" s="120" customFormat="1" x14ac:dyDescent="0.15"/>
    <row r="1938" s="120" customFormat="1" x14ac:dyDescent="0.15"/>
    <row r="1939" s="120" customFormat="1" x14ac:dyDescent="0.15"/>
    <row r="1940" s="120" customFormat="1" x14ac:dyDescent="0.15"/>
    <row r="1941" s="120" customFormat="1" x14ac:dyDescent="0.15"/>
    <row r="1942" s="120" customFormat="1" x14ac:dyDescent="0.15"/>
    <row r="1943" s="120" customFormat="1" x14ac:dyDescent="0.15"/>
    <row r="1944" s="120" customFormat="1" x14ac:dyDescent="0.15"/>
    <row r="1945" s="120" customFormat="1" x14ac:dyDescent="0.15"/>
    <row r="1946" s="120" customFormat="1" x14ac:dyDescent="0.15"/>
    <row r="1947" s="120" customFormat="1" x14ac:dyDescent="0.15"/>
    <row r="1948" s="120" customFormat="1" x14ac:dyDescent="0.15"/>
    <row r="1949" s="120" customFormat="1" x14ac:dyDescent="0.15"/>
    <row r="1950" s="120" customFormat="1" x14ac:dyDescent="0.15"/>
    <row r="1951" s="120" customFormat="1" x14ac:dyDescent="0.15"/>
    <row r="1952" s="120" customFormat="1" x14ac:dyDescent="0.15"/>
    <row r="1953" s="120" customFormat="1" x14ac:dyDescent="0.15"/>
    <row r="1954" s="120" customFormat="1" x14ac:dyDescent="0.15"/>
    <row r="1955" s="120" customFormat="1" x14ac:dyDescent="0.15"/>
    <row r="1956" s="120" customFormat="1" x14ac:dyDescent="0.15"/>
    <row r="1957" s="120" customFormat="1" x14ac:dyDescent="0.15"/>
    <row r="1958" s="120" customFormat="1" x14ac:dyDescent="0.15"/>
    <row r="1959" s="120" customFormat="1" x14ac:dyDescent="0.15"/>
    <row r="1960" s="120" customFormat="1" x14ac:dyDescent="0.15"/>
    <row r="1961" s="120" customFormat="1" x14ac:dyDescent="0.15"/>
    <row r="1962" s="120" customFormat="1" x14ac:dyDescent="0.15"/>
    <row r="1963" s="120" customFormat="1" x14ac:dyDescent="0.15"/>
    <row r="1964" s="120" customFormat="1" x14ac:dyDescent="0.15"/>
    <row r="1965" s="120" customFormat="1" x14ac:dyDescent="0.15"/>
    <row r="1966" s="120" customFormat="1" x14ac:dyDescent="0.15"/>
    <row r="1967" s="120" customFormat="1" x14ac:dyDescent="0.15"/>
    <row r="1968" s="120" customFormat="1" x14ac:dyDescent="0.15"/>
    <row r="1969" s="120" customFormat="1" x14ac:dyDescent="0.15"/>
    <row r="1970" s="120" customFormat="1" x14ac:dyDescent="0.15"/>
    <row r="1971" s="120" customFormat="1" x14ac:dyDescent="0.15"/>
    <row r="1972" s="120" customFormat="1" x14ac:dyDescent="0.15"/>
    <row r="1973" s="120" customFormat="1" x14ac:dyDescent="0.15"/>
    <row r="1974" s="120" customFormat="1" x14ac:dyDescent="0.15"/>
    <row r="1975" s="120" customFormat="1" x14ac:dyDescent="0.15"/>
    <row r="1976" s="120" customFormat="1" x14ac:dyDescent="0.15"/>
    <row r="1977" s="120" customFormat="1" x14ac:dyDescent="0.15"/>
    <row r="1978" s="120" customFormat="1" x14ac:dyDescent="0.15"/>
    <row r="1979" s="120" customFormat="1" x14ac:dyDescent="0.15"/>
    <row r="1980" s="120" customFormat="1" x14ac:dyDescent="0.15"/>
    <row r="1981" s="120" customFormat="1" x14ac:dyDescent="0.15"/>
    <row r="1982" s="120" customFormat="1" x14ac:dyDescent="0.15"/>
    <row r="1983" s="120" customFormat="1" x14ac:dyDescent="0.15"/>
    <row r="1984" s="120" customFormat="1" x14ac:dyDescent="0.15"/>
    <row r="1985" s="120" customFormat="1" x14ac:dyDescent="0.15"/>
    <row r="1986" s="120" customFormat="1" x14ac:dyDescent="0.15"/>
    <row r="1987" s="120" customFormat="1" x14ac:dyDescent="0.15"/>
    <row r="1988" s="120" customFormat="1" x14ac:dyDescent="0.15"/>
    <row r="1989" s="120" customFormat="1" x14ac:dyDescent="0.15"/>
    <row r="1990" s="120" customFormat="1" x14ac:dyDescent="0.15"/>
    <row r="1991" s="120" customFormat="1" x14ac:dyDescent="0.15"/>
    <row r="1992" s="120" customFormat="1" x14ac:dyDescent="0.15"/>
    <row r="1993" s="120" customFormat="1" x14ac:dyDescent="0.15"/>
    <row r="1994" s="120" customFormat="1" x14ac:dyDescent="0.15"/>
    <row r="1995" s="120" customFormat="1" x14ac:dyDescent="0.15"/>
    <row r="1996" s="120" customFormat="1" x14ac:dyDescent="0.15"/>
    <row r="1997" s="120" customFormat="1" x14ac:dyDescent="0.15"/>
    <row r="1998" s="120" customFormat="1" x14ac:dyDescent="0.15"/>
    <row r="1999" s="120" customFormat="1" x14ac:dyDescent="0.15"/>
    <row r="2000" s="120" customFormat="1" x14ac:dyDescent="0.15"/>
    <row r="2001" s="120" customFormat="1" x14ac:dyDescent="0.15"/>
    <row r="2002" s="120" customFormat="1" x14ac:dyDescent="0.15"/>
    <row r="2003" s="120" customFormat="1" x14ac:dyDescent="0.15"/>
    <row r="2004" s="120" customFormat="1" x14ac:dyDescent="0.15"/>
    <row r="2005" s="120" customFormat="1" x14ac:dyDescent="0.15"/>
    <row r="2006" s="120" customFormat="1" x14ac:dyDescent="0.15"/>
    <row r="2007" s="120" customFormat="1" x14ac:dyDescent="0.15"/>
    <row r="2008" s="120" customFormat="1" x14ac:dyDescent="0.15"/>
    <row r="2009" s="120" customFormat="1" x14ac:dyDescent="0.15"/>
    <row r="2010" s="120" customFormat="1" x14ac:dyDescent="0.15"/>
    <row r="2011" s="120" customFormat="1" x14ac:dyDescent="0.15"/>
    <row r="2012" s="120" customFormat="1" x14ac:dyDescent="0.15"/>
    <row r="2013" s="120" customFormat="1" x14ac:dyDescent="0.15"/>
    <row r="2014" s="120" customFormat="1" x14ac:dyDescent="0.15"/>
    <row r="2015" s="120" customFormat="1" x14ac:dyDescent="0.15"/>
    <row r="2016" s="120" customFormat="1" x14ac:dyDescent="0.15"/>
    <row r="2017" s="120" customFormat="1" x14ac:dyDescent="0.15"/>
    <row r="2018" s="120" customFormat="1" x14ac:dyDescent="0.15"/>
    <row r="2019" s="120" customFormat="1" x14ac:dyDescent="0.15"/>
    <row r="2020" s="120" customFormat="1" x14ac:dyDescent="0.15"/>
    <row r="2021" s="120" customFormat="1" x14ac:dyDescent="0.15"/>
    <row r="2022" s="120" customFormat="1" x14ac:dyDescent="0.15"/>
    <row r="2023" s="120" customFormat="1" x14ac:dyDescent="0.15"/>
    <row r="2024" s="120" customFormat="1" x14ac:dyDescent="0.15"/>
    <row r="2025" s="120" customFormat="1" x14ac:dyDescent="0.15"/>
    <row r="2026" s="120" customFormat="1" x14ac:dyDescent="0.15"/>
    <row r="2027" s="120" customFormat="1" x14ac:dyDescent="0.15"/>
    <row r="2028" s="120" customFormat="1" x14ac:dyDescent="0.15"/>
    <row r="2029" s="120" customFormat="1" x14ac:dyDescent="0.15"/>
    <row r="2030" s="120" customFormat="1" x14ac:dyDescent="0.15"/>
    <row r="2031" s="120" customFormat="1" x14ac:dyDescent="0.15"/>
    <row r="2032" s="120" customFormat="1" x14ac:dyDescent="0.15"/>
    <row r="2033" s="120" customFormat="1" x14ac:dyDescent="0.15"/>
    <row r="2034" s="120" customFormat="1" x14ac:dyDescent="0.15"/>
    <row r="2035" s="120" customFormat="1" x14ac:dyDescent="0.15"/>
    <row r="2036" s="120" customFormat="1" x14ac:dyDescent="0.15"/>
    <row r="2037" s="120" customFormat="1" x14ac:dyDescent="0.15"/>
    <row r="2038" s="120" customFormat="1" x14ac:dyDescent="0.15"/>
    <row r="2039" s="120" customFormat="1" x14ac:dyDescent="0.15"/>
    <row r="2040" s="120" customFormat="1" x14ac:dyDescent="0.15"/>
    <row r="2041" s="120" customFormat="1" x14ac:dyDescent="0.15"/>
    <row r="2042" s="120" customFormat="1" x14ac:dyDescent="0.15"/>
    <row r="2043" s="120" customFormat="1" x14ac:dyDescent="0.15"/>
    <row r="2044" s="120" customFormat="1" x14ac:dyDescent="0.15"/>
    <row r="2045" s="120" customFormat="1" x14ac:dyDescent="0.15"/>
    <row r="2046" s="120" customFormat="1" x14ac:dyDescent="0.15"/>
    <row r="2047" s="120" customFormat="1" x14ac:dyDescent="0.15"/>
    <row r="2048" s="120" customFormat="1" x14ac:dyDescent="0.15"/>
    <row r="2049" s="120" customFormat="1" x14ac:dyDescent="0.15"/>
    <row r="2050" s="120" customFormat="1" x14ac:dyDescent="0.15"/>
    <row r="2051" s="120" customFormat="1" x14ac:dyDescent="0.15"/>
    <row r="2052" s="120" customFormat="1" x14ac:dyDescent="0.15"/>
    <row r="2053" s="120" customFormat="1" x14ac:dyDescent="0.15"/>
    <row r="2054" s="120" customFormat="1" x14ac:dyDescent="0.15"/>
    <row r="2055" s="120" customFormat="1" x14ac:dyDescent="0.15"/>
    <row r="2056" s="120" customFormat="1" x14ac:dyDescent="0.15"/>
    <row r="2057" s="120" customFormat="1" x14ac:dyDescent="0.15"/>
    <row r="2058" s="120" customFormat="1" x14ac:dyDescent="0.15"/>
    <row r="2059" s="120" customFormat="1" x14ac:dyDescent="0.15"/>
    <row r="2060" s="120" customFormat="1" x14ac:dyDescent="0.15"/>
    <row r="2061" s="120" customFormat="1" x14ac:dyDescent="0.15"/>
    <row r="2062" s="120" customFormat="1" x14ac:dyDescent="0.15"/>
    <row r="2063" s="120" customFormat="1" x14ac:dyDescent="0.15"/>
    <row r="2064" s="120" customFormat="1" x14ac:dyDescent="0.15"/>
    <row r="2065" s="120" customFormat="1" x14ac:dyDescent="0.15"/>
    <row r="2066" s="120" customFormat="1" x14ac:dyDescent="0.15"/>
    <row r="2067" s="120" customFormat="1" x14ac:dyDescent="0.15"/>
    <row r="2068" s="120" customFormat="1" x14ac:dyDescent="0.15"/>
    <row r="2069" s="120" customFormat="1" x14ac:dyDescent="0.15"/>
    <row r="2070" s="120" customFormat="1" x14ac:dyDescent="0.15"/>
    <row r="2071" s="120" customFormat="1" x14ac:dyDescent="0.15"/>
    <row r="2072" s="120" customFormat="1" x14ac:dyDescent="0.15"/>
    <row r="2073" s="120" customFormat="1" x14ac:dyDescent="0.15"/>
    <row r="2074" s="120" customFormat="1" x14ac:dyDescent="0.15"/>
    <row r="2075" s="120" customFormat="1" x14ac:dyDescent="0.15"/>
    <row r="2076" s="120" customFormat="1" x14ac:dyDescent="0.15"/>
    <row r="2077" s="120" customFormat="1" x14ac:dyDescent="0.15"/>
    <row r="2078" s="120" customFormat="1" x14ac:dyDescent="0.15"/>
    <row r="2079" s="120" customFormat="1" x14ac:dyDescent="0.15"/>
    <row r="2080" s="120" customFormat="1" x14ac:dyDescent="0.15"/>
    <row r="2081" s="120" customFormat="1" x14ac:dyDescent="0.15"/>
    <row r="2082" s="120" customFormat="1" x14ac:dyDescent="0.15"/>
    <row r="2083" s="120" customFormat="1" x14ac:dyDescent="0.15"/>
    <row r="2084" s="120" customFormat="1" x14ac:dyDescent="0.15"/>
    <row r="2085" s="120" customFormat="1" x14ac:dyDescent="0.15"/>
    <row r="2086" s="120" customFormat="1" x14ac:dyDescent="0.15"/>
    <row r="2087" s="120" customFormat="1" x14ac:dyDescent="0.15"/>
    <row r="2088" s="120" customFormat="1" x14ac:dyDescent="0.15"/>
    <row r="2089" s="120" customFormat="1" x14ac:dyDescent="0.15"/>
    <row r="2090" s="120" customFormat="1" x14ac:dyDescent="0.15"/>
    <row r="2091" s="120" customFormat="1" x14ac:dyDescent="0.15"/>
    <row r="2092" s="120" customFormat="1" x14ac:dyDescent="0.15"/>
    <row r="2093" s="120" customFormat="1" x14ac:dyDescent="0.15"/>
    <row r="2094" s="120" customFormat="1" x14ac:dyDescent="0.15"/>
    <row r="2095" s="120" customFormat="1" x14ac:dyDescent="0.15"/>
    <row r="2096" s="120" customFormat="1" x14ac:dyDescent="0.15"/>
    <row r="2097" s="120" customFormat="1" x14ac:dyDescent="0.15"/>
    <row r="2098" s="120" customFormat="1" x14ac:dyDescent="0.15"/>
    <row r="2099" s="120" customFormat="1" x14ac:dyDescent="0.15"/>
    <row r="2100" s="120" customFormat="1" x14ac:dyDescent="0.15"/>
    <row r="2101" s="120" customFormat="1" x14ac:dyDescent="0.15"/>
    <row r="2102" s="120" customFormat="1" x14ac:dyDescent="0.15"/>
    <row r="2103" s="120" customFormat="1" x14ac:dyDescent="0.15"/>
    <row r="2104" s="120" customFormat="1" x14ac:dyDescent="0.15"/>
    <row r="2105" s="120" customFormat="1" x14ac:dyDescent="0.15"/>
    <row r="2106" s="120" customFormat="1" x14ac:dyDescent="0.15"/>
    <row r="2107" s="120" customFormat="1" x14ac:dyDescent="0.15"/>
    <row r="2108" s="120" customFormat="1" x14ac:dyDescent="0.15"/>
    <row r="2109" s="120" customFormat="1" x14ac:dyDescent="0.15"/>
    <row r="2110" s="120" customFormat="1" x14ac:dyDescent="0.15"/>
    <row r="2111" s="120" customFormat="1" x14ac:dyDescent="0.15"/>
    <row r="2112" s="120" customFormat="1" x14ac:dyDescent="0.15"/>
    <row r="2113" s="120" customFormat="1" x14ac:dyDescent="0.15"/>
    <row r="2114" s="120" customFormat="1" x14ac:dyDescent="0.15"/>
    <row r="2115" s="120" customFormat="1" x14ac:dyDescent="0.15"/>
    <row r="2116" s="120" customFormat="1" x14ac:dyDescent="0.15"/>
    <row r="2117" s="120" customFormat="1" x14ac:dyDescent="0.15"/>
    <row r="2118" s="120" customFormat="1" x14ac:dyDescent="0.15"/>
    <row r="2119" s="120" customFormat="1" x14ac:dyDescent="0.15"/>
    <row r="2120" s="120" customFormat="1" x14ac:dyDescent="0.15"/>
    <row r="2121" s="120" customFormat="1" x14ac:dyDescent="0.15"/>
    <row r="2122" s="120" customFormat="1" x14ac:dyDescent="0.15"/>
    <row r="2123" s="120" customFormat="1" x14ac:dyDescent="0.15"/>
    <row r="2124" s="120" customFormat="1" x14ac:dyDescent="0.15"/>
    <row r="2125" s="120" customFormat="1" x14ac:dyDescent="0.15"/>
    <row r="2126" s="120" customFormat="1" x14ac:dyDescent="0.15"/>
    <row r="2127" s="120" customFormat="1" x14ac:dyDescent="0.15"/>
    <row r="2128" s="120" customFormat="1" x14ac:dyDescent="0.15"/>
    <row r="2129" s="120" customFormat="1" x14ac:dyDescent="0.15"/>
    <row r="2130" s="120" customFormat="1" x14ac:dyDescent="0.15"/>
    <row r="2131" s="120" customFormat="1" x14ac:dyDescent="0.15"/>
    <row r="2132" s="120" customFormat="1" x14ac:dyDescent="0.15"/>
    <row r="2133" s="120" customFormat="1" x14ac:dyDescent="0.15"/>
    <row r="2134" s="120" customFormat="1" x14ac:dyDescent="0.15"/>
    <row r="2135" s="120" customFormat="1" x14ac:dyDescent="0.15"/>
    <row r="2136" s="120" customFormat="1" x14ac:dyDescent="0.15"/>
    <row r="2137" s="120" customFormat="1" x14ac:dyDescent="0.15"/>
    <row r="2138" s="120" customFormat="1" x14ac:dyDescent="0.15"/>
    <row r="2139" s="120" customFormat="1" x14ac:dyDescent="0.15"/>
    <row r="2140" s="120" customFormat="1" x14ac:dyDescent="0.15"/>
    <row r="2141" s="120" customFormat="1" x14ac:dyDescent="0.15"/>
    <row r="2142" s="120" customFormat="1" x14ac:dyDescent="0.15"/>
    <row r="2143" s="120" customFormat="1" x14ac:dyDescent="0.15"/>
    <row r="2144" s="120" customFormat="1" x14ac:dyDescent="0.15"/>
    <row r="2145" s="120" customFormat="1" x14ac:dyDescent="0.15"/>
    <row r="2146" s="120" customFormat="1" x14ac:dyDescent="0.15"/>
    <row r="2147" s="120" customFormat="1" x14ac:dyDescent="0.15"/>
    <row r="2148" s="120" customFormat="1" x14ac:dyDescent="0.15"/>
    <row r="2149" s="120" customFormat="1" x14ac:dyDescent="0.15"/>
    <row r="2150" s="120" customFormat="1" x14ac:dyDescent="0.15"/>
    <row r="2151" s="120" customFormat="1" x14ac:dyDescent="0.15"/>
    <row r="2152" s="120" customFormat="1" x14ac:dyDescent="0.15"/>
    <row r="2153" s="120" customFormat="1" x14ac:dyDescent="0.15"/>
    <row r="2154" s="120" customFormat="1" x14ac:dyDescent="0.15"/>
    <row r="2155" s="120" customFormat="1" x14ac:dyDescent="0.15"/>
    <row r="2156" s="120" customFormat="1" x14ac:dyDescent="0.15"/>
    <row r="2157" s="120" customFormat="1" x14ac:dyDescent="0.15"/>
    <row r="2158" s="120" customFormat="1" x14ac:dyDescent="0.15"/>
    <row r="2159" s="120" customFormat="1" x14ac:dyDescent="0.15"/>
    <row r="2160" s="120" customFormat="1" x14ac:dyDescent="0.15"/>
    <row r="2161" s="120" customFormat="1" x14ac:dyDescent="0.15"/>
    <row r="2162" s="120" customFormat="1" x14ac:dyDescent="0.15"/>
    <row r="2163" s="120" customFormat="1" x14ac:dyDescent="0.15"/>
    <row r="2164" s="120" customFormat="1" x14ac:dyDescent="0.15"/>
    <row r="2165" s="120" customFormat="1" x14ac:dyDescent="0.15"/>
    <row r="2166" s="120" customFormat="1" x14ac:dyDescent="0.15"/>
    <row r="2167" s="120" customFormat="1" x14ac:dyDescent="0.15"/>
    <row r="2168" s="120" customFormat="1" x14ac:dyDescent="0.15"/>
    <row r="2169" s="120" customFormat="1" x14ac:dyDescent="0.15"/>
    <row r="2170" s="120" customFormat="1" x14ac:dyDescent="0.15"/>
    <row r="2171" s="120" customFormat="1" x14ac:dyDescent="0.15"/>
    <row r="2172" s="120" customFormat="1" x14ac:dyDescent="0.15"/>
    <row r="2173" s="120" customFormat="1" x14ac:dyDescent="0.15"/>
    <row r="2174" s="120" customFormat="1" x14ac:dyDescent="0.15"/>
    <row r="2175" s="120" customFormat="1" x14ac:dyDescent="0.15"/>
    <row r="2176" s="120" customFormat="1" x14ac:dyDescent="0.15"/>
    <row r="2177" s="120" customFormat="1" x14ac:dyDescent="0.15"/>
    <row r="2178" s="120" customFormat="1" x14ac:dyDescent="0.15"/>
    <row r="2179" s="120" customFormat="1" x14ac:dyDescent="0.15"/>
    <row r="2180" s="120" customFormat="1" x14ac:dyDescent="0.15"/>
    <row r="2181" s="120" customFormat="1" x14ac:dyDescent="0.15"/>
    <row r="2182" s="120" customFormat="1" x14ac:dyDescent="0.15"/>
    <row r="2183" s="120" customFormat="1" x14ac:dyDescent="0.15"/>
    <row r="2184" s="120" customFormat="1" x14ac:dyDescent="0.15"/>
    <row r="2185" s="120" customFormat="1" x14ac:dyDescent="0.15"/>
    <row r="2186" s="120" customFormat="1" x14ac:dyDescent="0.15"/>
    <row r="2187" s="120" customFormat="1" x14ac:dyDescent="0.15"/>
    <row r="2188" s="120" customFormat="1" x14ac:dyDescent="0.15"/>
    <row r="2189" s="120" customFormat="1" x14ac:dyDescent="0.15"/>
    <row r="2190" s="120" customFormat="1" x14ac:dyDescent="0.15"/>
    <row r="2191" s="120" customFormat="1" x14ac:dyDescent="0.15"/>
    <row r="2192" s="120" customFormat="1" x14ac:dyDescent="0.15"/>
    <row r="2193" s="120" customFormat="1" x14ac:dyDescent="0.15"/>
    <row r="2194" s="120" customFormat="1" x14ac:dyDescent="0.15"/>
    <row r="2195" s="120" customFormat="1" x14ac:dyDescent="0.15"/>
    <row r="2196" s="120" customFormat="1" x14ac:dyDescent="0.15"/>
    <row r="2197" s="120" customFormat="1" x14ac:dyDescent="0.15"/>
    <row r="2198" s="120" customFormat="1" x14ac:dyDescent="0.15"/>
    <row r="2199" s="120" customFormat="1" x14ac:dyDescent="0.15"/>
    <row r="2200" s="120" customFormat="1" x14ac:dyDescent="0.15"/>
    <row r="2201" s="120" customFormat="1" x14ac:dyDescent="0.15"/>
    <row r="2202" s="120" customFormat="1" x14ac:dyDescent="0.15"/>
    <row r="2203" s="120" customFormat="1" x14ac:dyDescent="0.15"/>
    <row r="2204" s="120" customFormat="1" x14ac:dyDescent="0.15"/>
    <row r="2205" s="120" customFormat="1" x14ac:dyDescent="0.15"/>
    <row r="2206" s="120" customFormat="1" x14ac:dyDescent="0.15"/>
    <row r="2207" s="120" customFormat="1" x14ac:dyDescent="0.15"/>
    <row r="2208" s="120" customFormat="1" x14ac:dyDescent="0.15"/>
    <row r="2209" s="120" customFormat="1" x14ac:dyDescent="0.15"/>
    <row r="2210" s="120" customFormat="1" x14ac:dyDescent="0.15"/>
    <row r="2211" s="120" customFormat="1" x14ac:dyDescent="0.15"/>
    <row r="2212" s="120" customFormat="1" x14ac:dyDescent="0.15"/>
    <row r="2213" s="120" customFormat="1" x14ac:dyDescent="0.15"/>
    <row r="2214" s="120" customFormat="1" x14ac:dyDescent="0.15"/>
    <row r="2215" s="120" customFormat="1" x14ac:dyDescent="0.15"/>
    <row r="2216" s="120" customFormat="1" x14ac:dyDescent="0.15"/>
    <row r="2217" s="120" customFormat="1" x14ac:dyDescent="0.15"/>
    <row r="2218" s="120" customFormat="1" x14ac:dyDescent="0.15"/>
    <row r="2219" s="120" customFormat="1" x14ac:dyDescent="0.15"/>
    <row r="2220" s="120" customFormat="1" x14ac:dyDescent="0.15"/>
    <row r="2221" s="120" customFormat="1" x14ac:dyDescent="0.15"/>
    <row r="2222" s="120" customFormat="1" x14ac:dyDescent="0.15"/>
    <row r="2223" s="120" customFormat="1" x14ac:dyDescent="0.15"/>
    <row r="2224" s="120" customFormat="1" x14ac:dyDescent="0.15"/>
    <row r="2225" s="120" customFormat="1" x14ac:dyDescent="0.15"/>
    <row r="2226" s="120" customFormat="1" x14ac:dyDescent="0.15"/>
    <row r="2227" s="120" customFormat="1" x14ac:dyDescent="0.15"/>
    <row r="2228" s="120" customFormat="1" x14ac:dyDescent="0.15"/>
    <row r="2229" s="120" customFormat="1" x14ac:dyDescent="0.15"/>
    <row r="2230" s="120" customFormat="1" x14ac:dyDescent="0.15"/>
    <row r="2231" s="120" customFormat="1" x14ac:dyDescent="0.15"/>
    <row r="2232" s="120" customFormat="1" x14ac:dyDescent="0.15"/>
    <row r="2233" s="120" customFormat="1" x14ac:dyDescent="0.15"/>
    <row r="2234" s="120" customFormat="1" x14ac:dyDescent="0.15"/>
    <row r="2235" s="120" customFormat="1" x14ac:dyDescent="0.15"/>
    <row r="2236" s="120" customFormat="1" x14ac:dyDescent="0.15"/>
    <row r="2237" s="120" customFormat="1" x14ac:dyDescent="0.15"/>
    <row r="2238" s="120" customFormat="1" x14ac:dyDescent="0.15"/>
    <row r="2239" s="120" customFormat="1" x14ac:dyDescent="0.15"/>
    <row r="2240" s="120" customFormat="1" x14ac:dyDescent="0.15"/>
    <row r="2241" s="120" customFormat="1" x14ac:dyDescent="0.15"/>
    <row r="2242" s="120" customFormat="1" x14ac:dyDescent="0.15"/>
    <row r="2243" s="120" customFormat="1" x14ac:dyDescent="0.15"/>
    <row r="2244" s="120" customFormat="1" x14ac:dyDescent="0.15"/>
    <row r="2245" s="120" customFormat="1" x14ac:dyDescent="0.15"/>
    <row r="2246" s="120" customFormat="1" x14ac:dyDescent="0.15"/>
    <row r="2247" s="120" customFormat="1" x14ac:dyDescent="0.15"/>
    <row r="2248" s="120" customFormat="1" x14ac:dyDescent="0.15"/>
    <row r="2249" s="120" customFormat="1" x14ac:dyDescent="0.15"/>
    <row r="2250" s="120" customFormat="1" x14ac:dyDescent="0.15"/>
    <row r="2251" s="120" customFormat="1" x14ac:dyDescent="0.15"/>
    <row r="2252" s="120" customFormat="1" x14ac:dyDescent="0.15"/>
    <row r="2253" s="120" customFormat="1" x14ac:dyDescent="0.15"/>
    <row r="2254" s="120" customFormat="1" x14ac:dyDescent="0.15"/>
    <row r="2255" s="120" customFormat="1" x14ac:dyDescent="0.15"/>
    <row r="2256" s="120" customFormat="1" x14ac:dyDescent="0.15"/>
    <row r="2257" s="120" customFormat="1" x14ac:dyDescent="0.15"/>
    <row r="2258" s="120" customFormat="1" x14ac:dyDescent="0.15"/>
    <row r="2259" s="120" customFormat="1" x14ac:dyDescent="0.15"/>
    <row r="2260" s="120" customFormat="1" x14ac:dyDescent="0.15"/>
    <row r="2261" s="120" customFormat="1" x14ac:dyDescent="0.15"/>
    <row r="2262" s="120" customFormat="1" x14ac:dyDescent="0.15"/>
    <row r="2263" s="120" customFormat="1" x14ac:dyDescent="0.15"/>
    <row r="2264" s="120" customFormat="1" x14ac:dyDescent="0.15"/>
    <row r="2265" s="120" customFormat="1" x14ac:dyDescent="0.15"/>
    <row r="2266" s="120" customFormat="1" x14ac:dyDescent="0.15"/>
    <row r="2267" s="120" customFormat="1" x14ac:dyDescent="0.15"/>
    <row r="2268" s="120" customFormat="1" x14ac:dyDescent="0.15"/>
    <row r="2269" s="120" customFormat="1" x14ac:dyDescent="0.15"/>
    <row r="2270" s="120" customFormat="1" x14ac:dyDescent="0.15"/>
    <row r="2271" s="120" customFormat="1" x14ac:dyDescent="0.15"/>
    <row r="2272" s="120" customFormat="1" x14ac:dyDescent="0.15"/>
    <row r="2273" s="120" customFormat="1" x14ac:dyDescent="0.15"/>
    <row r="2274" s="120" customFormat="1" x14ac:dyDescent="0.15"/>
    <row r="2275" s="120" customFormat="1" x14ac:dyDescent="0.15"/>
    <row r="2276" s="120" customFormat="1" x14ac:dyDescent="0.15"/>
    <row r="2277" s="120" customFormat="1" x14ac:dyDescent="0.15"/>
    <row r="2278" s="120" customFormat="1" x14ac:dyDescent="0.15"/>
    <row r="2279" s="120" customFormat="1" x14ac:dyDescent="0.15"/>
    <row r="2280" s="120" customFormat="1" x14ac:dyDescent="0.15"/>
    <row r="2281" s="120" customFormat="1" x14ac:dyDescent="0.15"/>
    <row r="2282" s="120" customFormat="1" x14ac:dyDescent="0.15"/>
    <row r="2283" s="120" customFormat="1" x14ac:dyDescent="0.15"/>
    <row r="2284" s="120" customFormat="1" x14ac:dyDescent="0.15"/>
    <row r="2285" s="120" customFormat="1" x14ac:dyDescent="0.15"/>
    <row r="2286" s="120" customFormat="1" x14ac:dyDescent="0.15"/>
    <row r="2287" s="120" customFormat="1" x14ac:dyDescent="0.15"/>
    <row r="2288" s="120" customFormat="1" x14ac:dyDescent="0.15"/>
    <row r="2289" s="120" customFormat="1" x14ac:dyDescent="0.15"/>
    <row r="2290" s="120" customFormat="1" x14ac:dyDescent="0.15"/>
    <row r="2291" s="120" customFormat="1" x14ac:dyDescent="0.15"/>
    <row r="2292" s="120" customFormat="1" x14ac:dyDescent="0.15"/>
    <row r="2293" s="120" customFormat="1" x14ac:dyDescent="0.15"/>
    <row r="2294" s="120" customFormat="1" x14ac:dyDescent="0.15"/>
    <row r="2295" s="120" customFormat="1" x14ac:dyDescent="0.15"/>
    <row r="2296" s="120" customFormat="1" x14ac:dyDescent="0.15"/>
    <row r="2297" s="120" customFormat="1" x14ac:dyDescent="0.15"/>
    <row r="2298" s="120" customFormat="1" x14ac:dyDescent="0.15"/>
    <row r="2299" s="120" customFormat="1" x14ac:dyDescent="0.15"/>
    <row r="2300" s="120" customFormat="1" x14ac:dyDescent="0.15"/>
    <row r="2301" s="120" customFormat="1" x14ac:dyDescent="0.15"/>
    <row r="2302" s="120" customFormat="1" x14ac:dyDescent="0.15"/>
    <row r="2303" s="120" customFormat="1" x14ac:dyDescent="0.15"/>
    <row r="2304" s="120" customFormat="1" x14ac:dyDescent="0.15"/>
    <row r="2305" s="120" customFormat="1" x14ac:dyDescent="0.15"/>
    <row r="2306" s="120" customFormat="1" x14ac:dyDescent="0.15"/>
    <row r="2307" s="120" customFormat="1" x14ac:dyDescent="0.15"/>
    <row r="2308" s="120" customFormat="1" x14ac:dyDescent="0.15"/>
    <row r="2309" s="120" customFormat="1" x14ac:dyDescent="0.15"/>
    <row r="2310" s="120" customFormat="1" x14ac:dyDescent="0.15"/>
    <row r="2311" s="120" customFormat="1" x14ac:dyDescent="0.15"/>
    <row r="2312" s="120" customFormat="1" x14ac:dyDescent="0.15"/>
    <row r="2313" s="120" customFormat="1" x14ac:dyDescent="0.15"/>
    <row r="2314" s="120" customFormat="1" x14ac:dyDescent="0.15"/>
    <row r="2315" s="120" customFormat="1" x14ac:dyDescent="0.15"/>
    <row r="2316" s="120" customFormat="1" x14ac:dyDescent="0.15"/>
    <row r="2317" s="120" customFormat="1" x14ac:dyDescent="0.15"/>
    <row r="2318" s="120" customFormat="1" x14ac:dyDescent="0.15"/>
    <row r="2319" s="120" customFormat="1" x14ac:dyDescent="0.15"/>
    <row r="2320" s="120" customFormat="1" x14ac:dyDescent="0.15"/>
    <row r="2321" s="120" customFormat="1" x14ac:dyDescent="0.15"/>
    <row r="2322" s="120" customFormat="1" x14ac:dyDescent="0.15"/>
    <row r="2323" s="120" customFormat="1" x14ac:dyDescent="0.15"/>
    <row r="2324" s="120" customFormat="1" x14ac:dyDescent="0.15"/>
    <row r="2325" s="120" customFormat="1" x14ac:dyDescent="0.15"/>
    <row r="2326" s="120" customFormat="1" x14ac:dyDescent="0.15"/>
    <row r="2327" s="120" customFormat="1" x14ac:dyDescent="0.15"/>
    <row r="2328" s="120" customFormat="1" x14ac:dyDescent="0.15"/>
    <row r="2329" s="120" customFormat="1" x14ac:dyDescent="0.15"/>
    <row r="2330" s="120" customFormat="1" x14ac:dyDescent="0.15"/>
    <row r="2331" s="120" customFormat="1" x14ac:dyDescent="0.15"/>
    <row r="2332" s="120" customFormat="1" x14ac:dyDescent="0.15"/>
    <row r="2333" s="120" customFormat="1" x14ac:dyDescent="0.15"/>
    <row r="2334" s="120" customFormat="1" x14ac:dyDescent="0.15"/>
    <row r="2335" s="120" customFormat="1" x14ac:dyDescent="0.15"/>
    <row r="2336" s="120" customFormat="1" x14ac:dyDescent="0.15"/>
    <row r="2337" s="120" customFormat="1" x14ac:dyDescent="0.15"/>
    <row r="2338" s="120" customFormat="1" x14ac:dyDescent="0.15"/>
    <row r="2339" s="120" customFormat="1" x14ac:dyDescent="0.15"/>
    <row r="2340" s="120" customFormat="1" x14ac:dyDescent="0.15"/>
    <row r="2341" s="120" customFormat="1" x14ac:dyDescent="0.15"/>
    <row r="2342" s="120" customFormat="1" x14ac:dyDescent="0.15"/>
    <row r="2343" s="120" customFormat="1" x14ac:dyDescent="0.15"/>
    <row r="2344" s="120" customFormat="1" x14ac:dyDescent="0.15"/>
    <row r="2345" s="120" customFormat="1" x14ac:dyDescent="0.15"/>
    <row r="2346" s="120" customFormat="1" x14ac:dyDescent="0.15"/>
    <row r="2347" s="120" customFormat="1" x14ac:dyDescent="0.15"/>
    <row r="2348" s="120" customFormat="1" x14ac:dyDescent="0.15"/>
    <row r="2349" s="120" customFormat="1" x14ac:dyDescent="0.15"/>
    <row r="2350" s="120" customFormat="1" x14ac:dyDescent="0.15"/>
    <row r="2351" s="120" customFormat="1" x14ac:dyDescent="0.15"/>
    <row r="2352" s="120" customFormat="1" x14ac:dyDescent="0.15"/>
    <row r="2353" s="120" customFormat="1" x14ac:dyDescent="0.15"/>
    <row r="2354" s="120" customFormat="1" x14ac:dyDescent="0.15"/>
    <row r="2355" s="120" customFormat="1" x14ac:dyDescent="0.15"/>
    <row r="2356" s="120" customFormat="1" x14ac:dyDescent="0.15"/>
    <row r="2357" s="120" customFormat="1" x14ac:dyDescent="0.15"/>
    <row r="2358" s="120" customFormat="1" x14ac:dyDescent="0.15"/>
    <row r="2359" s="120" customFormat="1" x14ac:dyDescent="0.15"/>
    <row r="2360" s="120" customFormat="1" x14ac:dyDescent="0.15"/>
    <row r="2361" s="120" customFormat="1" x14ac:dyDescent="0.15"/>
    <row r="2362" s="120" customFormat="1" x14ac:dyDescent="0.15"/>
    <row r="2363" s="120" customFormat="1" x14ac:dyDescent="0.15"/>
    <row r="2364" s="120" customFormat="1" x14ac:dyDescent="0.15"/>
    <row r="2365" s="120" customFormat="1" x14ac:dyDescent="0.15"/>
    <row r="2366" s="120" customFormat="1" x14ac:dyDescent="0.15"/>
    <row r="2367" s="120" customFormat="1" x14ac:dyDescent="0.15"/>
    <row r="2368" s="120" customFormat="1" x14ac:dyDescent="0.15"/>
    <row r="2369" s="120" customFormat="1" x14ac:dyDescent="0.15"/>
    <row r="2370" s="120" customFormat="1" x14ac:dyDescent="0.15"/>
    <row r="2371" s="120" customFormat="1" x14ac:dyDescent="0.15"/>
    <row r="2372" s="120" customFormat="1" x14ac:dyDescent="0.15"/>
    <row r="2373" s="120" customFormat="1" x14ac:dyDescent="0.15"/>
    <row r="2374" s="120" customFormat="1" x14ac:dyDescent="0.15"/>
    <row r="2375" s="120" customFormat="1" x14ac:dyDescent="0.15"/>
    <row r="2376" s="120" customFormat="1" x14ac:dyDescent="0.15"/>
    <row r="2377" s="120" customFormat="1" x14ac:dyDescent="0.15"/>
    <row r="2378" s="120" customFormat="1" x14ac:dyDescent="0.15"/>
    <row r="2379" s="120" customFormat="1" x14ac:dyDescent="0.15"/>
    <row r="2380" s="120" customFormat="1" x14ac:dyDescent="0.15"/>
    <row r="2381" s="120" customFormat="1" x14ac:dyDescent="0.15"/>
    <row r="2382" s="120" customFormat="1" x14ac:dyDescent="0.15"/>
    <row r="2383" s="120" customFormat="1" x14ac:dyDescent="0.15"/>
    <row r="2384" s="120" customFormat="1" x14ac:dyDescent="0.15"/>
    <row r="2385" s="120" customFormat="1" x14ac:dyDescent="0.15"/>
    <row r="2386" s="120" customFormat="1" x14ac:dyDescent="0.15"/>
    <row r="2387" s="120" customFormat="1" x14ac:dyDescent="0.15"/>
    <row r="2388" s="120" customFormat="1" x14ac:dyDescent="0.15"/>
    <row r="2389" s="120" customFormat="1" x14ac:dyDescent="0.15"/>
    <row r="2390" s="120" customFormat="1" x14ac:dyDescent="0.15"/>
    <row r="2391" s="120" customFormat="1" x14ac:dyDescent="0.15"/>
    <row r="2392" s="120" customFormat="1" x14ac:dyDescent="0.15"/>
    <row r="2393" s="120" customFormat="1" x14ac:dyDescent="0.15"/>
    <row r="2394" s="120" customFormat="1" x14ac:dyDescent="0.15"/>
    <row r="2395" s="120" customFormat="1" x14ac:dyDescent="0.15"/>
    <row r="2396" s="120" customFormat="1" x14ac:dyDescent="0.15"/>
    <row r="2397" s="120" customFormat="1" x14ac:dyDescent="0.15"/>
    <row r="2398" s="120" customFormat="1" x14ac:dyDescent="0.15"/>
    <row r="2399" s="120" customFormat="1" x14ac:dyDescent="0.15"/>
    <row r="2400" s="120" customFormat="1" x14ac:dyDescent="0.15"/>
    <row r="2401" s="120" customFormat="1" x14ac:dyDescent="0.15"/>
    <row r="2402" s="120" customFormat="1" x14ac:dyDescent="0.15"/>
    <row r="2403" s="120" customFormat="1" x14ac:dyDescent="0.15"/>
    <row r="2404" s="120" customFormat="1" x14ac:dyDescent="0.15"/>
    <row r="2405" s="120" customFormat="1" x14ac:dyDescent="0.15"/>
    <row r="2406" s="120" customFormat="1" x14ac:dyDescent="0.15"/>
    <row r="2407" s="120" customFormat="1" x14ac:dyDescent="0.15"/>
    <row r="2408" s="120" customFormat="1" x14ac:dyDescent="0.15"/>
    <row r="2409" s="120" customFormat="1" x14ac:dyDescent="0.15"/>
    <row r="2410" s="120" customFormat="1" x14ac:dyDescent="0.15"/>
    <row r="2411" s="120" customFormat="1" x14ac:dyDescent="0.15"/>
    <row r="2412" s="120" customFormat="1" x14ac:dyDescent="0.15"/>
    <row r="2413" s="120" customFormat="1" x14ac:dyDescent="0.15"/>
    <row r="2414" s="120" customFormat="1" x14ac:dyDescent="0.15"/>
    <row r="2415" s="120" customFormat="1" x14ac:dyDescent="0.15"/>
    <row r="2416" s="120" customFormat="1" x14ac:dyDescent="0.15"/>
    <row r="2417" s="120" customFormat="1" x14ac:dyDescent="0.15"/>
    <row r="2418" s="120" customFormat="1" x14ac:dyDescent="0.15"/>
    <row r="2419" s="120" customFormat="1" x14ac:dyDescent="0.15"/>
    <row r="2420" s="120" customFormat="1" x14ac:dyDescent="0.15"/>
    <row r="2421" s="120" customFormat="1" x14ac:dyDescent="0.15"/>
    <row r="2422" s="120" customFormat="1" x14ac:dyDescent="0.15"/>
    <row r="2423" s="120" customFormat="1" x14ac:dyDescent="0.15"/>
    <row r="2424" s="120" customFormat="1" x14ac:dyDescent="0.15"/>
    <row r="2425" s="120" customFormat="1" x14ac:dyDescent="0.15"/>
    <row r="2426" s="120" customFormat="1" x14ac:dyDescent="0.15"/>
    <row r="2427" s="120" customFormat="1" x14ac:dyDescent="0.15"/>
    <row r="2428" s="120" customFormat="1" x14ac:dyDescent="0.15"/>
    <row r="2429" s="120" customFormat="1" x14ac:dyDescent="0.15"/>
    <row r="2430" s="120" customFormat="1" x14ac:dyDescent="0.15"/>
    <row r="2431" s="120" customFormat="1" x14ac:dyDescent="0.15"/>
    <row r="2432" s="120" customFormat="1" x14ac:dyDescent="0.15"/>
    <row r="2433" s="120" customFormat="1" x14ac:dyDescent="0.15"/>
    <row r="2434" s="120" customFormat="1" x14ac:dyDescent="0.15"/>
    <row r="2435" s="120" customFormat="1" x14ac:dyDescent="0.15"/>
    <row r="2436" s="120" customFormat="1" x14ac:dyDescent="0.15"/>
    <row r="2437" s="120" customFormat="1" x14ac:dyDescent="0.15"/>
    <row r="2438" s="120" customFormat="1" x14ac:dyDescent="0.15"/>
    <row r="2439" s="120" customFormat="1" x14ac:dyDescent="0.15"/>
    <row r="2440" s="120" customFormat="1" x14ac:dyDescent="0.15"/>
    <row r="2441" s="120" customFormat="1" x14ac:dyDescent="0.15"/>
    <row r="2442" s="120" customFormat="1" x14ac:dyDescent="0.15"/>
    <row r="2443" s="120" customFormat="1" x14ac:dyDescent="0.15"/>
    <row r="2444" s="120" customFormat="1" x14ac:dyDescent="0.15"/>
    <row r="2445" s="120" customFormat="1" x14ac:dyDescent="0.15"/>
    <row r="2446" s="120" customFormat="1" x14ac:dyDescent="0.15"/>
    <row r="2447" s="120" customFormat="1" x14ac:dyDescent="0.15"/>
    <row r="2448" s="120" customFormat="1" x14ac:dyDescent="0.15"/>
    <row r="2449" s="120" customFormat="1" x14ac:dyDescent="0.15"/>
    <row r="2450" s="120" customFormat="1" x14ac:dyDescent="0.15"/>
    <row r="2451" s="120" customFormat="1" x14ac:dyDescent="0.15"/>
    <row r="2452" s="120" customFormat="1" x14ac:dyDescent="0.15"/>
    <row r="2453" s="120" customFormat="1" x14ac:dyDescent="0.15"/>
    <row r="2454" s="120" customFormat="1" x14ac:dyDescent="0.15"/>
    <row r="2455" s="120" customFormat="1" x14ac:dyDescent="0.15"/>
    <row r="2456" s="120" customFormat="1" x14ac:dyDescent="0.15"/>
    <row r="2457" s="120" customFormat="1" x14ac:dyDescent="0.15"/>
    <row r="2458" s="120" customFormat="1" x14ac:dyDescent="0.15"/>
    <row r="2459" s="120" customFormat="1" x14ac:dyDescent="0.15"/>
    <row r="2460" s="120" customFormat="1" x14ac:dyDescent="0.15"/>
    <row r="2461" s="120" customFormat="1" x14ac:dyDescent="0.15"/>
    <row r="2462" s="120" customFormat="1" x14ac:dyDescent="0.15"/>
    <row r="2463" s="120" customFormat="1" x14ac:dyDescent="0.15"/>
    <row r="2464" s="120" customFormat="1" x14ac:dyDescent="0.15"/>
    <row r="2465" s="120" customFormat="1" x14ac:dyDescent="0.15"/>
    <row r="2466" s="120" customFormat="1" x14ac:dyDescent="0.15"/>
    <row r="2467" s="120" customFormat="1" x14ac:dyDescent="0.15"/>
    <row r="2468" s="120" customFormat="1" x14ac:dyDescent="0.15"/>
    <row r="2469" s="120" customFormat="1" x14ac:dyDescent="0.15"/>
    <row r="2470" s="120" customFormat="1" x14ac:dyDescent="0.15"/>
    <row r="2471" s="120" customFormat="1" x14ac:dyDescent="0.15"/>
    <row r="2472" s="120" customFormat="1" x14ac:dyDescent="0.15"/>
    <row r="2473" s="120" customFormat="1" x14ac:dyDescent="0.15"/>
    <row r="2474" s="120" customFormat="1" x14ac:dyDescent="0.15"/>
    <row r="2475" s="120" customFormat="1" x14ac:dyDescent="0.15"/>
    <row r="2476" s="120" customFormat="1" x14ac:dyDescent="0.15"/>
    <row r="2477" s="120" customFormat="1" x14ac:dyDescent="0.15"/>
    <row r="2478" s="120" customFormat="1" x14ac:dyDescent="0.15"/>
    <row r="2479" s="120" customFormat="1" x14ac:dyDescent="0.15"/>
    <row r="2480" s="120" customFormat="1" x14ac:dyDescent="0.15"/>
    <row r="2481" s="120" customFormat="1" x14ac:dyDescent="0.15"/>
    <row r="2482" s="120" customFormat="1" x14ac:dyDescent="0.15"/>
    <row r="2483" s="120" customFormat="1" x14ac:dyDescent="0.15"/>
    <row r="2484" s="120" customFormat="1" x14ac:dyDescent="0.15"/>
    <row r="2485" s="120" customFormat="1" x14ac:dyDescent="0.15"/>
    <row r="2486" s="120" customFormat="1" x14ac:dyDescent="0.15"/>
    <row r="2487" s="120" customFormat="1" x14ac:dyDescent="0.15"/>
    <row r="2488" s="120" customFormat="1" x14ac:dyDescent="0.15"/>
    <row r="2489" s="120" customFormat="1" x14ac:dyDescent="0.15"/>
    <row r="2490" s="120" customFormat="1" x14ac:dyDescent="0.15"/>
    <row r="2491" s="120" customFormat="1" x14ac:dyDescent="0.15"/>
    <row r="2492" s="120" customFormat="1" x14ac:dyDescent="0.15"/>
    <row r="2493" s="120" customFormat="1" x14ac:dyDescent="0.15"/>
    <row r="2494" s="120" customFormat="1" x14ac:dyDescent="0.15"/>
    <row r="2495" s="120" customFormat="1" x14ac:dyDescent="0.15"/>
    <row r="2496" s="120" customFormat="1" x14ac:dyDescent="0.15"/>
    <row r="2497" s="120" customFormat="1" x14ac:dyDescent="0.15"/>
    <row r="2498" s="120" customFormat="1" x14ac:dyDescent="0.15"/>
    <row r="2499" s="120" customFormat="1" x14ac:dyDescent="0.15"/>
    <row r="2500" s="120" customFormat="1" x14ac:dyDescent="0.15"/>
    <row r="2501" s="120" customFormat="1" x14ac:dyDescent="0.15"/>
    <row r="2502" s="120" customFormat="1" x14ac:dyDescent="0.15"/>
    <row r="2503" s="120" customFormat="1" x14ac:dyDescent="0.15"/>
    <row r="2504" s="120" customFormat="1" x14ac:dyDescent="0.15"/>
    <row r="2505" s="120" customFormat="1" x14ac:dyDescent="0.15"/>
    <row r="2506" s="120" customFormat="1" x14ac:dyDescent="0.15"/>
    <row r="2507" s="120" customFormat="1" x14ac:dyDescent="0.15"/>
    <row r="2508" s="120" customFormat="1" x14ac:dyDescent="0.15"/>
    <row r="2509" s="120" customFormat="1" x14ac:dyDescent="0.15"/>
    <row r="2510" s="120" customFormat="1" x14ac:dyDescent="0.15"/>
    <row r="2511" s="120" customFormat="1" x14ac:dyDescent="0.15"/>
    <row r="2512" s="120" customFormat="1" x14ac:dyDescent="0.15"/>
    <row r="2513" s="120" customFormat="1" x14ac:dyDescent="0.15"/>
    <row r="2514" s="120" customFormat="1" x14ac:dyDescent="0.15"/>
    <row r="2515" s="120" customFormat="1" x14ac:dyDescent="0.15"/>
    <row r="2516" s="120" customFormat="1" x14ac:dyDescent="0.15"/>
    <row r="2517" s="120" customFormat="1" x14ac:dyDescent="0.15"/>
    <row r="2518" s="120" customFormat="1" x14ac:dyDescent="0.15"/>
    <row r="2519" s="120" customFormat="1" x14ac:dyDescent="0.15"/>
    <row r="2520" s="120" customFormat="1" x14ac:dyDescent="0.15"/>
    <row r="2521" s="120" customFormat="1" x14ac:dyDescent="0.15"/>
    <row r="2522" s="120" customFormat="1" x14ac:dyDescent="0.15"/>
    <row r="2523" s="120" customFormat="1" x14ac:dyDescent="0.15"/>
    <row r="2524" s="120" customFormat="1" x14ac:dyDescent="0.15"/>
    <row r="2525" s="120" customFormat="1" x14ac:dyDescent="0.15"/>
    <row r="2526" s="120" customFormat="1" x14ac:dyDescent="0.15"/>
    <row r="2527" s="120" customFormat="1" x14ac:dyDescent="0.15"/>
    <row r="2528" s="120" customFormat="1" x14ac:dyDescent="0.15"/>
    <row r="2529" s="120" customFormat="1" x14ac:dyDescent="0.15"/>
    <row r="2530" s="120" customFormat="1" x14ac:dyDescent="0.15"/>
    <row r="2531" s="120" customFormat="1" x14ac:dyDescent="0.15"/>
    <row r="2532" s="120" customFormat="1" x14ac:dyDescent="0.15"/>
    <row r="2533" s="120" customFormat="1" x14ac:dyDescent="0.15"/>
    <row r="2534" s="120" customFormat="1" x14ac:dyDescent="0.15"/>
    <row r="2535" s="120" customFormat="1" x14ac:dyDescent="0.15"/>
    <row r="2536" s="120" customFormat="1" x14ac:dyDescent="0.15"/>
    <row r="2537" s="120" customFormat="1" x14ac:dyDescent="0.15"/>
    <row r="2538" s="120" customFormat="1" x14ac:dyDescent="0.15"/>
    <row r="2539" s="120" customFormat="1" x14ac:dyDescent="0.15"/>
    <row r="2540" s="120" customFormat="1" x14ac:dyDescent="0.15"/>
    <row r="2541" s="120" customFormat="1" x14ac:dyDescent="0.15"/>
    <row r="2542" s="120" customFormat="1" x14ac:dyDescent="0.15"/>
    <row r="2543" s="120" customFormat="1" x14ac:dyDescent="0.15"/>
    <row r="2544" s="120" customFormat="1" x14ac:dyDescent="0.15"/>
    <row r="2545" s="120" customFormat="1" x14ac:dyDescent="0.15"/>
    <row r="2546" s="120" customFormat="1" x14ac:dyDescent="0.15"/>
    <row r="2547" s="120" customFormat="1" x14ac:dyDescent="0.15"/>
    <row r="2548" s="120" customFormat="1" x14ac:dyDescent="0.15"/>
    <row r="2549" s="120" customFormat="1" x14ac:dyDescent="0.15"/>
    <row r="2550" s="120" customFormat="1" x14ac:dyDescent="0.15"/>
    <row r="2551" s="120" customFormat="1" x14ac:dyDescent="0.15"/>
    <row r="2552" s="120" customFormat="1" x14ac:dyDescent="0.15"/>
    <row r="2553" s="120" customFormat="1" x14ac:dyDescent="0.15"/>
    <row r="2554" s="120" customFormat="1" x14ac:dyDescent="0.15"/>
    <row r="2555" s="120" customFormat="1" x14ac:dyDescent="0.15"/>
    <row r="2556" s="120" customFormat="1" x14ac:dyDescent="0.15"/>
    <row r="2557" s="120" customFormat="1" x14ac:dyDescent="0.15"/>
    <row r="2558" s="120" customFormat="1" x14ac:dyDescent="0.15"/>
    <row r="2559" s="120" customFormat="1" x14ac:dyDescent="0.15"/>
    <row r="2560" s="120" customFormat="1" x14ac:dyDescent="0.15"/>
    <row r="2561" s="120" customFormat="1" x14ac:dyDescent="0.15"/>
    <row r="2562" s="120" customFormat="1" x14ac:dyDescent="0.15"/>
    <row r="2563" s="120" customFormat="1" x14ac:dyDescent="0.15"/>
    <row r="2564" s="120" customFormat="1" x14ac:dyDescent="0.15"/>
    <row r="2565" s="120" customFormat="1" x14ac:dyDescent="0.15"/>
    <row r="2566" s="120" customFormat="1" x14ac:dyDescent="0.15"/>
    <row r="2567" s="120" customFormat="1" x14ac:dyDescent="0.15"/>
    <row r="2568" s="120" customFormat="1" x14ac:dyDescent="0.15"/>
    <row r="2569" s="120" customFormat="1" x14ac:dyDescent="0.15"/>
    <row r="2570" s="120" customFormat="1" x14ac:dyDescent="0.15"/>
    <row r="2571" s="120" customFormat="1" x14ac:dyDescent="0.15"/>
    <row r="2572" s="120" customFormat="1" x14ac:dyDescent="0.15"/>
    <row r="2573" s="120" customFormat="1" x14ac:dyDescent="0.15"/>
    <row r="2574" s="120" customFormat="1" x14ac:dyDescent="0.15"/>
    <row r="2575" s="120" customFormat="1" x14ac:dyDescent="0.15"/>
    <row r="2576" s="120" customFormat="1" x14ac:dyDescent="0.15"/>
    <row r="2577" s="120" customFormat="1" x14ac:dyDescent="0.15"/>
    <row r="2578" s="120" customFormat="1" x14ac:dyDescent="0.15"/>
    <row r="2579" s="120" customFormat="1" x14ac:dyDescent="0.15"/>
    <row r="2580" s="120" customFormat="1" x14ac:dyDescent="0.15"/>
    <row r="2581" s="120" customFormat="1" x14ac:dyDescent="0.15"/>
    <row r="2582" s="120" customFormat="1" x14ac:dyDescent="0.15"/>
    <row r="2583" s="120" customFormat="1" x14ac:dyDescent="0.15"/>
    <row r="2584" s="120" customFormat="1" x14ac:dyDescent="0.15"/>
    <row r="2585" s="120" customFormat="1" x14ac:dyDescent="0.15"/>
    <row r="2586" s="120" customFormat="1" x14ac:dyDescent="0.15"/>
    <row r="2587" s="120" customFormat="1" x14ac:dyDescent="0.15"/>
    <row r="2588" s="120" customFormat="1" x14ac:dyDescent="0.15"/>
    <row r="2589" s="120" customFormat="1" x14ac:dyDescent="0.15"/>
    <row r="2590" s="120" customFormat="1" x14ac:dyDescent="0.15"/>
    <row r="2591" s="120" customFormat="1" x14ac:dyDescent="0.15"/>
    <row r="2592" s="120" customFormat="1" x14ac:dyDescent="0.15"/>
    <row r="2593" s="120" customFormat="1" x14ac:dyDescent="0.15"/>
    <row r="2594" s="120" customFormat="1" x14ac:dyDescent="0.15"/>
    <row r="2595" s="120" customFormat="1" x14ac:dyDescent="0.15"/>
    <row r="2596" s="120" customFormat="1" x14ac:dyDescent="0.15"/>
    <row r="2597" s="120" customFormat="1" x14ac:dyDescent="0.15"/>
    <row r="2598" s="120" customFormat="1" x14ac:dyDescent="0.15"/>
    <row r="2599" s="120" customFormat="1" x14ac:dyDescent="0.15"/>
    <row r="2600" s="120" customFormat="1" x14ac:dyDescent="0.15"/>
    <row r="2601" s="120" customFormat="1" x14ac:dyDescent="0.15"/>
    <row r="2602" s="120" customFormat="1" x14ac:dyDescent="0.15"/>
    <row r="2603" s="120" customFormat="1" x14ac:dyDescent="0.15"/>
    <row r="2604" s="120" customFormat="1" x14ac:dyDescent="0.15"/>
    <row r="2605" s="120" customFormat="1" x14ac:dyDescent="0.15"/>
    <row r="2606" s="120" customFormat="1" x14ac:dyDescent="0.15"/>
    <row r="2607" s="120" customFormat="1" x14ac:dyDescent="0.15"/>
    <row r="2608" s="120" customFormat="1" x14ac:dyDescent="0.15"/>
    <row r="2609" s="120" customFormat="1" x14ac:dyDescent="0.15"/>
    <row r="2610" s="120" customFormat="1" x14ac:dyDescent="0.15"/>
    <row r="2611" s="120" customFormat="1" x14ac:dyDescent="0.15"/>
    <row r="2612" s="120" customFormat="1" x14ac:dyDescent="0.15"/>
    <row r="2613" s="120" customFormat="1" x14ac:dyDescent="0.15"/>
    <row r="2614" s="120" customFormat="1" x14ac:dyDescent="0.15"/>
    <row r="2615" s="120" customFormat="1" x14ac:dyDescent="0.15"/>
    <row r="2616" s="120" customFormat="1" x14ac:dyDescent="0.15"/>
    <row r="2617" s="120" customFormat="1" x14ac:dyDescent="0.15"/>
    <row r="2618" s="120" customFormat="1" x14ac:dyDescent="0.15"/>
    <row r="2619" s="120" customFormat="1" x14ac:dyDescent="0.15"/>
    <row r="2620" s="120" customFormat="1" x14ac:dyDescent="0.15"/>
    <row r="2621" s="120" customFormat="1" x14ac:dyDescent="0.15"/>
    <row r="2622" s="120" customFormat="1" x14ac:dyDescent="0.15"/>
    <row r="2623" s="120" customFormat="1" x14ac:dyDescent="0.15"/>
    <row r="2624" s="120" customFormat="1" x14ac:dyDescent="0.15"/>
    <row r="2625" s="120" customFormat="1" x14ac:dyDescent="0.15"/>
    <row r="2626" s="120" customFormat="1" x14ac:dyDescent="0.15"/>
    <row r="2627" s="120" customFormat="1" x14ac:dyDescent="0.15"/>
    <row r="2628" s="120" customFormat="1" x14ac:dyDescent="0.15"/>
    <row r="2629" s="120" customFormat="1" x14ac:dyDescent="0.15"/>
    <row r="2630" s="120" customFormat="1" x14ac:dyDescent="0.15"/>
    <row r="2631" s="120" customFormat="1" x14ac:dyDescent="0.15"/>
    <row r="2632" s="120" customFormat="1" x14ac:dyDescent="0.15"/>
    <row r="2633" s="120" customFormat="1" x14ac:dyDescent="0.15"/>
    <row r="2634" s="120" customFormat="1" x14ac:dyDescent="0.15"/>
    <row r="2635" s="120" customFormat="1" x14ac:dyDescent="0.15"/>
    <row r="2636" s="120" customFormat="1" x14ac:dyDescent="0.15"/>
    <row r="2637" s="120" customFormat="1" x14ac:dyDescent="0.15"/>
    <row r="2638" s="120" customFormat="1" x14ac:dyDescent="0.15"/>
    <row r="2639" s="120" customFormat="1" x14ac:dyDescent="0.15"/>
    <row r="2640" s="120" customFormat="1" x14ac:dyDescent="0.15"/>
    <row r="2641" s="120" customFormat="1" x14ac:dyDescent="0.15"/>
    <row r="2642" s="120" customFormat="1" x14ac:dyDescent="0.15"/>
    <row r="2643" s="120" customFormat="1" x14ac:dyDescent="0.15"/>
    <row r="2644" s="120" customFormat="1" x14ac:dyDescent="0.15"/>
    <row r="2645" s="120" customFormat="1" x14ac:dyDescent="0.15"/>
    <row r="2646" s="120" customFormat="1" x14ac:dyDescent="0.15"/>
    <row r="2647" s="120" customFormat="1" x14ac:dyDescent="0.15"/>
    <row r="2648" s="120" customFormat="1" x14ac:dyDescent="0.15"/>
    <row r="2649" s="120" customFormat="1" x14ac:dyDescent="0.15"/>
    <row r="2650" s="120" customFormat="1" x14ac:dyDescent="0.15"/>
    <row r="2651" s="120" customFormat="1" x14ac:dyDescent="0.15"/>
    <row r="2652" s="120" customFormat="1" x14ac:dyDescent="0.15"/>
    <row r="2653" s="120" customFormat="1" x14ac:dyDescent="0.15"/>
    <row r="2654" s="120" customFormat="1" x14ac:dyDescent="0.15"/>
    <row r="2655" s="120" customFormat="1" x14ac:dyDescent="0.15"/>
    <row r="2656" s="120" customFormat="1" x14ac:dyDescent="0.15"/>
    <row r="2657" s="120" customFormat="1" x14ac:dyDescent="0.15"/>
    <row r="2658" s="120" customFormat="1" x14ac:dyDescent="0.15"/>
    <row r="2659" s="120" customFormat="1" x14ac:dyDescent="0.15"/>
    <row r="2660" s="120" customFormat="1" x14ac:dyDescent="0.15"/>
    <row r="2661" s="120" customFormat="1" x14ac:dyDescent="0.15"/>
    <row r="2662" s="120" customFormat="1" x14ac:dyDescent="0.15"/>
    <row r="2663" s="120" customFormat="1" x14ac:dyDescent="0.15"/>
    <row r="2664" s="120" customFormat="1" x14ac:dyDescent="0.15"/>
    <row r="2665" s="120" customFormat="1" x14ac:dyDescent="0.15"/>
    <row r="2666" s="120" customFormat="1" x14ac:dyDescent="0.15"/>
    <row r="2667" s="120" customFormat="1" x14ac:dyDescent="0.15"/>
    <row r="2668" s="120" customFormat="1" x14ac:dyDescent="0.15"/>
    <row r="2669" s="120" customFormat="1" x14ac:dyDescent="0.15"/>
    <row r="2670" s="120" customFormat="1" x14ac:dyDescent="0.15"/>
    <row r="2671" s="120" customFormat="1" x14ac:dyDescent="0.15"/>
    <row r="2672" s="120" customFormat="1" x14ac:dyDescent="0.15"/>
    <row r="2673" s="120" customFormat="1" x14ac:dyDescent="0.15"/>
    <row r="2674" s="120" customFormat="1" x14ac:dyDescent="0.15"/>
    <row r="2675" s="120" customFormat="1" x14ac:dyDescent="0.15"/>
    <row r="2676" s="120" customFormat="1" x14ac:dyDescent="0.15"/>
    <row r="2677" s="120" customFormat="1" x14ac:dyDescent="0.15"/>
    <row r="2678" s="120" customFormat="1" x14ac:dyDescent="0.15"/>
    <row r="2679" s="120" customFormat="1" x14ac:dyDescent="0.15"/>
    <row r="2680" s="120" customFormat="1" x14ac:dyDescent="0.15"/>
    <row r="2681" s="120" customFormat="1" x14ac:dyDescent="0.15"/>
    <row r="2682" s="120" customFormat="1" x14ac:dyDescent="0.15"/>
    <row r="2683" s="120" customFormat="1" x14ac:dyDescent="0.15"/>
    <row r="2684" s="120" customFormat="1" x14ac:dyDescent="0.15"/>
    <row r="2685" s="120" customFormat="1" x14ac:dyDescent="0.15"/>
    <row r="2686" s="120" customFormat="1" x14ac:dyDescent="0.15"/>
    <row r="2687" s="120" customFormat="1" x14ac:dyDescent="0.15"/>
    <row r="2688" s="120" customFormat="1" x14ac:dyDescent="0.15"/>
    <row r="2689" s="120" customFormat="1" x14ac:dyDescent="0.15"/>
    <row r="2690" s="120" customFormat="1" x14ac:dyDescent="0.15"/>
    <row r="2691" s="120" customFormat="1" x14ac:dyDescent="0.15"/>
    <row r="2692" s="120" customFormat="1" x14ac:dyDescent="0.15"/>
    <row r="2693" s="120" customFormat="1" x14ac:dyDescent="0.15"/>
    <row r="2694" s="120" customFormat="1" x14ac:dyDescent="0.15"/>
    <row r="2695" s="120" customFormat="1" x14ac:dyDescent="0.15"/>
    <row r="2696" s="120" customFormat="1" x14ac:dyDescent="0.15"/>
    <row r="2697" s="120" customFormat="1" x14ac:dyDescent="0.15"/>
    <row r="2698" s="120" customFormat="1" x14ac:dyDescent="0.15"/>
    <row r="2699" s="120" customFormat="1" x14ac:dyDescent="0.15"/>
    <row r="2700" s="120" customFormat="1" x14ac:dyDescent="0.15"/>
    <row r="2701" s="120" customFormat="1" x14ac:dyDescent="0.15"/>
    <row r="2702" s="120" customFormat="1" x14ac:dyDescent="0.15"/>
    <row r="2703" s="120" customFormat="1" x14ac:dyDescent="0.15"/>
    <row r="2704" s="120" customFormat="1" x14ac:dyDescent="0.15"/>
    <row r="2705" s="120" customFormat="1" x14ac:dyDescent="0.15"/>
  </sheetData>
  <mergeCells count="617">
    <mergeCell ref="B282:C282"/>
    <mergeCell ref="A283:J283"/>
    <mergeCell ref="A284:Q284"/>
    <mergeCell ref="B285:N285"/>
    <mergeCell ref="P285:Q285"/>
    <mergeCell ref="B281:K281"/>
    <mergeCell ref="B272:C272"/>
    <mergeCell ref="B273:C273"/>
    <mergeCell ref="B274:C274"/>
    <mergeCell ref="B275:C275"/>
    <mergeCell ref="B276:C276"/>
    <mergeCell ref="B67:K67"/>
    <mergeCell ref="B68:C68"/>
    <mergeCell ref="A69:J69"/>
    <mergeCell ref="B78:C78"/>
    <mergeCell ref="E78:F78"/>
    <mergeCell ref="A263:Q263"/>
    <mergeCell ref="A264:A265"/>
    <mergeCell ref="B264:C265"/>
    <mergeCell ref="D264:D265"/>
    <mergeCell ref="E264:G264"/>
    <mergeCell ref="H264:H265"/>
    <mergeCell ref="I264:I265"/>
    <mergeCell ref="J264:J265"/>
    <mergeCell ref="J250:J251"/>
    <mergeCell ref="B253:C253"/>
    <mergeCell ref="A260:J260"/>
    <mergeCell ref="B259:C259"/>
    <mergeCell ref="B254:C254"/>
    <mergeCell ref="B219:C219"/>
    <mergeCell ref="B220:C220"/>
    <mergeCell ref="B137:K137"/>
    <mergeCell ref="B139:K139"/>
    <mergeCell ref="B141:K141"/>
    <mergeCell ref="B149:K149"/>
    <mergeCell ref="B266:K266"/>
    <mergeCell ref="B267:C267"/>
    <mergeCell ref="B268:C268"/>
    <mergeCell ref="B269:C269"/>
    <mergeCell ref="B270:C270"/>
    <mergeCell ref="B271:C271"/>
    <mergeCell ref="B277:C277"/>
    <mergeCell ref="B278:C278"/>
    <mergeCell ref="B279:C279"/>
    <mergeCell ref="B157:K157"/>
    <mergeCell ref="B160:C160"/>
    <mergeCell ref="B159:K159"/>
    <mergeCell ref="A176:Q176"/>
    <mergeCell ref="A177:A178"/>
    <mergeCell ref="B177:C178"/>
    <mergeCell ref="D177:D178"/>
    <mergeCell ref="E177:G177"/>
    <mergeCell ref="H177:H178"/>
    <mergeCell ref="I177:I178"/>
    <mergeCell ref="B183:C183"/>
    <mergeCell ref="A187:Q187"/>
    <mergeCell ref="B188:N188"/>
    <mergeCell ref="P188:Q188"/>
    <mergeCell ref="A189:Q189"/>
    <mergeCell ref="B150:C150"/>
    <mergeCell ref="A151:J151"/>
    <mergeCell ref="A152:Q152"/>
    <mergeCell ref="B245:C245"/>
    <mergeCell ref="B244:K244"/>
    <mergeCell ref="A238:J238"/>
    <mergeCell ref="B230:C230"/>
    <mergeCell ref="B233:C233"/>
    <mergeCell ref="B231:C231"/>
    <mergeCell ref="J211:J212"/>
    <mergeCell ref="B227:C227"/>
    <mergeCell ref="B228:C228"/>
    <mergeCell ref="B229:C229"/>
    <mergeCell ref="B232:C232"/>
    <mergeCell ref="B213:K213"/>
    <mergeCell ref="B234:K234"/>
    <mergeCell ref="B236:K236"/>
    <mergeCell ref="B224:C224"/>
    <mergeCell ref="B223:C223"/>
    <mergeCell ref="A246:J246"/>
    <mergeCell ref="A247:Q247"/>
    <mergeCell ref="B248:N248"/>
    <mergeCell ref="P248:Q248"/>
    <mergeCell ref="A249:Q249"/>
    <mergeCell ref="B255:C255"/>
    <mergeCell ref="A261:Q261"/>
    <mergeCell ref="B262:N262"/>
    <mergeCell ref="P262:Q262"/>
    <mergeCell ref="B252:K252"/>
    <mergeCell ref="B258:K258"/>
    <mergeCell ref="B257:C257"/>
    <mergeCell ref="A250:A251"/>
    <mergeCell ref="B250:C251"/>
    <mergeCell ref="D250:D251"/>
    <mergeCell ref="E250:G250"/>
    <mergeCell ref="H250:H251"/>
    <mergeCell ref="I250:I251"/>
    <mergeCell ref="B256:C256"/>
    <mergeCell ref="P55:Q55"/>
    <mergeCell ref="A56:Q56"/>
    <mergeCell ref="A57:A58"/>
    <mergeCell ref="B57:C58"/>
    <mergeCell ref="D57:D58"/>
    <mergeCell ref="E57:G57"/>
    <mergeCell ref="H57:H58"/>
    <mergeCell ref="I57:I58"/>
    <mergeCell ref="J57:J58"/>
    <mergeCell ref="B60:C60"/>
    <mergeCell ref="A61:J61"/>
    <mergeCell ref="B44:K44"/>
    <mergeCell ref="B50:C50"/>
    <mergeCell ref="B47:C47"/>
    <mergeCell ref="B48:C48"/>
    <mergeCell ref="B51:K51"/>
    <mergeCell ref="B52:C52"/>
    <mergeCell ref="B59:K59"/>
    <mergeCell ref="B55:N55"/>
    <mergeCell ref="A62:Q62"/>
    <mergeCell ref="B63:N63"/>
    <mergeCell ref="P63:Q63"/>
    <mergeCell ref="A64:Q64"/>
    <mergeCell ref="A65:A66"/>
    <mergeCell ref="B65:C66"/>
    <mergeCell ref="D65:D66"/>
    <mergeCell ref="E65:G65"/>
    <mergeCell ref="H65:H66"/>
    <mergeCell ref="I65:I66"/>
    <mergeCell ref="J65:J66"/>
    <mergeCell ref="B24:K24"/>
    <mergeCell ref="B25:C25"/>
    <mergeCell ref="J42:J43"/>
    <mergeCell ref="B45:C45"/>
    <mergeCell ref="B46:C46"/>
    <mergeCell ref="B49:C49"/>
    <mergeCell ref="A53:J53"/>
    <mergeCell ref="A54:Q54"/>
    <mergeCell ref="A39:Q39"/>
    <mergeCell ref="B40:N40"/>
    <mergeCell ref="P40:Q40"/>
    <mergeCell ref="A41:Q41"/>
    <mergeCell ref="A42:A43"/>
    <mergeCell ref="B42:C43"/>
    <mergeCell ref="D42:D43"/>
    <mergeCell ref="E42:G42"/>
    <mergeCell ref="H42:H43"/>
    <mergeCell ref="I42:I43"/>
    <mergeCell ref="J34:J35"/>
    <mergeCell ref="L34:Q38"/>
    <mergeCell ref="B37:C37"/>
    <mergeCell ref="A38:J38"/>
    <mergeCell ref="B36:K36"/>
    <mergeCell ref="A31:Q31"/>
    <mergeCell ref="B32:N32"/>
    <mergeCell ref="P32:Q32"/>
    <mergeCell ref="A33:Q33"/>
    <mergeCell ref="A34:A35"/>
    <mergeCell ref="B34:C35"/>
    <mergeCell ref="D34:D35"/>
    <mergeCell ref="E34:G34"/>
    <mergeCell ref="H34:H35"/>
    <mergeCell ref="I34:I35"/>
    <mergeCell ref="A21:Q21"/>
    <mergeCell ref="A22:A23"/>
    <mergeCell ref="B22:C23"/>
    <mergeCell ref="D22:D23"/>
    <mergeCell ref="E22:G22"/>
    <mergeCell ref="H22:H23"/>
    <mergeCell ref="I22:I23"/>
    <mergeCell ref="E12:G12"/>
    <mergeCell ref="H12:H13"/>
    <mergeCell ref="I12:I13"/>
    <mergeCell ref="J12:J13"/>
    <mergeCell ref="L12:Q18"/>
    <mergeCell ref="B15:C15"/>
    <mergeCell ref="A18:J18"/>
    <mergeCell ref="B14:K14"/>
    <mergeCell ref="B16:K16"/>
    <mergeCell ref="B17:C17"/>
    <mergeCell ref="J22:J23"/>
    <mergeCell ref="L22:Q30"/>
    <mergeCell ref="B27:C27"/>
    <mergeCell ref="A30:J30"/>
    <mergeCell ref="B26:K26"/>
    <mergeCell ref="B28:K28"/>
    <mergeCell ref="B29:C29"/>
    <mergeCell ref="B393:C393"/>
    <mergeCell ref="A394:J394"/>
    <mergeCell ref="A395:Q395"/>
    <mergeCell ref="A9:Q9"/>
    <mergeCell ref="B10:N10"/>
    <mergeCell ref="P10:Q10"/>
    <mergeCell ref="A11:Q11"/>
    <mergeCell ref="A12:A13"/>
    <mergeCell ref="B12:C13"/>
    <mergeCell ref="D12:D13"/>
    <mergeCell ref="A390:Q390"/>
    <mergeCell ref="A391:A392"/>
    <mergeCell ref="B391:C392"/>
    <mergeCell ref="D391:D392"/>
    <mergeCell ref="E391:G391"/>
    <mergeCell ref="H391:H392"/>
    <mergeCell ref="I391:I392"/>
    <mergeCell ref="J391:J392"/>
    <mergeCell ref="A388:Q388"/>
    <mergeCell ref="B389:N389"/>
    <mergeCell ref="P389:Q389"/>
    <mergeCell ref="A19:Q19"/>
    <mergeCell ref="B20:N20"/>
    <mergeCell ref="P20:Q20"/>
    <mergeCell ref="B385:C385"/>
    <mergeCell ref="B386:C386"/>
    <mergeCell ref="A387:J387"/>
    <mergeCell ref="A375:A376"/>
    <mergeCell ref="B375:C376"/>
    <mergeCell ref="D375:D376"/>
    <mergeCell ref="E375:G375"/>
    <mergeCell ref="H375:H376"/>
    <mergeCell ref="I375:I376"/>
    <mergeCell ref="B377:K377"/>
    <mergeCell ref="B382:C382"/>
    <mergeCell ref="B383:C383"/>
    <mergeCell ref="B380:C380"/>
    <mergeCell ref="B381:C381"/>
    <mergeCell ref="B378:C378"/>
    <mergeCell ref="B379:C379"/>
    <mergeCell ref="B364:K364"/>
    <mergeCell ref="B367:C367"/>
    <mergeCell ref="B368:C368"/>
    <mergeCell ref="B357:C357"/>
    <mergeCell ref="A358:J358"/>
    <mergeCell ref="B356:K356"/>
    <mergeCell ref="B360:N360"/>
    <mergeCell ref="P360:Q360"/>
    <mergeCell ref="A361:P361"/>
    <mergeCell ref="A362:A363"/>
    <mergeCell ref="B362:C363"/>
    <mergeCell ref="D362:D363"/>
    <mergeCell ref="E362:G362"/>
    <mergeCell ref="H362:H363"/>
    <mergeCell ref="I362:I363"/>
    <mergeCell ref="J362:J363"/>
    <mergeCell ref="A371:J371"/>
    <mergeCell ref="B370:C370"/>
    <mergeCell ref="B384:K384"/>
    <mergeCell ref="A372:Q372"/>
    <mergeCell ref="B373:N373"/>
    <mergeCell ref="P373:Q373"/>
    <mergeCell ref="A374:Q374"/>
    <mergeCell ref="J375:J376"/>
    <mergeCell ref="B365:C365"/>
    <mergeCell ref="B366:C366"/>
    <mergeCell ref="B369:C369"/>
    <mergeCell ref="J346:J347"/>
    <mergeCell ref="B349:C349"/>
    <mergeCell ref="A350:J350"/>
    <mergeCell ref="A346:A347"/>
    <mergeCell ref="B346:C347"/>
    <mergeCell ref="D346:D347"/>
    <mergeCell ref="E346:G346"/>
    <mergeCell ref="H346:H347"/>
    <mergeCell ref="I346:I347"/>
    <mergeCell ref="B348:K348"/>
    <mergeCell ref="B330:C331"/>
    <mergeCell ref="D330:D331"/>
    <mergeCell ref="E330:G330"/>
    <mergeCell ref="H330:H331"/>
    <mergeCell ref="I330:I331"/>
    <mergeCell ref="A343:Q343"/>
    <mergeCell ref="B344:N344"/>
    <mergeCell ref="P344:Q344"/>
    <mergeCell ref="A345:Q345"/>
    <mergeCell ref="A327:Q327"/>
    <mergeCell ref="B328:N328"/>
    <mergeCell ref="P328:Q328"/>
    <mergeCell ref="A329:Q329"/>
    <mergeCell ref="B325:C325"/>
    <mergeCell ref="B323:C323"/>
    <mergeCell ref="A326:J326"/>
    <mergeCell ref="B341:C341"/>
    <mergeCell ref="A342:J342"/>
    <mergeCell ref="A337:Q337"/>
    <mergeCell ref="A338:A339"/>
    <mergeCell ref="B338:C339"/>
    <mergeCell ref="D338:D339"/>
    <mergeCell ref="E338:G338"/>
    <mergeCell ref="H338:H339"/>
    <mergeCell ref="I338:I339"/>
    <mergeCell ref="J338:J339"/>
    <mergeCell ref="J330:J331"/>
    <mergeCell ref="B333:C333"/>
    <mergeCell ref="A334:J334"/>
    <mergeCell ref="A335:Q335"/>
    <mergeCell ref="B336:N336"/>
    <mergeCell ref="P336:Q336"/>
    <mergeCell ref="A330:A331"/>
    <mergeCell ref="B311:C311"/>
    <mergeCell ref="A312:J312"/>
    <mergeCell ref="A313:Q313"/>
    <mergeCell ref="A307:Q307"/>
    <mergeCell ref="A308:A309"/>
    <mergeCell ref="B308:C309"/>
    <mergeCell ref="D308:D309"/>
    <mergeCell ref="E308:G308"/>
    <mergeCell ref="H308:H309"/>
    <mergeCell ref="I308:I309"/>
    <mergeCell ref="J308:J309"/>
    <mergeCell ref="B314:N314"/>
    <mergeCell ref="P314:Q314"/>
    <mergeCell ref="A315:Q315"/>
    <mergeCell ref="A316:A317"/>
    <mergeCell ref="B316:C317"/>
    <mergeCell ref="D316:D317"/>
    <mergeCell ref="E316:G316"/>
    <mergeCell ref="H316:H317"/>
    <mergeCell ref="I316:I317"/>
    <mergeCell ref="J316:J317"/>
    <mergeCell ref="A291:J291"/>
    <mergeCell ref="A305:Q305"/>
    <mergeCell ref="B306:N306"/>
    <mergeCell ref="P306:Q306"/>
    <mergeCell ref="A286:Q286"/>
    <mergeCell ref="A287:A288"/>
    <mergeCell ref="B287:C288"/>
    <mergeCell ref="D287:D288"/>
    <mergeCell ref="E287:G287"/>
    <mergeCell ref="H287:H288"/>
    <mergeCell ref="I287:I288"/>
    <mergeCell ref="J287:J288"/>
    <mergeCell ref="B289:K289"/>
    <mergeCell ref="B290:C290"/>
    <mergeCell ref="A292:Q292"/>
    <mergeCell ref="B293:N293"/>
    <mergeCell ref="P293:Q293"/>
    <mergeCell ref="A294:Q294"/>
    <mergeCell ref="A295:A296"/>
    <mergeCell ref="B295:C296"/>
    <mergeCell ref="D295:D296"/>
    <mergeCell ref="E295:G295"/>
    <mergeCell ref="H295:H296"/>
    <mergeCell ref="I295:I296"/>
    <mergeCell ref="B222:C222"/>
    <mergeCell ref="A241:Q241"/>
    <mergeCell ref="A242:A243"/>
    <mergeCell ref="B242:C243"/>
    <mergeCell ref="D242:D243"/>
    <mergeCell ref="E242:G242"/>
    <mergeCell ref="H242:H243"/>
    <mergeCell ref="I242:I243"/>
    <mergeCell ref="J242:J243"/>
    <mergeCell ref="A207:J207"/>
    <mergeCell ref="B215:C215"/>
    <mergeCell ref="B216:C216"/>
    <mergeCell ref="B217:C217"/>
    <mergeCell ref="B218:C218"/>
    <mergeCell ref="B214:C214"/>
    <mergeCell ref="B240:N240"/>
    <mergeCell ref="A239:Q239"/>
    <mergeCell ref="A208:Q208"/>
    <mergeCell ref="B209:N209"/>
    <mergeCell ref="P209:Q209"/>
    <mergeCell ref="A210:Q210"/>
    <mergeCell ref="A211:A212"/>
    <mergeCell ref="B211:C212"/>
    <mergeCell ref="D211:D212"/>
    <mergeCell ref="E211:G211"/>
    <mergeCell ref="H211:H212"/>
    <mergeCell ref="I211:I212"/>
    <mergeCell ref="P240:Q240"/>
    <mergeCell ref="B235:C235"/>
    <mergeCell ref="B225:C225"/>
    <mergeCell ref="B237:C237"/>
    <mergeCell ref="B226:C226"/>
    <mergeCell ref="B221:C221"/>
    <mergeCell ref="A201:A202"/>
    <mergeCell ref="B201:C202"/>
    <mergeCell ref="D201:D202"/>
    <mergeCell ref="E201:G201"/>
    <mergeCell ref="H201:H202"/>
    <mergeCell ref="I201:I202"/>
    <mergeCell ref="J201:J202"/>
    <mergeCell ref="J190:J191"/>
    <mergeCell ref="B196:C196"/>
    <mergeCell ref="A197:J197"/>
    <mergeCell ref="A198:Q198"/>
    <mergeCell ref="B199:N199"/>
    <mergeCell ref="P199:Q199"/>
    <mergeCell ref="B195:K195"/>
    <mergeCell ref="A190:A191"/>
    <mergeCell ref="B190:C191"/>
    <mergeCell ref="D190:D191"/>
    <mergeCell ref="E190:G190"/>
    <mergeCell ref="H190:H191"/>
    <mergeCell ref="I190:I191"/>
    <mergeCell ref="A200:Q200"/>
    <mergeCell ref="B204:C204"/>
    <mergeCell ref="B205:K205"/>
    <mergeCell ref="B153:N153"/>
    <mergeCell ref="P153:Q153"/>
    <mergeCell ref="B170:C170"/>
    <mergeCell ref="A173:J173"/>
    <mergeCell ref="B171:K171"/>
    <mergeCell ref="B172:C172"/>
    <mergeCell ref="A164:Q164"/>
    <mergeCell ref="A165:A166"/>
    <mergeCell ref="B165:C166"/>
    <mergeCell ref="D165:D166"/>
    <mergeCell ref="E165:G165"/>
    <mergeCell ref="H165:H166"/>
    <mergeCell ref="I165:I166"/>
    <mergeCell ref="J165:J166"/>
    <mergeCell ref="A162:Q162"/>
    <mergeCell ref="B163:N163"/>
    <mergeCell ref="P163:Q163"/>
    <mergeCell ref="B169:K169"/>
    <mergeCell ref="B180:C180"/>
    <mergeCell ref="B192:K192"/>
    <mergeCell ref="B193:C193"/>
    <mergeCell ref="B194:C194"/>
    <mergeCell ref="B206:C206"/>
    <mergeCell ref="B158:C158"/>
    <mergeCell ref="A161:J161"/>
    <mergeCell ref="A154:Q154"/>
    <mergeCell ref="A155:A156"/>
    <mergeCell ref="B155:C156"/>
    <mergeCell ref="D155:D156"/>
    <mergeCell ref="E155:G155"/>
    <mergeCell ref="H155:H156"/>
    <mergeCell ref="I155:I156"/>
    <mergeCell ref="J155:J156"/>
    <mergeCell ref="B182:K182"/>
    <mergeCell ref="A186:J186"/>
    <mergeCell ref="B203:K203"/>
    <mergeCell ref="J177:J178"/>
    <mergeCell ref="B179:K179"/>
    <mergeCell ref="B181:C181"/>
    <mergeCell ref="B184:K184"/>
    <mergeCell ref="B185:C185"/>
    <mergeCell ref="A174:Q174"/>
    <mergeCell ref="B175:N175"/>
    <mergeCell ref="P175:Q175"/>
    <mergeCell ref="B167:K167"/>
    <mergeCell ref="B168:C168"/>
    <mergeCell ref="A143:J143"/>
    <mergeCell ref="B133:N133"/>
    <mergeCell ref="P133:Q133"/>
    <mergeCell ref="A134:Q134"/>
    <mergeCell ref="A135:A136"/>
    <mergeCell ref="B135:C136"/>
    <mergeCell ref="D135:D136"/>
    <mergeCell ref="E135:G135"/>
    <mergeCell ref="H135:H136"/>
    <mergeCell ref="I135:I136"/>
    <mergeCell ref="J135:J136"/>
    <mergeCell ref="B140:C140"/>
    <mergeCell ref="B142:C142"/>
    <mergeCell ref="B138:C138"/>
    <mergeCell ref="A146:Q146"/>
    <mergeCell ref="A147:A148"/>
    <mergeCell ref="B147:C148"/>
    <mergeCell ref="D147:D148"/>
    <mergeCell ref="E147:G147"/>
    <mergeCell ref="H147:H148"/>
    <mergeCell ref="I147:I148"/>
    <mergeCell ref="J147:J148"/>
    <mergeCell ref="A144:Q144"/>
    <mergeCell ref="B145:N145"/>
    <mergeCell ref="P145:Q145"/>
    <mergeCell ref="A132:Q132"/>
    <mergeCell ref="J127:J128"/>
    <mergeCell ref="B130:C130"/>
    <mergeCell ref="A131:J131"/>
    <mergeCell ref="B129:K129"/>
    <mergeCell ref="A127:A128"/>
    <mergeCell ref="B127:C128"/>
    <mergeCell ref="D127:D128"/>
    <mergeCell ref="E127:G127"/>
    <mergeCell ref="H127:H128"/>
    <mergeCell ref="I127:I128"/>
    <mergeCell ref="J112:J113"/>
    <mergeCell ref="L112:Q115"/>
    <mergeCell ref="B114:C114"/>
    <mergeCell ref="A115:J115"/>
    <mergeCell ref="A116:Q116"/>
    <mergeCell ref="B117:N117"/>
    <mergeCell ref="P117:Q117"/>
    <mergeCell ref="A112:A113"/>
    <mergeCell ref="B112:C113"/>
    <mergeCell ref="D112:D113"/>
    <mergeCell ref="E112:G112"/>
    <mergeCell ref="H112:H113"/>
    <mergeCell ref="I112:I113"/>
    <mergeCell ref="A124:Q124"/>
    <mergeCell ref="B125:N125"/>
    <mergeCell ref="P125:Q125"/>
    <mergeCell ref="A126:Q126"/>
    <mergeCell ref="B122:C122"/>
    <mergeCell ref="A123:J123"/>
    <mergeCell ref="B121:K121"/>
    <mergeCell ref="A118:Q118"/>
    <mergeCell ref="A119:A120"/>
    <mergeCell ref="B119:C120"/>
    <mergeCell ref="D119:D120"/>
    <mergeCell ref="E119:G119"/>
    <mergeCell ref="H119:H120"/>
    <mergeCell ref="I119:I120"/>
    <mergeCell ref="J119:J120"/>
    <mergeCell ref="A109:Q109"/>
    <mergeCell ref="B110:N110"/>
    <mergeCell ref="P110:Q110"/>
    <mergeCell ref="A111:Q111"/>
    <mergeCell ref="M104:Q108"/>
    <mergeCell ref="B107:C107"/>
    <mergeCell ref="A108:K108"/>
    <mergeCell ref="B106:K106"/>
    <mergeCell ref="B102:N102"/>
    <mergeCell ref="P102:Q102"/>
    <mergeCell ref="A103:Q103"/>
    <mergeCell ref="A104:A105"/>
    <mergeCell ref="B104:C105"/>
    <mergeCell ref="D104:G104"/>
    <mergeCell ref="H104:H105"/>
    <mergeCell ref="I104:I105"/>
    <mergeCell ref="J104:J105"/>
    <mergeCell ref="K104:K105"/>
    <mergeCell ref="I83:I84"/>
    <mergeCell ref="J83:J84"/>
    <mergeCell ref="B86:C86"/>
    <mergeCell ref="B89:C89"/>
    <mergeCell ref="B91:C91"/>
    <mergeCell ref="B85:K85"/>
    <mergeCell ref="B87:C87"/>
    <mergeCell ref="B88:K88"/>
    <mergeCell ref="B90:K90"/>
    <mergeCell ref="I96:I97"/>
    <mergeCell ref="J96:J97"/>
    <mergeCell ref="B99:C99"/>
    <mergeCell ref="A100:J100"/>
    <mergeCell ref="A101:Q101"/>
    <mergeCell ref="B98:K98"/>
    <mergeCell ref="A92:J92"/>
    <mergeCell ref="A93:Q93"/>
    <mergeCell ref="B94:N94"/>
    <mergeCell ref="P94:Q94"/>
    <mergeCell ref="A95:Q95"/>
    <mergeCell ref="A96:A97"/>
    <mergeCell ref="B96:C97"/>
    <mergeCell ref="D96:D97"/>
    <mergeCell ref="E96:G96"/>
    <mergeCell ref="H96:H97"/>
    <mergeCell ref="E75:F75"/>
    <mergeCell ref="B76:C76"/>
    <mergeCell ref="E76:F76"/>
    <mergeCell ref="B77:C77"/>
    <mergeCell ref="E77:F77"/>
    <mergeCell ref="A72:Q72"/>
    <mergeCell ref="A73:A74"/>
    <mergeCell ref="B73:C74"/>
    <mergeCell ref="D73:D74"/>
    <mergeCell ref="E73:G73"/>
    <mergeCell ref="H73:H74"/>
    <mergeCell ref="I73:I74"/>
    <mergeCell ref="J73:J74"/>
    <mergeCell ref="L73:Q79"/>
    <mergeCell ref="E74:F74"/>
    <mergeCell ref="A6:Q6"/>
    <mergeCell ref="B7:Q7"/>
    <mergeCell ref="B8:Q8"/>
    <mergeCell ref="A1:N1"/>
    <mergeCell ref="O1:Q4"/>
    <mergeCell ref="A2:N2"/>
    <mergeCell ref="A3:N3"/>
    <mergeCell ref="A4:N4"/>
    <mergeCell ref="A5:Q5"/>
    <mergeCell ref="A70:Q70"/>
    <mergeCell ref="B71:N71"/>
    <mergeCell ref="P71:Q71"/>
    <mergeCell ref="B280:C280"/>
    <mergeCell ref="B310:K310"/>
    <mergeCell ref="B324:K324"/>
    <mergeCell ref="B332:K332"/>
    <mergeCell ref="B340:K340"/>
    <mergeCell ref="B318:K318"/>
    <mergeCell ref="B319:C319"/>
    <mergeCell ref="B320:C320"/>
    <mergeCell ref="B321:C321"/>
    <mergeCell ref="B322:C322"/>
    <mergeCell ref="A79:J79"/>
    <mergeCell ref="A80:Q80"/>
    <mergeCell ref="B81:N81"/>
    <mergeCell ref="P81:Q81"/>
    <mergeCell ref="A82:Q82"/>
    <mergeCell ref="A83:A84"/>
    <mergeCell ref="B83:C84"/>
    <mergeCell ref="D83:D84"/>
    <mergeCell ref="E83:G83"/>
    <mergeCell ref="H83:H84"/>
    <mergeCell ref="B75:C75"/>
    <mergeCell ref="A351:Q351"/>
    <mergeCell ref="B352:N352"/>
    <mergeCell ref="P352:Q352"/>
    <mergeCell ref="A353:Q353"/>
    <mergeCell ref="A354:A355"/>
    <mergeCell ref="A359:Q359"/>
    <mergeCell ref="B354:C355"/>
    <mergeCell ref="D354:D355"/>
    <mergeCell ref="E354:G354"/>
    <mergeCell ref="H354:H355"/>
    <mergeCell ref="I354:I355"/>
    <mergeCell ref="J354:J355"/>
    <mergeCell ref="J295:J296"/>
    <mergeCell ref="B298:C298"/>
    <mergeCell ref="B299:C299"/>
    <mergeCell ref="B300:C300"/>
    <mergeCell ref="B301:C301"/>
    <mergeCell ref="B302:C302"/>
    <mergeCell ref="B303:C303"/>
    <mergeCell ref="A304:J304"/>
    <mergeCell ref="B297:K297"/>
  </mergeCells>
  <pageMargins left="0.39370078740157483" right="0.27559055118110237" top="0.6692913385826772" bottom="0.55118110236220474" header="0.31496062992125984" footer="0.31496062992125984"/>
  <pageSetup scale="70" orientation="landscape" r:id="rId1"/>
  <ignoredErrors>
    <ignoredError sqref="I75:K77" evalError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2">
    <tabColor theme="4" tint="0.39997558519241921"/>
  </sheetPr>
  <dimension ref="A1:S2806"/>
  <sheetViews>
    <sheetView topLeftCell="A130" zoomScaleNormal="100" zoomScaleSheetLayoutView="100" workbookViewId="0">
      <selection activeCell="D152" sqref="D152"/>
    </sheetView>
  </sheetViews>
  <sheetFormatPr baseColWidth="10" defaultColWidth="15.83203125" defaultRowHeight="13" x14ac:dyDescent="0.15"/>
  <cols>
    <col min="1" max="1" width="6.83203125" style="120" customWidth="1"/>
    <col min="2" max="3" width="12.1640625" style="120" customWidth="1"/>
    <col min="4" max="6" width="10.6640625" style="120" customWidth="1"/>
    <col min="7" max="7" width="9.33203125" style="120" customWidth="1"/>
    <col min="8" max="8" width="10.6640625" style="120" customWidth="1"/>
    <col min="9" max="10" width="10.6640625" style="145" customWidth="1"/>
    <col min="11" max="11" width="12.5" style="120" customWidth="1"/>
    <col min="12" max="12" width="13.33203125" style="120" customWidth="1"/>
    <col min="13" max="17" width="10.6640625" style="120" customWidth="1"/>
    <col min="18" max="19" width="10.83203125" style="120" customWidth="1"/>
    <col min="20" max="20" width="22.5" style="120" customWidth="1"/>
    <col min="21" max="256" width="10.83203125" style="120" customWidth="1"/>
    <col min="257" max="16384" width="15.83203125" style="120"/>
  </cols>
  <sheetData>
    <row r="1" spans="1:17" customFormat="1" ht="41.25" customHeight="1" x14ac:dyDescent="0.15">
      <c r="A1" s="765" t="s">
        <v>874</v>
      </c>
      <c r="B1" s="765"/>
      <c r="C1" s="765"/>
      <c r="D1" s="765"/>
      <c r="E1" s="765"/>
      <c r="F1" s="765"/>
      <c r="G1" s="765"/>
      <c r="H1" s="765"/>
      <c r="I1" s="765"/>
      <c r="J1" s="765"/>
      <c r="K1" s="765"/>
      <c r="L1" s="765"/>
      <c r="M1" s="765"/>
      <c r="N1" s="765"/>
      <c r="O1" s="797"/>
      <c r="P1" s="797"/>
      <c r="Q1" s="797"/>
    </row>
    <row r="2" spans="1:17" customFormat="1" ht="14.25" customHeight="1" x14ac:dyDescent="0.15">
      <c r="A2" s="798" t="s">
        <v>875</v>
      </c>
      <c r="B2" s="798"/>
      <c r="C2" s="798"/>
      <c r="D2" s="798"/>
      <c r="E2" s="798"/>
      <c r="F2" s="798"/>
      <c r="G2" s="798"/>
      <c r="H2" s="798"/>
      <c r="I2" s="798"/>
      <c r="J2" s="798"/>
      <c r="K2" s="798"/>
      <c r="L2" s="798"/>
      <c r="M2" s="798"/>
      <c r="N2" s="798"/>
      <c r="O2" s="797"/>
      <c r="P2" s="797"/>
      <c r="Q2" s="797"/>
    </row>
    <row r="3" spans="1:17" customFormat="1" ht="14.25" customHeight="1" x14ac:dyDescent="0.15">
      <c r="A3" s="798" t="s">
        <v>876</v>
      </c>
      <c r="B3" s="798"/>
      <c r="C3" s="798"/>
      <c r="D3" s="798"/>
      <c r="E3" s="798"/>
      <c r="F3" s="798"/>
      <c r="G3" s="798"/>
      <c r="H3" s="798"/>
      <c r="I3" s="798"/>
      <c r="J3" s="798"/>
      <c r="K3" s="798"/>
      <c r="L3" s="798"/>
      <c r="M3" s="798"/>
      <c r="N3" s="798"/>
      <c r="O3" s="797"/>
      <c r="P3" s="797"/>
      <c r="Q3" s="797"/>
    </row>
    <row r="4" spans="1:17" customFormat="1" ht="30.75" customHeight="1" x14ac:dyDescent="0.15">
      <c r="A4" s="768" t="s">
        <v>836</v>
      </c>
      <c r="B4" s="768"/>
      <c r="C4" s="768"/>
      <c r="D4" s="768"/>
      <c r="E4" s="768"/>
      <c r="F4" s="768"/>
      <c r="G4" s="768"/>
      <c r="H4" s="768"/>
      <c r="I4" s="768"/>
      <c r="J4" s="768"/>
      <c r="K4" s="768"/>
      <c r="L4" s="768"/>
      <c r="M4" s="768"/>
      <c r="N4" s="768"/>
      <c r="O4" s="797"/>
      <c r="P4" s="797"/>
      <c r="Q4" s="797"/>
    </row>
    <row r="5" spans="1:17" customFormat="1" ht="19.5" customHeight="1" x14ac:dyDescent="0.15">
      <c r="A5" s="799" t="s">
        <v>966</v>
      </c>
      <c r="B5" s="800"/>
      <c r="C5" s="800"/>
      <c r="D5" s="800"/>
      <c r="E5" s="800"/>
      <c r="F5" s="800"/>
      <c r="G5" s="800"/>
      <c r="H5" s="800"/>
      <c r="I5" s="800"/>
      <c r="J5" s="800"/>
      <c r="K5" s="800"/>
      <c r="L5" s="800"/>
      <c r="M5" s="800"/>
      <c r="N5" s="800"/>
      <c r="O5" s="800"/>
      <c r="P5" s="800"/>
      <c r="Q5" s="801"/>
    </row>
    <row r="6" spans="1:17" x14ac:dyDescent="0.15">
      <c r="A6" s="790"/>
      <c r="B6" s="791"/>
      <c r="C6" s="791"/>
      <c r="D6" s="791"/>
      <c r="E6" s="791"/>
      <c r="F6" s="791"/>
      <c r="G6" s="791"/>
      <c r="H6" s="791"/>
      <c r="I6" s="791"/>
      <c r="J6" s="791"/>
      <c r="K6" s="791"/>
      <c r="L6" s="791"/>
      <c r="M6" s="791"/>
      <c r="N6" s="791"/>
      <c r="O6" s="791"/>
      <c r="P6" s="791"/>
      <c r="Q6" s="792"/>
    </row>
    <row r="7" spans="1:17" customFormat="1" ht="19.5" customHeight="1" x14ac:dyDescent="0.15">
      <c r="A7" s="132" t="s">
        <v>247</v>
      </c>
      <c r="B7" s="818" t="s">
        <v>837</v>
      </c>
      <c r="C7" s="819"/>
      <c r="D7" s="819"/>
      <c r="E7" s="819"/>
      <c r="F7" s="819"/>
      <c r="G7" s="819"/>
      <c r="H7" s="819"/>
      <c r="I7" s="819"/>
      <c r="J7" s="819"/>
      <c r="K7" s="819"/>
      <c r="L7" s="819"/>
      <c r="M7" s="819"/>
      <c r="N7" s="819"/>
      <c r="O7" s="819"/>
      <c r="P7" s="819"/>
      <c r="Q7" s="820"/>
    </row>
    <row r="8" spans="1:17" s="121" customFormat="1" ht="18" customHeight="1" x14ac:dyDescent="0.15">
      <c r="A8" s="218" t="s">
        <v>0</v>
      </c>
      <c r="B8" s="793" t="s">
        <v>166</v>
      </c>
      <c r="C8" s="794"/>
      <c r="D8" s="794"/>
      <c r="E8" s="794"/>
      <c r="F8" s="794"/>
      <c r="G8" s="794"/>
      <c r="H8" s="794"/>
      <c r="I8" s="794"/>
      <c r="J8" s="794"/>
      <c r="K8" s="794"/>
      <c r="L8" s="794"/>
      <c r="M8" s="794"/>
      <c r="N8" s="821"/>
      <c r="O8" s="216" t="s">
        <v>73</v>
      </c>
      <c r="P8" s="795" t="s">
        <v>5</v>
      </c>
      <c r="Q8" s="796"/>
    </row>
    <row r="9" spans="1:17" x14ac:dyDescent="0.15">
      <c r="A9" s="790"/>
      <c r="B9" s="791"/>
      <c r="C9" s="791"/>
      <c r="D9" s="791"/>
      <c r="E9" s="791"/>
      <c r="F9" s="791"/>
      <c r="G9" s="791"/>
      <c r="H9" s="791"/>
      <c r="I9" s="791"/>
      <c r="J9" s="791"/>
      <c r="K9" s="791"/>
      <c r="L9" s="791"/>
      <c r="M9" s="791"/>
      <c r="N9" s="791"/>
      <c r="O9" s="791"/>
      <c r="P9" s="791"/>
      <c r="Q9" s="792"/>
    </row>
    <row r="10" spans="1:17" s="126" customFormat="1" x14ac:dyDescent="0.15">
      <c r="A10" s="822" t="s">
        <v>150</v>
      </c>
      <c r="B10" s="823" t="s">
        <v>151</v>
      </c>
      <c r="C10" s="823"/>
      <c r="D10" s="802" t="s">
        <v>658</v>
      </c>
      <c r="E10" s="823" t="s">
        <v>152</v>
      </c>
      <c r="F10" s="823"/>
      <c r="G10" s="823"/>
      <c r="H10" s="804" t="s">
        <v>153</v>
      </c>
      <c r="I10" s="802" t="s">
        <v>159</v>
      </c>
      <c r="J10" s="804" t="s">
        <v>73</v>
      </c>
      <c r="K10" s="216" t="s">
        <v>154</v>
      </c>
      <c r="L10" s="806"/>
      <c r="M10" s="807"/>
      <c r="N10" s="807"/>
      <c r="O10" s="807"/>
      <c r="P10" s="807"/>
      <c r="Q10" s="808"/>
    </row>
    <row r="11" spans="1:17" s="130" customFormat="1" x14ac:dyDescent="0.15">
      <c r="A11" s="822"/>
      <c r="B11" s="823"/>
      <c r="C11" s="823"/>
      <c r="D11" s="803"/>
      <c r="E11" s="217" t="s">
        <v>155</v>
      </c>
      <c r="F11" s="217" t="s">
        <v>156</v>
      </c>
      <c r="G11" s="217" t="s">
        <v>157</v>
      </c>
      <c r="H11" s="805"/>
      <c r="I11" s="803"/>
      <c r="J11" s="805"/>
      <c r="K11" s="216" t="s">
        <v>158</v>
      </c>
      <c r="L11" s="809"/>
      <c r="M11" s="810"/>
      <c r="N11" s="810"/>
      <c r="O11" s="810"/>
      <c r="P11" s="810"/>
      <c r="Q11" s="811"/>
    </row>
    <row r="12" spans="1:17" ht="27.75" customHeight="1" x14ac:dyDescent="0.15">
      <c r="A12" s="131"/>
      <c r="B12" s="815" t="s">
        <v>967</v>
      </c>
      <c r="C12" s="816"/>
      <c r="D12" s="219">
        <v>0</v>
      </c>
      <c r="E12" s="132">
        <v>11.87</v>
      </c>
      <c r="F12" s="144">
        <v>2.98</v>
      </c>
      <c r="G12" s="144">
        <v>0</v>
      </c>
      <c r="H12" s="132">
        <v>1</v>
      </c>
      <c r="I12" s="132">
        <f>E12*F12</f>
        <v>35.372599999999998</v>
      </c>
      <c r="J12" s="144" t="s">
        <v>5</v>
      </c>
      <c r="K12" s="219">
        <f>I12*H12</f>
        <v>35.372599999999998</v>
      </c>
      <c r="L12" s="809"/>
      <c r="M12" s="810"/>
      <c r="N12" s="810"/>
      <c r="O12" s="810"/>
      <c r="P12" s="810"/>
      <c r="Q12" s="811"/>
    </row>
    <row r="13" spans="1:17" ht="26.25" customHeight="1" x14ac:dyDescent="0.15">
      <c r="A13" s="131"/>
      <c r="B13" s="815" t="s">
        <v>968</v>
      </c>
      <c r="C13" s="816"/>
      <c r="D13" s="219">
        <v>0</v>
      </c>
      <c r="E13" s="132">
        <v>14.57</v>
      </c>
      <c r="F13" s="144">
        <v>1.25</v>
      </c>
      <c r="G13" s="144">
        <v>0</v>
      </c>
      <c r="H13" s="132">
        <v>1</v>
      </c>
      <c r="I13" s="132">
        <f>E13*F13</f>
        <v>18.212499999999999</v>
      </c>
      <c r="J13" s="144" t="s">
        <v>5</v>
      </c>
      <c r="K13" s="219">
        <f>I13*H13</f>
        <v>18.212499999999999</v>
      </c>
      <c r="L13" s="809"/>
      <c r="M13" s="810"/>
      <c r="N13" s="810"/>
      <c r="O13" s="810"/>
      <c r="P13" s="810"/>
      <c r="Q13" s="811"/>
    </row>
    <row r="14" spans="1:17" ht="26.25" customHeight="1" x14ac:dyDescent="0.15">
      <c r="A14" s="131"/>
      <c r="B14" s="815" t="s">
        <v>969</v>
      </c>
      <c r="C14" s="816"/>
      <c r="D14" s="219">
        <v>0</v>
      </c>
      <c r="E14" s="132">
        <v>8.0399999999999991</v>
      </c>
      <c r="F14" s="144">
        <v>1.2</v>
      </c>
      <c r="G14" s="144">
        <v>0</v>
      </c>
      <c r="H14" s="132">
        <v>1</v>
      </c>
      <c r="I14" s="132">
        <f>E14*F14</f>
        <v>9.6479999999999979</v>
      </c>
      <c r="J14" s="144" t="s">
        <v>5</v>
      </c>
      <c r="K14" s="219">
        <f>I14*H14</f>
        <v>9.6479999999999979</v>
      </c>
      <c r="L14" s="809"/>
      <c r="M14" s="810"/>
      <c r="N14" s="810"/>
      <c r="O14" s="810"/>
      <c r="P14" s="810"/>
      <c r="Q14" s="811"/>
    </row>
    <row r="15" spans="1:17" ht="22.5" customHeight="1" x14ac:dyDescent="0.15">
      <c r="A15" s="795" t="s">
        <v>149</v>
      </c>
      <c r="B15" s="817"/>
      <c r="C15" s="817"/>
      <c r="D15" s="817"/>
      <c r="E15" s="817"/>
      <c r="F15" s="817"/>
      <c r="G15" s="817"/>
      <c r="H15" s="817"/>
      <c r="I15" s="817"/>
      <c r="J15" s="796"/>
      <c r="K15" s="416">
        <f>SUM(K12:K14)</f>
        <v>63.233099999999993</v>
      </c>
      <c r="L15" s="812"/>
      <c r="M15" s="813"/>
      <c r="N15" s="813"/>
      <c r="O15" s="813"/>
      <c r="P15" s="813"/>
      <c r="Q15" s="814"/>
    </row>
    <row r="16" spans="1:17" x14ac:dyDescent="0.15">
      <c r="A16" s="790"/>
      <c r="B16" s="791"/>
      <c r="C16" s="791"/>
      <c r="D16" s="791"/>
      <c r="E16" s="791"/>
      <c r="F16" s="791"/>
      <c r="G16" s="791"/>
      <c r="H16" s="791"/>
      <c r="I16" s="791"/>
      <c r="J16" s="791"/>
      <c r="K16" s="791"/>
      <c r="L16" s="791"/>
      <c r="M16" s="791"/>
      <c r="N16" s="791"/>
      <c r="O16" s="791"/>
      <c r="P16" s="791"/>
      <c r="Q16" s="792"/>
    </row>
    <row r="17" spans="1:17" s="121" customFormat="1" ht="18" customHeight="1" x14ac:dyDescent="0.15">
      <c r="A17" s="218" t="s">
        <v>0</v>
      </c>
      <c r="B17" s="793" t="s">
        <v>970</v>
      </c>
      <c r="C17" s="794"/>
      <c r="D17" s="794"/>
      <c r="E17" s="794"/>
      <c r="F17" s="794"/>
      <c r="G17" s="794"/>
      <c r="H17" s="794"/>
      <c r="I17" s="794"/>
      <c r="J17" s="794"/>
      <c r="K17" s="794"/>
      <c r="L17" s="794"/>
      <c r="M17" s="794"/>
      <c r="N17" s="821"/>
      <c r="O17" s="216" t="s">
        <v>73</v>
      </c>
      <c r="P17" s="795" t="s">
        <v>5</v>
      </c>
      <c r="Q17" s="796"/>
    </row>
    <row r="18" spans="1:17" x14ac:dyDescent="0.15">
      <c r="A18" s="790"/>
      <c r="B18" s="791"/>
      <c r="C18" s="791"/>
      <c r="D18" s="791"/>
      <c r="E18" s="791"/>
      <c r="F18" s="791"/>
      <c r="G18" s="791"/>
      <c r="H18" s="791"/>
      <c r="I18" s="791"/>
      <c r="J18" s="791"/>
      <c r="K18" s="791"/>
      <c r="L18" s="791"/>
      <c r="M18" s="791"/>
      <c r="N18" s="791"/>
      <c r="O18" s="791"/>
      <c r="P18" s="791"/>
      <c r="Q18" s="792"/>
    </row>
    <row r="19" spans="1:17" s="126" customFormat="1" x14ac:dyDescent="0.15">
      <c r="A19" s="822" t="s">
        <v>150</v>
      </c>
      <c r="B19" s="823" t="s">
        <v>151</v>
      </c>
      <c r="C19" s="823"/>
      <c r="D19" s="802" t="s">
        <v>658</v>
      </c>
      <c r="E19" s="823" t="s">
        <v>152</v>
      </c>
      <c r="F19" s="823"/>
      <c r="G19" s="823"/>
      <c r="H19" s="804" t="s">
        <v>153</v>
      </c>
      <c r="I19" s="802" t="s">
        <v>159</v>
      </c>
      <c r="J19" s="804" t="s">
        <v>73</v>
      </c>
      <c r="K19" s="216" t="s">
        <v>154</v>
      </c>
      <c r="L19" s="806"/>
      <c r="M19" s="807"/>
      <c r="N19" s="807"/>
      <c r="O19" s="807"/>
      <c r="P19" s="807"/>
      <c r="Q19" s="808"/>
    </row>
    <row r="20" spans="1:17" s="130" customFormat="1" x14ac:dyDescent="0.15">
      <c r="A20" s="822"/>
      <c r="B20" s="823"/>
      <c r="C20" s="823"/>
      <c r="D20" s="803"/>
      <c r="E20" s="217" t="s">
        <v>155</v>
      </c>
      <c r="F20" s="217" t="s">
        <v>156</v>
      </c>
      <c r="G20" s="217" t="s">
        <v>157</v>
      </c>
      <c r="H20" s="805"/>
      <c r="I20" s="803"/>
      <c r="J20" s="805"/>
      <c r="K20" s="216" t="s">
        <v>158</v>
      </c>
      <c r="L20" s="809"/>
      <c r="M20" s="810"/>
      <c r="N20" s="810"/>
      <c r="O20" s="810"/>
      <c r="P20" s="810"/>
      <c r="Q20" s="811"/>
    </row>
    <row r="21" spans="1:17" ht="22.5" customHeight="1" x14ac:dyDescent="0.15">
      <c r="A21" s="131"/>
      <c r="B21" s="815" t="s">
        <v>1059</v>
      </c>
      <c r="C21" s="816"/>
      <c r="D21" s="219">
        <v>0</v>
      </c>
      <c r="E21" s="132">
        <v>28</v>
      </c>
      <c r="F21" s="144">
        <v>9</v>
      </c>
      <c r="G21" s="144">
        <v>0</v>
      </c>
      <c r="H21" s="132">
        <v>1</v>
      </c>
      <c r="I21" s="132">
        <f>E21*F21</f>
        <v>252</v>
      </c>
      <c r="J21" s="144" t="s">
        <v>5</v>
      </c>
      <c r="K21" s="219">
        <f>I21*H21</f>
        <v>252</v>
      </c>
      <c r="L21" s="809"/>
      <c r="M21" s="810"/>
      <c r="N21" s="810"/>
      <c r="O21" s="810"/>
      <c r="P21" s="810"/>
      <c r="Q21" s="811"/>
    </row>
    <row r="22" spans="1:17" ht="22.5" customHeight="1" x14ac:dyDescent="0.15">
      <c r="A22" s="795" t="s">
        <v>149</v>
      </c>
      <c r="B22" s="817"/>
      <c r="C22" s="817"/>
      <c r="D22" s="817"/>
      <c r="E22" s="817"/>
      <c r="F22" s="817"/>
      <c r="G22" s="817"/>
      <c r="H22" s="817"/>
      <c r="I22" s="817"/>
      <c r="J22" s="796"/>
      <c r="K22" s="416">
        <f>SUM(K21:K21)</f>
        <v>252</v>
      </c>
      <c r="L22" s="812"/>
      <c r="M22" s="813"/>
      <c r="N22" s="813"/>
      <c r="O22" s="813"/>
      <c r="P22" s="813"/>
      <c r="Q22" s="814"/>
    </row>
    <row r="23" spans="1:17" x14ac:dyDescent="0.15">
      <c r="A23" s="790"/>
      <c r="B23" s="791"/>
      <c r="C23" s="791"/>
      <c r="D23" s="791"/>
      <c r="E23" s="791"/>
      <c r="F23" s="791"/>
      <c r="G23" s="791"/>
      <c r="H23" s="791"/>
      <c r="I23" s="791"/>
      <c r="J23" s="791"/>
      <c r="K23" s="791"/>
      <c r="L23" s="791"/>
      <c r="M23" s="791"/>
      <c r="N23" s="791"/>
      <c r="O23" s="791"/>
      <c r="P23" s="791"/>
      <c r="Q23" s="792"/>
    </row>
    <row r="24" spans="1:17" s="121" customFormat="1" ht="18" customHeight="1" x14ac:dyDescent="0.15">
      <c r="A24" s="218" t="s">
        <v>0</v>
      </c>
      <c r="B24" s="793" t="s">
        <v>971</v>
      </c>
      <c r="C24" s="794"/>
      <c r="D24" s="794"/>
      <c r="E24" s="794"/>
      <c r="F24" s="794"/>
      <c r="G24" s="794"/>
      <c r="H24" s="794"/>
      <c r="I24" s="794"/>
      <c r="J24" s="794"/>
      <c r="K24" s="794"/>
      <c r="L24" s="794"/>
      <c r="M24" s="794"/>
      <c r="N24" s="821"/>
      <c r="O24" s="216" t="s">
        <v>73</v>
      </c>
      <c r="P24" s="795" t="s">
        <v>5</v>
      </c>
      <c r="Q24" s="796"/>
    </row>
    <row r="25" spans="1:17" x14ac:dyDescent="0.15">
      <c r="A25" s="790"/>
      <c r="B25" s="791"/>
      <c r="C25" s="791"/>
      <c r="D25" s="791"/>
      <c r="E25" s="791"/>
      <c r="F25" s="791"/>
      <c r="G25" s="791"/>
      <c r="H25" s="791"/>
      <c r="I25" s="791"/>
      <c r="J25" s="791"/>
      <c r="K25" s="791"/>
      <c r="L25" s="791"/>
      <c r="M25" s="791"/>
      <c r="N25" s="791"/>
      <c r="O25" s="791"/>
      <c r="P25" s="791"/>
      <c r="Q25" s="792"/>
    </row>
    <row r="26" spans="1:17" s="126" customFormat="1" x14ac:dyDescent="0.15">
      <c r="A26" s="822" t="s">
        <v>150</v>
      </c>
      <c r="B26" s="823" t="s">
        <v>151</v>
      </c>
      <c r="C26" s="823"/>
      <c r="D26" s="802" t="s">
        <v>658</v>
      </c>
      <c r="E26" s="823" t="s">
        <v>152</v>
      </c>
      <c r="F26" s="823"/>
      <c r="G26" s="823"/>
      <c r="H26" s="804" t="s">
        <v>153</v>
      </c>
      <c r="I26" s="802" t="s">
        <v>159</v>
      </c>
      <c r="J26" s="804" t="s">
        <v>73</v>
      </c>
      <c r="K26" s="216" t="s">
        <v>154</v>
      </c>
      <c r="L26" s="806"/>
      <c r="M26" s="807"/>
      <c r="N26" s="807"/>
      <c r="O26" s="807"/>
      <c r="P26" s="807"/>
      <c r="Q26" s="808"/>
    </row>
    <row r="27" spans="1:17" s="130" customFormat="1" x14ac:dyDescent="0.15">
      <c r="A27" s="822"/>
      <c r="B27" s="823"/>
      <c r="C27" s="823"/>
      <c r="D27" s="803"/>
      <c r="E27" s="217" t="s">
        <v>155</v>
      </c>
      <c r="F27" s="217" t="s">
        <v>156</v>
      </c>
      <c r="G27" s="217" t="s">
        <v>157</v>
      </c>
      <c r="H27" s="805"/>
      <c r="I27" s="803"/>
      <c r="J27" s="805"/>
      <c r="K27" s="216" t="s">
        <v>158</v>
      </c>
      <c r="L27" s="809"/>
      <c r="M27" s="810"/>
      <c r="N27" s="810"/>
      <c r="O27" s="810"/>
      <c r="P27" s="810"/>
      <c r="Q27" s="811"/>
    </row>
    <row r="28" spans="1:17" ht="22.5" customHeight="1" x14ac:dyDescent="0.15">
      <c r="A28" s="131"/>
      <c r="B28" s="815" t="s">
        <v>972</v>
      </c>
      <c r="C28" s="816"/>
      <c r="D28" s="219">
        <f>D309</f>
        <v>214.27350000000001</v>
      </c>
      <c r="E28" s="132">
        <v>0</v>
      </c>
      <c r="F28" s="144">
        <v>0</v>
      </c>
      <c r="G28" s="144">
        <v>0.03</v>
      </c>
      <c r="H28" s="132">
        <v>1</v>
      </c>
      <c r="I28" s="132">
        <f>D28</f>
        <v>214.27350000000001</v>
      </c>
      <c r="J28" s="144" t="s">
        <v>5</v>
      </c>
      <c r="K28" s="219">
        <f>I28*H28</f>
        <v>214.27350000000001</v>
      </c>
      <c r="L28" s="809"/>
      <c r="M28" s="810"/>
      <c r="N28" s="810"/>
      <c r="O28" s="810"/>
      <c r="P28" s="810"/>
      <c r="Q28" s="811"/>
    </row>
    <row r="29" spans="1:17" ht="22.5" customHeight="1" x14ac:dyDescent="0.15">
      <c r="A29" s="795" t="s">
        <v>149</v>
      </c>
      <c r="B29" s="817"/>
      <c r="C29" s="817"/>
      <c r="D29" s="817"/>
      <c r="E29" s="817"/>
      <c r="F29" s="817"/>
      <c r="G29" s="817"/>
      <c r="H29" s="817"/>
      <c r="I29" s="817"/>
      <c r="J29" s="796"/>
      <c r="K29" s="416">
        <f>SUM(K28:K28)</f>
        <v>214.27350000000001</v>
      </c>
      <c r="L29" s="812"/>
      <c r="M29" s="813"/>
      <c r="N29" s="813"/>
      <c r="O29" s="813"/>
      <c r="P29" s="813"/>
      <c r="Q29" s="814"/>
    </row>
    <row r="30" spans="1:17" x14ac:dyDescent="0.15">
      <c r="A30" s="790"/>
      <c r="B30" s="791"/>
      <c r="C30" s="791"/>
      <c r="D30" s="791"/>
      <c r="E30" s="791"/>
      <c r="F30" s="791"/>
      <c r="G30" s="791"/>
      <c r="H30" s="791"/>
      <c r="I30" s="791"/>
      <c r="J30" s="791"/>
      <c r="K30" s="791"/>
      <c r="L30" s="791"/>
      <c r="M30" s="791"/>
      <c r="N30" s="791"/>
      <c r="O30" s="791"/>
      <c r="P30" s="791"/>
      <c r="Q30" s="792"/>
    </row>
    <row r="31" spans="1:17" s="121" customFormat="1" ht="18" customHeight="1" x14ac:dyDescent="0.15">
      <c r="A31" s="218" t="s">
        <v>0</v>
      </c>
      <c r="B31" s="793" t="s">
        <v>973</v>
      </c>
      <c r="C31" s="794"/>
      <c r="D31" s="794"/>
      <c r="E31" s="794"/>
      <c r="F31" s="794"/>
      <c r="G31" s="794"/>
      <c r="H31" s="794"/>
      <c r="I31" s="794"/>
      <c r="J31" s="794"/>
      <c r="K31" s="794"/>
      <c r="L31" s="794"/>
      <c r="M31" s="794"/>
      <c r="N31" s="821"/>
      <c r="O31" s="216" t="s">
        <v>73</v>
      </c>
      <c r="P31" s="795" t="s">
        <v>193</v>
      </c>
      <c r="Q31" s="796"/>
    </row>
    <row r="32" spans="1:17" x14ac:dyDescent="0.15">
      <c r="A32" s="790"/>
      <c r="B32" s="791"/>
      <c r="C32" s="791"/>
      <c r="D32" s="791"/>
      <c r="E32" s="791"/>
      <c r="F32" s="791"/>
      <c r="G32" s="791"/>
      <c r="H32" s="791"/>
      <c r="I32" s="791"/>
      <c r="J32" s="791"/>
      <c r="K32" s="791"/>
      <c r="L32" s="791"/>
      <c r="M32" s="791"/>
      <c r="N32" s="791"/>
      <c r="O32" s="791"/>
      <c r="P32" s="791"/>
      <c r="Q32" s="792"/>
    </row>
    <row r="33" spans="1:17" s="126" customFormat="1" x14ac:dyDescent="0.15">
      <c r="A33" s="822" t="s">
        <v>150</v>
      </c>
      <c r="B33" s="823" t="s">
        <v>151</v>
      </c>
      <c r="C33" s="823"/>
      <c r="D33" s="802" t="s">
        <v>658</v>
      </c>
      <c r="E33" s="823" t="s">
        <v>152</v>
      </c>
      <c r="F33" s="823"/>
      <c r="G33" s="823"/>
      <c r="H33" s="804" t="s">
        <v>153</v>
      </c>
      <c r="I33" s="802" t="s">
        <v>242</v>
      </c>
      <c r="J33" s="804" t="s">
        <v>73</v>
      </c>
      <c r="K33" s="216" t="s">
        <v>154</v>
      </c>
      <c r="L33" s="806"/>
      <c r="M33" s="807"/>
      <c r="N33" s="807"/>
      <c r="O33" s="807"/>
      <c r="P33" s="807"/>
      <c r="Q33" s="808"/>
    </row>
    <row r="34" spans="1:17" s="130" customFormat="1" x14ac:dyDescent="0.15">
      <c r="A34" s="822"/>
      <c r="B34" s="823"/>
      <c r="C34" s="823"/>
      <c r="D34" s="803"/>
      <c r="E34" s="217" t="s">
        <v>155</v>
      </c>
      <c r="F34" s="217" t="s">
        <v>156</v>
      </c>
      <c r="G34" s="217" t="s">
        <v>157</v>
      </c>
      <c r="H34" s="805"/>
      <c r="I34" s="803"/>
      <c r="J34" s="805"/>
      <c r="K34" s="216" t="s">
        <v>158</v>
      </c>
      <c r="L34" s="809"/>
      <c r="M34" s="810"/>
      <c r="N34" s="810"/>
      <c r="O34" s="810"/>
      <c r="P34" s="810"/>
      <c r="Q34" s="811"/>
    </row>
    <row r="35" spans="1:17" ht="22.5" customHeight="1" x14ac:dyDescent="0.15">
      <c r="A35" s="131"/>
      <c r="B35" s="815" t="s">
        <v>974</v>
      </c>
      <c r="C35" s="816"/>
      <c r="D35" s="219">
        <v>0</v>
      </c>
      <c r="E35" s="132">
        <v>28.66666</v>
      </c>
      <c r="F35" s="144">
        <v>0</v>
      </c>
      <c r="G35" s="144">
        <v>0</v>
      </c>
      <c r="H35" s="132">
        <v>6</v>
      </c>
      <c r="I35" s="132">
        <f>E35</f>
        <v>28.66666</v>
      </c>
      <c r="J35" s="144" t="s">
        <v>193</v>
      </c>
      <c r="K35" s="219">
        <f>I35*H35</f>
        <v>171.99995999999999</v>
      </c>
      <c r="L35" s="809"/>
      <c r="M35" s="810"/>
      <c r="N35" s="810"/>
      <c r="O35" s="810"/>
      <c r="P35" s="810"/>
      <c r="Q35" s="811"/>
    </row>
    <row r="36" spans="1:17" ht="22.5" customHeight="1" x14ac:dyDescent="0.15">
      <c r="A36" s="795" t="s">
        <v>149</v>
      </c>
      <c r="B36" s="817"/>
      <c r="C36" s="817"/>
      <c r="D36" s="817"/>
      <c r="E36" s="817"/>
      <c r="F36" s="817"/>
      <c r="G36" s="817"/>
      <c r="H36" s="817"/>
      <c r="I36" s="817"/>
      <c r="J36" s="796"/>
      <c r="K36" s="416">
        <f>SUM(K35:K35)</f>
        <v>171.99995999999999</v>
      </c>
      <c r="L36" s="812"/>
      <c r="M36" s="813"/>
      <c r="N36" s="813"/>
      <c r="O36" s="813"/>
      <c r="P36" s="813"/>
      <c r="Q36" s="814"/>
    </row>
    <row r="37" spans="1:17" x14ac:dyDescent="0.15">
      <c r="A37" s="790"/>
      <c r="B37" s="791"/>
      <c r="C37" s="791"/>
      <c r="D37" s="791"/>
      <c r="E37" s="791"/>
      <c r="F37" s="791"/>
      <c r="G37" s="791"/>
      <c r="H37" s="791"/>
      <c r="I37" s="791"/>
      <c r="J37" s="791"/>
      <c r="K37" s="791"/>
      <c r="L37" s="791"/>
      <c r="M37" s="791"/>
      <c r="N37" s="791"/>
      <c r="O37" s="791"/>
      <c r="P37" s="791"/>
      <c r="Q37" s="792"/>
    </row>
    <row r="38" spans="1:17" s="121" customFormat="1" ht="18" customHeight="1" x14ac:dyDescent="0.15">
      <c r="A38" s="218" t="s">
        <v>0</v>
      </c>
      <c r="B38" s="793" t="s">
        <v>977</v>
      </c>
      <c r="C38" s="794"/>
      <c r="D38" s="794"/>
      <c r="E38" s="794"/>
      <c r="F38" s="794"/>
      <c r="G38" s="794"/>
      <c r="H38" s="794"/>
      <c r="I38" s="794"/>
      <c r="J38" s="794"/>
      <c r="K38" s="794"/>
      <c r="L38" s="794"/>
      <c r="M38" s="794"/>
      <c r="N38" s="821"/>
      <c r="O38" s="216" t="s">
        <v>73</v>
      </c>
      <c r="P38" s="795" t="s">
        <v>19</v>
      </c>
      <c r="Q38" s="796"/>
    </row>
    <row r="39" spans="1:17" x14ac:dyDescent="0.15">
      <c r="A39" s="790"/>
      <c r="B39" s="791"/>
      <c r="C39" s="791"/>
      <c r="D39" s="791"/>
      <c r="E39" s="791"/>
      <c r="F39" s="791"/>
      <c r="G39" s="791"/>
      <c r="H39" s="791"/>
      <c r="I39" s="791"/>
      <c r="J39" s="791"/>
      <c r="K39" s="791"/>
      <c r="L39" s="791"/>
      <c r="M39" s="791"/>
      <c r="N39" s="791"/>
      <c r="O39" s="791"/>
      <c r="P39" s="791"/>
      <c r="Q39" s="792"/>
    </row>
    <row r="40" spans="1:17" s="126" customFormat="1" x14ac:dyDescent="0.15">
      <c r="A40" s="822" t="s">
        <v>150</v>
      </c>
      <c r="B40" s="823" t="s">
        <v>151</v>
      </c>
      <c r="C40" s="823"/>
      <c r="D40" s="802" t="s">
        <v>658</v>
      </c>
      <c r="E40" s="823" t="s">
        <v>152</v>
      </c>
      <c r="F40" s="823"/>
      <c r="G40" s="823"/>
      <c r="H40" s="804" t="s">
        <v>153</v>
      </c>
      <c r="I40" s="802" t="s">
        <v>976</v>
      </c>
      <c r="J40" s="804" t="s">
        <v>73</v>
      </c>
      <c r="K40" s="216" t="s">
        <v>154</v>
      </c>
      <c r="L40" s="806"/>
      <c r="M40" s="807"/>
      <c r="N40" s="807"/>
      <c r="O40" s="807"/>
      <c r="P40" s="807"/>
      <c r="Q40" s="808"/>
    </row>
    <row r="41" spans="1:17" s="130" customFormat="1" x14ac:dyDescent="0.15">
      <c r="A41" s="822"/>
      <c r="B41" s="823"/>
      <c r="C41" s="823"/>
      <c r="D41" s="803"/>
      <c r="E41" s="217" t="s">
        <v>155</v>
      </c>
      <c r="F41" s="217" t="s">
        <v>156</v>
      </c>
      <c r="G41" s="217" t="s">
        <v>157</v>
      </c>
      <c r="H41" s="805"/>
      <c r="I41" s="803"/>
      <c r="J41" s="805"/>
      <c r="K41" s="216" t="s">
        <v>158</v>
      </c>
      <c r="L41" s="809"/>
      <c r="M41" s="810"/>
      <c r="N41" s="810"/>
      <c r="O41" s="810"/>
      <c r="P41" s="810"/>
      <c r="Q41" s="811"/>
    </row>
    <row r="42" spans="1:17" ht="22.5" customHeight="1" x14ac:dyDescent="0.15">
      <c r="A42" s="131"/>
      <c r="B42" s="815" t="s">
        <v>975</v>
      </c>
      <c r="C42" s="816"/>
      <c r="D42" s="219">
        <v>0</v>
      </c>
      <c r="E42" s="132">
        <v>0</v>
      </c>
      <c r="F42" s="144">
        <v>0</v>
      </c>
      <c r="G42" s="144">
        <v>0</v>
      </c>
      <c r="H42" s="132">
        <v>1</v>
      </c>
      <c r="I42" s="132">
        <v>1</v>
      </c>
      <c r="J42" s="144" t="s">
        <v>19</v>
      </c>
      <c r="K42" s="219">
        <f>I42*H42</f>
        <v>1</v>
      </c>
      <c r="L42" s="809"/>
      <c r="M42" s="810"/>
      <c r="N42" s="810"/>
      <c r="O42" s="810"/>
      <c r="P42" s="810"/>
      <c r="Q42" s="811"/>
    </row>
    <row r="43" spans="1:17" ht="22.5" customHeight="1" x14ac:dyDescent="0.15">
      <c r="A43" s="795" t="s">
        <v>149</v>
      </c>
      <c r="B43" s="817"/>
      <c r="C43" s="817"/>
      <c r="D43" s="817"/>
      <c r="E43" s="817"/>
      <c r="F43" s="817"/>
      <c r="G43" s="817"/>
      <c r="H43" s="817"/>
      <c r="I43" s="817"/>
      <c r="J43" s="796"/>
      <c r="K43" s="416">
        <f>SUM(K42:K42)</f>
        <v>1</v>
      </c>
      <c r="L43" s="812"/>
      <c r="M43" s="813"/>
      <c r="N43" s="813"/>
      <c r="O43" s="813"/>
      <c r="P43" s="813"/>
      <c r="Q43" s="814"/>
    </row>
    <row r="44" spans="1:17" x14ac:dyDescent="0.15">
      <c r="A44" s="790"/>
      <c r="B44" s="791"/>
      <c r="C44" s="791"/>
      <c r="D44" s="791"/>
      <c r="E44" s="791"/>
      <c r="F44" s="791"/>
      <c r="G44" s="791"/>
      <c r="H44" s="791"/>
      <c r="I44" s="791"/>
      <c r="J44" s="791"/>
      <c r="K44" s="791"/>
      <c r="L44" s="791"/>
      <c r="M44" s="791"/>
      <c r="N44" s="791"/>
      <c r="O44" s="791"/>
      <c r="P44" s="791"/>
      <c r="Q44" s="792"/>
    </row>
    <row r="45" spans="1:17" s="121" customFormat="1" ht="18" customHeight="1" x14ac:dyDescent="0.15">
      <c r="A45" s="218" t="s">
        <v>0</v>
      </c>
      <c r="B45" s="793" t="s">
        <v>978</v>
      </c>
      <c r="C45" s="794"/>
      <c r="D45" s="794"/>
      <c r="E45" s="794"/>
      <c r="F45" s="794"/>
      <c r="G45" s="794"/>
      <c r="H45" s="794"/>
      <c r="I45" s="794"/>
      <c r="J45" s="794"/>
      <c r="K45" s="794"/>
      <c r="L45" s="794"/>
      <c r="M45" s="794"/>
      <c r="N45" s="821"/>
      <c r="O45" s="216" t="s">
        <v>73</v>
      </c>
      <c r="P45" s="795" t="s">
        <v>319</v>
      </c>
      <c r="Q45" s="796"/>
    </row>
    <row r="46" spans="1:17" x14ac:dyDescent="0.15">
      <c r="A46" s="790"/>
      <c r="B46" s="791"/>
      <c r="C46" s="791"/>
      <c r="D46" s="791"/>
      <c r="E46" s="791"/>
      <c r="F46" s="791"/>
      <c r="G46" s="791"/>
      <c r="H46" s="791"/>
      <c r="I46" s="791"/>
      <c r="J46" s="791"/>
      <c r="K46" s="791"/>
      <c r="L46" s="791"/>
      <c r="M46" s="791"/>
      <c r="N46" s="791"/>
      <c r="O46" s="791"/>
      <c r="P46" s="791"/>
      <c r="Q46" s="792"/>
    </row>
    <row r="47" spans="1:17" s="126" customFormat="1" x14ac:dyDescent="0.15">
      <c r="A47" s="822" t="s">
        <v>150</v>
      </c>
      <c r="B47" s="823" t="s">
        <v>151</v>
      </c>
      <c r="C47" s="823"/>
      <c r="D47" s="802" t="s">
        <v>658</v>
      </c>
      <c r="E47" s="823" t="s">
        <v>152</v>
      </c>
      <c r="F47" s="823"/>
      <c r="G47" s="823"/>
      <c r="H47" s="804" t="s">
        <v>153</v>
      </c>
      <c r="I47" s="802" t="s">
        <v>479</v>
      </c>
      <c r="J47" s="804" t="s">
        <v>73</v>
      </c>
      <c r="K47" s="216" t="s">
        <v>154</v>
      </c>
      <c r="L47" s="806"/>
      <c r="M47" s="807"/>
      <c r="N47" s="807"/>
      <c r="O47" s="807"/>
      <c r="P47" s="807"/>
      <c r="Q47" s="808"/>
    </row>
    <row r="48" spans="1:17" s="130" customFormat="1" x14ac:dyDescent="0.15">
      <c r="A48" s="822"/>
      <c r="B48" s="823"/>
      <c r="C48" s="823"/>
      <c r="D48" s="803"/>
      <c r="E48" s="217" t="s">
        <v>155</v>
      </c>
      <c r="F48" s="217" t="s">
        <v>156</v>
      </c>
      <c r="G48" s="217" t="s">
        <v>157</v>
      </c>
      <c r="H48" s="805"/>
      <c r="I48" s="803"/>
      <c r="J48" s="805"/>
      <c r="K48" s="216" t="s">
        <v>158</v>
      </c>
      <c r="L48" s="809"/>
      <c r="M48" s="810"/>
      <c r="N48" s="810"/>
      <c r="O48" s="810"/>
      <c r="P48" s="810"/>
      <c r="Q48" s="811"/>
    </row>
    <row r="49" spans="1:17" ht="22.5" customHeight="1" x14ac:dyDescent="0.15">
      <c r="A49" s="131"/>
      <c r="B49" s="815" t="s">
        <v>254</v>
      </c>
      <c r="C49" s="816"/>
      <c r="D49" s="219">
        <v>0</v>
      </c>
      <c r="E49" s="132">
        <v>0</v>
      </c>
      <c r="F49" s="144">
        <v>0</v>
      </c>
      <c r="G49" s="144">
        <v>0</v>
      </c>
      <c r="H49" s="132">
        <v>1</v>
      </c>
      <c r="I49" s="132">
        <v>1</v>
      </c>
      <c r="J49" s="144" t="s">
        <v>519</v>
      </c>
      <c r="K49" s="219">
        <f>I49*H49</f>
        <v>1</v>
      </c>
      <c r="L49" s="809"/>
      <c r="M49" s="810"/>
      <c r="N49" s="810"/>
      <c r="O49" s="810"/>
      <c r="P49" s="810"/>
      <c r="Q49" s="811"/>
    </row>
    <row r="50" spans="1:17" ht="22.5" customHeight="1" x14ac:dyDescent="0.15">
      <c r="A50" s="795" t="s">
        <v>149</v>
      </c>
      <c r="B50" s="817"/>
      <c r="C50" s="817"/>
      <c r="D50" s="817"/>
      <c r="E50" s="817"/>
      <c r="F50" s="817"/>
      <c r="G50" s="817"/>
      <c r="H50" s="817"/>
      <c r="I50" s="817"/>
      <c r="J50" s="796"/>
      <c r="K50" s="416">
        <f>SUM(K49:K49)</f>
        <v>1</v>
      </c>
      <c r="L50" s="812"/>
      <c r="M50" s="813"/>
      <c r="N50" s="813"/>
      <c r="O50" s="813"/>
      <c r="P50" s="813"/>
      <c r="Q50" s="814"/>
    </row>
    <row r="51" spans="1:17" x14ac:dyDescent="0.15">
      <c r="A51" s="790"/>
      <c r="B51" s="791"/>
      <c r="C51" s="791"/>
      <c r="D51" s="791"/>
      <c r="E51" s="791"/>
      <c r="F51" s="791"/>
      <c r="G51" s="791"/>
      <c r="H51" s="791"/>
      <c r="I51" s="791"/>
      <c r="J51" s="791"/>
      <c r="K51" s="791"/>
      <c r="L51" s="791"/>
      <c r="M51" s="791"/>
      <c r="N51" s="791"/>
      <c r="O51" s="791"/>
      <c r="P51" s="791"/>
      <c r="Q51" s="792"/>
    </row>
    <row r="52" spans="1:17" s="121" customFormat="1" ht="18" customHeight="1" x14ac:dyDescent="0.15">
      <c r="A52" s="218" t="s">
        <v>0</v>
      </c>
      <c r="B52" s="793" t="s">
        <v>979</v>
      </c>
      <c r="C52" s="794"/>
      <c r="D52" s="794"/>
      <c r="E52" s="794"/>
      <c r="F52" s="794"/>
      <c r="G52" s="794"/>
      <c r="H52" s="794"/>
      <c r="I52" s="794"/>
      <c r="J52" s="794"/>
      <c r="K52" s="794"/>
      <c r="L52" s="794"/>
      <c r="M52" s="794"/>
      <c r="N52" s="821"/>
      <c r="O52" s="216" t="s">
        <v>73</v>
      </c>
      <c r="P52" s="795" t="s">
        <v>319</v>
      </c>
      <c r="Q52" s="796"/>
    </row>
    <row r="53" spans="1:17" x14ac:dyDescent="0.15">
      <c r="A53" s="790"/>
      <c r="B53" s="791"/>
      <c r="C53" s="791"/>
      <c r="D53" s="791"/>
      <c r="E53" s="791"/>
      <c r="F53" s="791"/>
      <c r="G53" s="791"/>
      <c r="H53" s="791"/>
      <c r="I53" s="791"/>
      <c r="J53" s="791"/>
      <c r="K53" s="791"/>
      <c r="L53" s="791"/>
      <c r="M53" s="791"/>
      <c r="N53" s="791"/>
      <c r="O53" s="791"/>
      <c r="P53" s="791"/>
      <c r="Q53" s="792"/>
    </row>
    <row r="54" spans="1:17" s="126" customFormat="1" x14ac:dyDescent="0.15">
      <c r="A54" s="822" t="s">
        <v>150</v>
      </c>
      <c r="B54" s="823" t="s">
        <v>151</v>
      </c>
      <c r="C54" s="823"/>
      <c r="D54" s="802" t="s">
        <v>658</v>
      </c>
      <c r="E54" s="823" t="s">
        <v>152</v>
      </c>
      <c r="F54" s="823"/>
      <c r="G54" s="823"/>
      <c r="H54" s="804" t="s">
        <v>153</v>
      </c>
      <c r="I54" s="802" t="s">
        <v>479</v>
      </c>
      <c r="J54" s="804" t="s">
        <v>73</v>
      </c>
      <c r="K54" s="216" t="s">
        <v>154</v>
      </c>
      <c r="L54" s="806"/>
      <c r="M54" s="807"/>
      <c r="N54" s="807"/>
      <c r="O54" s="807"/>
      <c r="P54" s="807"/>
      <c r="Q54" s="808"/>
    </row>
    <row r="55" spans="1:17" s="130" customFormat="1" x14ac:dyDescent="0.15">
      <c r="A55" s="822"/>
      <c r="B55" s="823"/>
      <c r="C55" s="823"/>
      <c r="D55" s="803"/>
      <c r="E55" s="217" t="s">
        <v>155</v>
      </c>
      <c r="F55" s="217" t="s">
        <v>156</v>
      </c>
      <c r="G55" s="217" t="s">
        <v>157</v>
      </c>
      <c r="H55" s="805"/>
      <c r="I55" s="803"/>
      <c r="J55" s="805"/>
      <c r="K55" s="216" t="s">
        <v>158</v>
      </c>
      <c r="L55" s="809"/>
      <c r="M55" s="810"/>
      <c r="N55" s="810"/>
      <c r="O55" s="810"/>
      <c r="P55" s="810"/>
      <c r="Q55" s="811"/>
    </row>
    <row r="56" spans="1:17" ht="22.5" customHeight="1" x14ac:dyDescent="0.15">
      <c r="A56" s="131"/>
      <c r="B56" s="815" t="s">
        <v>168</v>
      </c>
      <c r="C56" s="816"/>
      <c r="D56" s="219">
        <v>0</v>
      </c>
      <c r="E56" s="132">
        <v>0</v>
      </c>
      <c r="F56" s="144">
        <v>0</v>
      </c>
      <c r="G56" s="144">
        <v>0</v>
      </c>
      <c r="H56" s="132">
        <v>1</v>
      </c>
      <c r="I56" s="132">
        <v>1</v>
      </c>
      <c r="J56" s="144" t="s">
        <v>519</v>
      </c>
      <c r="K56" s="219">
        <f>I56*H56</f>
        <v>1</v>
      </c>
      <c r="L56" s="809"/>
      <c r="M56" s="810"/>
      <c r="N56" s="810"/>
      <c r="O56" s="810"/>
      <c r="P56" s="810"/>
      <c r="Q56" s="811"/>
    </row>
    <row r="57" spans="1:17" ht="22.5" customHeight="1" x14ac:dyDescent="0.15">
      <c r="A57" s="795" t="s">
        <v>149</v>
      </c>
      <c r="B57" s="817"/>
      <c r="C57" s="817"/>
      <c r="D57" s="817"/>
      <c r="E57" s="817"/>
      <c r="F57" s="817"/>
      <c r="G57" s="817"/>
      <c r="H57" s="817"/>
      <c r="I57" s="817"/>
      <c r="J57" s="796"/>
      <c r="K57" s="416">
        <f>SUM(K56:K56)</f>
        <v>1</v>
      </c>
      <c r="L57" s="812"/>
      <c r="M57" s="813"/>
      <c r="N57" s="813"/>
      <c r="O57" s="813"/>
      <c r="P57" s="813"/>
      <c r="Q57" s="814"/>
    </row>
    <row r="58" spans="1:17" x14ac:dyDescent="0.15">
      <c r="A58" s="790"/>
      <c r="B58" s="791"/>
      <c r="C58" s="791"/>
      <c r="D58" s="791"/>
      <c r="E58" s="791"/>
      <c r="F58" s="791"/>
      <c r="G58" s="791"/>
      <c r="H58" s="791"/>
      <c r="I58" s="791"/>
      <c r="J58" s="791"/>
      <c r="K58" s="791"/>
      <c r="L58" s="791"/>
      <c r="M58" s="791"/>
      <c r="N58" s="791"/>
      <c r="O58" s="791"/>
      <c r="P58" s="791"/>
      <c r="Q58" s="792"/>
    </row>
    <row r="59" spans="1:17" s="121" customFormat="1" ht="18" customHeight="1" x14ac:dyDescent="0.15">
      <c r="A59" s="218" t="s">
        <v>0</v>
      </c>
      <c r="B59" s="793" t="s">
        <v>980</v>
      </c>
      <c r="C59" s="794"/>
      <c r="D59" s="794"/>
      <c r="E59" s="794"/>
      <c r="F59" s="794"/>
      <c r="G59" s="794"/>
      <c r="H59" s="794"/>
      <c r="I59" s="794"/>
      <c r="J59" s="794"/>
      <c r="K59" s="794"/>
      <c r="L59" s="794"/>
      <c r="M59" s="794"/>
      <c r="N59" s="821"/>
      <c r="O59" s="216" t="s">
        <v>73</v>
      </c>
      <c r="P59" s="795" t="s">
        <v>5</v>
      </c>
      <c r="Q59" s="796"/>
    </row>
    <row r="60" spans="1:17" x14ac:dyDescent="0.15">
      <c r="A60" s="790"/>
      <c r="B60" s="791"/>
      <c r="C60" s="791"/>
      <c r="D60" s="791"/>
      <c r="E60" s="791"/>
      <c r="F60" s="791"/>
      <c r="G60" s="791"/>
      <c r="H60" s="791"/>
      <c r="I60" s="791"/>
      <c r="J60" s="791"/>
      <c r="K60" s="791"/>
      <c r="L60" s="791"/>
      <c r="M60" s="791"/>
      <c r="N60" s="791"/>
      <c r="O60" s="791"/>
      <c r="P60" s="791"/>
      <c r="Q60" s="792"/>
    </row>
    <row r="61" spans="1:17" s="126" customFormat="1" x14ac:dyDescent="0.15">
      <c r="A61" s="822" t="s">
        <v>150</v>
      </c>
      <c r="B61" s="823" t="s">
        <v>151</v>
      </c>
      <c r="C61" s="823"/>
      <c r="D61" s="802" t="s">
        <v>658</v>
      </c>
      <c r="E61" s="823" t="s">
        <v>152</v>
      </c>
      <c r="F61" s="823"/>
      <c r="G61" s="823"/>
      <c r="H61" s="804" t="s">
        <v>153</v>
      </c>
      <c r="I61" s="802" t="s">
        <v>159</v>
      </c>
      <c r="J61" s="804" t="s">
        <v>73</v>
      </c>
      <c r="K61" s="216" t="s">
        <v>154</v>
      </c>
      <c r="L61" s="806"/>
      <c r="M61" s="807"/>
      <c r="N61" s="807"/>
      <c r="O61" s="807"/>
      <c r="P61" s="807"/>
      <c r="Q61" s="808"/>
    </row>
    <row r="62" spans="1:17" s="130" customFormat="1" x14ac:dyDescent="0.15">
      <c r="A62" s="822"/>
      <c r="B62" s="823"/>
      <c r="C62" s="823"/>
      <c r="D62" s="803"/>
      <c r="E62" s="217" t="s">
        <v>155</v>
      </c>
      <c r="F62" s="217" t="s">
        <v>156</v>
      </c>
      <c r="G62" s="217" t="s">
        <v>157</v>
      </c>
      <c r="H62" s="805"/>
      <c r="I62" s="803"/>
      <c r="J62" s="805"/>
      <c r="K62" s="216" t="s">
        <v>158</v>
      </c>
      <c r="L62" s="809"/>
      <c r="M62" s="810"/>
      <c r="N62" s="810"/>
      <c r="O62" s="810"/>
      <c r="P62" s="810"/>
      <c r="Q62" s="811"/>
    </row>
    <row r="63" spans="1:17" ht="27.75" customHeight="1" x14ac:dyDescent="0.15">
      <c r="A63" s="131"/>
      <c r="B63" s="815" t="s">
        <v>981</v>
      </c>
      <c r="C63" s="816"/>
      <c r="D63" s="219">
        <v>0</v>
      </c>
      <c r="E63" s="132">
        <v>11.87</v>
      </c>
      <c r="F63" s="144">
        <v>2.5</v>
      </c>
      <c r="G63" s="144">
        <v>0</v>
      </c>
      <c r="H63" s="132">
        <v>1</v>
      </c>
      <c r="I63" s="132">
        <f>E63*F63</f>
        <v>29.674999999999997</v>
      </c>
      <c r="J63" s="144" t="s">
        <v>5</v>
      </c>
      <c r="K63" s="219">
        <f>I63*H63</f>
        <v>29.674999999999997</v>
      </c>
      <c r="L63" s="809"/>
      <c r="M63" s="810"/>
      <c r="N63" s="810"/>
      <c r="O63" s="810"/>
      <c r="P63" s="810"/>
      <c r="Q63" s="811"/>
    </row>
    <row r="64" spans="1:17" ht="22.5" customHeight="1" x14ac:dyDescent="0.15">
      <c r="A64" s="795" t="s">
        <v>149</v>
      </c>
      <c r="B64" s="817"/>
      <c r="C64" s="817"/>
      <c r="D64" s="817"/>
      <c r="E64" s="817"/>
      <c r="F64" s="817"/>
      <c r="G64" s="817"/>
      <c r="H64" s="817"/>
      <c r="I64" s="817"/>
      <c r="J64" s="796"/>
      <c r="K64" s="416">
        <f>SUM(K63:K63)</f>
        <v>29.674999999999997</v>
      </c>
      <c r="L64" s="812"/>
      <c r="M64" s="813"/>
      <c r="N64" s="813"/>
      <c r="O64" s="813"/>
      <c r="P64" s="813"/>
      <c r="Q64" s="814"/>
    </row>
    <row r="65" spans="1:17" x14ac:dyDescent="0.15">
      <c r="A65" s="790"/>
      <c r="B65" s="791"/>
      <c r="C65" s="791"/>
      <c r="D65" s="791"/>
      <c r="E65" s="791"/>
      <c r="F65" s="791"/>
      <c r="G65" s="791"/>
      <c r="H65" s="791"/>
      <c r="I65" s="791"/>
      <c r="J65" s="791"/>
      <c r="K65" s="791"/>
      <c r="L65" s="791"/>
      <c r="M65" s="791"/>
      <c r="N65" s="791"/>
      <c r="O65" s="791"/>
      <c r="P65" s="791"/>
      <c r="Q65" s="792"/>
    </row>
    <row r="66" spans="1:17" s="121" customFormat="1" ht="18" customHeight="1" x14ac:dyDescent="0.15">
      <c r="A66" s="218" t="s">
        <v>0</v>
      </c>
      <c r="B66" s="793" t="s">
        <v>982</v>
      </c>
      <c r="C66" s="794"/>
      <c r="D66" s="794"/>
      <c r="E66" s="794"/>
      <c r="F66" s="794"/>
      <c r="G66" s="794"/>
      <c r="H66" s="794"/>
      <c r="I66" s="794"/>
      <c r="J66" s="794"/>
      <c r="K66" s="794"/>
      <c r="L66" s="794"/>
      <c r="M66" s="794"/>
      <c r="N66" s="821"/>
      <c r="O66" s="216" t="s">
        <v>73</v>
      </c>
      <c r="P66" s="795" t="s">
        <v>5</v>
      </c>
      <c r="Q66" s="796"/>
    </row>
    <row r="67" spans="1:17" x14ac:dyDescent="0.15">
      <c r="A67" s="790"/>
      <c r="B67" s="791"/>
      <c r="C67" s="791"/>
      <c r="D67" s="791"/>
      <c r="E67" s="791"/>
      <c r="F67" s="791"/>
      <c r="G67" s="791"/>
      <c r="H67" s="791"/>
      <c r="I67" s="791"/>
      <c r="J67" s="791"/>
      <c r="K67" s="791"/>
      <c r="L67" s="791"/>
      <c r="M67" s="791"/>
      <c r="N67" s="791"/>
      <c r="O67" s="791"/>
      <c r="P67" s="791"/>
      <c r="Q67" s="792"/>
    </row>
    <row r="68" spans="1:17" s="126" customFormat="1" x14ac:dyDescent="0.15">
      <c r="A68" s="822" t="s">
        <v>150</v>
      </c>
      <c r="B68" s="823" t="s">
        <v>151</v>
      </c>
      <c r="C68" s="823"/>
      <c r="D68" s="802" t="s">
        <v>658</v>
      </c>
      <c r="E68" s="823" t="s">
        <v>152</v>
      </c>
      <c r="F68" s="823"/>
      <c r="G68" s="823"/>
      <c r="H68" s="804" t="s">
        <v>153</v>
      </c>
      <c r="I68" s="802" t="s">
        <v>159</v>
      </c>
      <c r="J68" s="804" t="s">
        <v>73</v>
      </c>
      <c r="K68" s="216" t="s">
        <v>154</v>
      </c>
      <c r="L68" s="806"/>
      <c r="M68" s="807"/>
      <c r="N68" s="807"/>
      <c r="O68" s="807"/>
      <c r="P68" s="807"/>
      <c r="Q68" s="808"/>
    </row>
    <row r="69" spans="1:17" s="130" customFormat="1" x14ac:dyDescent="0.15">
      <c r="A69" s="822"/>
      <c r="B69" s="823"/>
      <c r="C69" s="823"/>
      <c r="D69" s="803"/>
      <c r="E69" s="217" t="s">
        <v>155</v>
      </c>
      <c r="F69" s="217" t="s">
        <v>156</v>
      </c>
      <c r="G69" s="217" t="s">
        <v>157</v>
      </c>
      <c r="H69" s="805"/>
      <c r="I69" s="803"/>
      <c r="J69" s="805"/>
      <c r="K69" s="216" t="s">
        <v>158</v>
      </c>
      <c r="L69" s="809"/>
      <c r="M69" s="810"/>
      <c r="N69" s="810"/>
      <c r="O69" s="810"/>
      <c r="P69" s="810"/>
      <c r="Q69" s="811"/>
    </row>
    <row r="70" spans="1:17" ht="27.75" customHeight="1" x14ac:dyDescent="0.15">
      <c r="A70" s="131"/>
      <c r="B70" s="815" t="s">
        <v>983</v>
      </c>
      <c r="C70" s="816"/>
      <c r="D70" s="219">
        <v>0</v>
      </c>
      <c r="E70" s="132">
        <v>5.46</v>
      </c>
      <c r="F70" s="144">
        <v>2.82</v>
      </c>
      <c r="G70" s="144">
        <v>0</v>
      </c>
      <c r="H70" s="132">
        <v>1</v>
      </c>
      <c r="I70" s="132">
        <f>E70*F70</f>
        <v>15.3972</v>
      </c>
      <c r="J70" s="144" t="s">
        <v>5</v>
      </c>
      <c r="K70" s="219">
        <f>I70*H70</f>
        <v>15.3972</v>
      </c>
      <c r="L70" s="809"/>
      <c r="M70" s="810"/>
      <c r="N70" s="810"/>
      <c r="O70" s="810"/>
      <c r="P70" s="810"/>
      <c r="Q70" s="811"/>
    </row>
    <row r="71" spans="1:17" ht="27.75" customHeight="1" x14ac:dyDescent="0.15">
      <c r="A71" s="131"/>
      <c r="B71" s="815" t="s">
        <v>984</v>
      </c>
      <c r="C71" s="816"/>
      <c r="D71" s="219">
        <v>0</v>
      </c>
      <c r="E71" s="132">
        <v>4.51</v>
      </c>
      <c r="F71" s="144">
        <v>3.54</v>
      </c>
      <c r="G71" s="144">
        <v>0</v>
      </c>
      <c r="H71" s="132">
        <v>1</v>
      </c>
      <c r="I71" s="132">
        <f>E71*F71</f>
        <v>15.965399999999999</v>
      </c>
      <c r="J71" s="144" t="s">
        <v>5</v>
      </c>
      <c r="K71" s="219">
        <f>I71*H71</f>
        <v>15.965399999999999</v>
      </c>
      <c r="L71" s="809"/>
      <c r="M71" s="810"/>
      <c r="N71" s="810"/>
      <c r="O71" s="810"/>
      <c r="P71" s="810"/>
      <c r="Q71" s="811"/>
    </row>
    <row r="72" spans="1:17" ht="27.75" customHeight="1" x14ac:dyDescent="0.15">
      <c r="A72" s="131"/>
      <c r="B72" s="815" t="s">
        <v>985</v>
      </c>
      <c r="C72" s="816"/>
      <c r="D72" s="219">
        <v>0</v>
      </c>
      <c r="E72" s="132">
        <v>4.51</v>
      </c>
      <c r="F72" s="144">
        <v>4.0599999999999996</v>
      </c>
      <c r="G72" s="144">
        <v>0</v>
      </c>
      <c r="H72" s="132">
        <v>1</v>
      </c>
      <c r="I72" s="132">
        <f>E72*F72</f>
        <v>18.310599999999997</v>
      </c>
      <c r="J72" s="144" t="s">
        <v>5</v>
      </c>
      <c r="K72" s="219">
        <f>I72*H72</f>
        <v>18.310599999999997</v>
      </c>
      <c r="L72" s="809"/>
      <c r="M72" s="810"/>
      <c r="N72" s="810"/>
      <c r="O72" s="810"/>
      <c r="P72" s="810"/>
      <c r="Q72" s="811"/>
    </row>
    <row r="73" spans="1:17" ht="22.5" customHeight="1" x14ac:dyDescent="0.15">
      <c r="A73" s="795" t="s">
        <v>149</v>
      </c>
      <c r="B73" s="817"/>
      <c r="C73" s="817"/>
      <c r="D73" s="817"/>
      <c r="E73" s="817"/>
      <c r="F73" s="817"/>
      <c r="G73" s="817"/>
      <c r="H73" s="817"/>
      <c r="I73" s="817"/>
      <c r="J73" s="796"/>
      <c r="K73" s="416">
        <f>SUM(K70:K72)</f>
        <v>49.673199999999994</v>
      </c>
      <c r="L73" s="812"/>
      <c r="M73" s="813"/>
      <c r="N73" s="813"/>
      <c r="O73" s="813"/>
      <c r="P73" s="813"/>
      <c r="Q73" s="814"/>
    </row>
    <row r="74" spans="1:17" x14ac:dyDescent="0.15">
      <c r="A74" s="790"/>
      <c r="B74" s="791"/>
      <c r="C74" s="791"/>
      <c r="D74" s="791"/>
      <c r="E74" s="791"/>
      <c r="F74" s="791"/>
      <c r="G74" s="791"/>
      <c r="H74" s="791"/>
      <c r="I74" s="791"/>
      <c r="J74" s="791"/>
      <c r="K74" s="791"/>
      <c r="L74" s="791"/>
      <c r="M74" s="791"/>
      <c r="N74" s="791"/>
      <c r="O74" s="791"/>
      <c r="P74" s="791"/>
      <c r="Q74" s="792"/>
    </row>
    <row r="75" spans="1:17" s="121" customFormat="1" ht="18" customHeight="1" x14ac:dyDescent="0.15">
      <c r="A75" s="218" t="s">
        <v>0</v>
      </c>
      <c r="B75" s="793" t="s">
        <v>996</v>
      </c>
      <c r="C75" s="794"/>
      <c r="D75" s="794"/>
      <c r="E75" s="794"/>
      <c r="F75" s="794"/>
      <c r="G75" s="794"/>
      <c r="H75" s="794"/>
      <c r="I75" s="794"/>
      <c r="J75" s="794"/>
      <c r="K75" s="794"/>
      <c r="L75" s="794"/>
      <c r="M75" s="794"/>
      <c r="N75" s="821"/>
      <c r="O75" s="216" t="s">
        <v>73</v>
      </c>
      <c r="P75" s="795" t="s">
        <v>193</v>
      </c>
      <c r="Q75" s="796"/>
    </row>
    <row r="76" spans="1:17" x14ac:dyDescent="0.15">
      <c r="A76" s="790"/>
      <c r="B76" s="791"/>
      <c r="C76" s="791"/>
      <c r="D76" s="791"/>
      <c r="E76" s="791"/>
      <c r="F76" s="791"/>
      <c r="G76" s="791"/>
      <c r="H76" s="791"/>
      <c r="I76" s="791"/>
      <c r="J76" s="791"/>
      <c r="K76" s="791"/>
      <c r="L76" s="791"/>
      <c r="M76" s="791"/>
      <c r="N76" s="791"/>
      <c r="O76" s="791"/>
      <c r="P76" s="791"/>
      <c r="Q76" s="792"/>
    </row>
    <row r="77" spans="1:17" s="126" customFormat="1" x14ac:dyDescent="0.15">
      <c r="A77" s="822" t="s">
        <v>150</v>
      </c>
      <c r="B77" s="823" t="s">
        <v>151</v>
      </c>
      <c r="C77" s="823"/>
      <c r="D77" s="802" t="s">
        <v>658</v>
      </c>
      <c r="E77" s="823" t="s">
        <v>152</v>
      </c>
      <c r="F77" s="823"/>
      <c r="G77" s="823"/>
      <c r="H77" s="804" t="s">
        <v>153</v>
      </c>
      <c r="I77" s="802" t="s">
        <v>479</v>
      </c>
      <c r="J77" s="804" t="s">
        <v>73</v>
      </c>
      <c r="K77" s="216" t="s">
        <v>154</v>
      </c>
      <c r="L77" s="806"/>
      <c r="M77" s="807"/>
      <c r="N77" s="807"/>
      <c r="O77" s="807"/>
      <c r="P77" s="807"/>
      <c r="Q77" s="808"/>
    </row>
    <row r="78" spans="1:17" s="130" customFormat="1" x14ac:dyDescent="0.15">
      <c r="A78" s="822"/>
      <c r="B78" s="823"/>
      <c r="C78" s="823"/>
      <c r="D78" s="803"/>
      <c r="E78" s="217" t="s">
        <v>155</v>
      </c>
      <c r="F78" s="217" t="s">
        <v>156</v>
      </c>
      <c r="G78" s="217" t="s">
        <v>157</v>
      </c>
      <c r="H78" s="805"/>
      <c r="I78" s="803"/>
      <c r="J78" s="805"/>
      <c r="K78" s="216" t="s">
        <v>158</v>
      </c>
      <c r="L78" s="809"/>
      <c r="M78" s="810"/>
      <c r="N78" s="810"/>
      <c r="O78" s="810"/>
      <c r="P78" s="810"/>
      <c r="Q78" s="811"/>
    </row>
    <row r="79" spans="1:17" ht="22.5" customHeight="1" x14ac:dyDescent="0.15">
      <c r="A79" s="131"/>
      <c r="B79" s="815" t="s">
        <v>988</v>
      </c>
      <c r="C79" s="816"/>
      <c r="D79" s="219">
        <v>0</v>
      </c>
      <c r="E79" s="132">
        <v>3.5</v>
      </c>
      <c r="F79" s="144">
        <v>0</v>
      </c>
      <c r="G79" s="144">
        <v>0</v>
      </c>
      <c r="H79" s="132">
        <v>3</v>
      </c>
      <c r="I79" s="132">
        <f>E79</f>
        <v>3.5</v>
      </c>
      <c r="J79" s="144" t="s">
        <v>193</v>
      </c>
      <c r="K79" s="219">
        <f>I79*H79</f>
        <v>10.5</v>
      </c>
      <c r="L79" s="809"/>
      <c r="M79" s="810"/>
      <c r="N79" s="810"/>
      <c r="O79" s="810"/>
      <c r="P79" s="810"/>
      <c r="Q79" s="811"/>
    </row>
    <row r="80" spans="1:17" ht="22.5" customHeight="1" x14ac:dyDescent="0.15">
      <c r="A80" s="795" t="s">
        <v>149</v>
      </c>
      <c r="B80" s="817"/>
      <c r="C80" s="817"/>
      <c r="D80" s="817"/>
      <c r="E80" s="817"/>
      <c r="F80" s="817"/>
      <c r="G80" s="817"/>
      <c r="H80" s="817"/>
      <c r="I80" s="817"/>
      <c r="J80" s="796"/>
      <c r="K80" s="416">
        <f>SUM(K79:K79)</f>
        <v>10.5</v>
      </c>
      <c r="L80" s="812"/>
      <c r="M80" s="813"/>
      <c r="N80" s="813"/>
      <c r="O80" s="813"/>
      <c r="P80" s="813"/>
      <c r="Q80" s="814"/>
    </row>
    <row r="81" spans="1:17" x14ac:dyDescent="0.15">
      <c r="A81" s="790"/>
      <c r="B81" s="791"/>
      <c r="C81" s="791"/>
      <c r="D81" s="791"/>
      <c r="E81" s="791"/>
      <c r="F81" s="791"/>
      <c r="G81" s="791"/>
      <c r="H81" s="791"/>
      <c r="I81" s="791"/>
      <c r="J81" s="791"/>
      <c r="K81" s="791"/>
      <c r="L81" s="791"/>
      <c r="M81" s="791"/>
      <c r="N81" s="791"/>
      <c r="O81" s="791"/>
      <c r="P81" s="791"/>
      <c r="Q81" s="792"/>
    </row>
    <row r="82" spans="1:17" s="121" customFormat="1" ht="18" customHeight="1" x14ac:dyDescent="0.15">
      <c r="A82" s="218" t="s">
        <v>0</v>
      </c>
      <c r="B82" s="793" t="s">
        <v>989</v>
      </c>
      <c r="C82" s="794"/>
      <c r="D82" s="794"/>
      <c r="E82" s="794"/>
      <c r="F82" s="794"/>
      <c r="G82" s="794"/>
      <c r="H82" s="794"/>
      <c r="I82" s="794"/>
      <c r="J82" s="794"/>
      <c r="K82" s="794"/>
      <c r="L82" s="794"/>
      <c r="M82" s="794"/>
      <c r="N82" s="821"/>
      <c r="O82" s="216" t="s">
        <v>73</v>
      </c>
      <c r="P82" s="795" t="s">
        <v>5</v>
      </c>
      <c r="Q82" s="796"/>
    </row>
    <row r="83" spans="1:17" x14ac:dyDescent="0.15">
      <c r="A83" s="790"/>
      <c r="B83" s="791"/>
      <c r="C83" s="791"/>
      <c r="D83" s="791"/>
      <c r="E83" s="791"/>
      <c r="F83" s="791"/>
      <c r="G83" s="791"/>
      <c r="H83" s="791"/>
      <c r="I83" s="791"/>
      <c r="J83" s="791"/>
      <c r="K83" s="791"/>
      <c r="L83" s="791"/>
      <c r="M83" s="791"/>
      <c r="N83" s="791"/>
      <c r="O83" s="791"/>
      <c r="P83" s="791"/>
      <c r="Q83" s="792"/>
    </row>
    <row r="84" spans="1:17" s="126" customFormat="1" x14ac:dyDescent="0.15">
      <c r="A84" s="822" t="s">
        <v>150</v>
      </c>
      <c r="B84" s="823" t="s">
        <v>151</v>
      </c>
      <c r="C84" s="823"/>
      <c r="D84" s="802" t="s">
        <v>658</v>
      </c>
      <c r="E84" s="823" t="s">
        <v>152</v>
      </c>
      <c r="F84" s="823"/>
      <c r="G84" s="823"/>
      <c r="H84" s="804" t="s">
        <v>153</v>
      </c>
      <c r="I84" s="802" t="s">
        <v>159</v>
      </c>
      <c r="J84" s="804" t="s">
        <v>73</v>
      </c>
      <c r="K84" s="216" t="s">
        <v>154</v>
      </c>
      <c r="L84" s="806"/>
      <c r="M84" s="807"/>
      <c r="N84" s="807"/>
      <c r="O84" s="807"/>
      <c r="P84" s="807"/>
      <c r="Q84" s="808"/>
    </row>
    <row r="85" spans="1:17" s="130" customFormat="1" x14ac:dyDescent="0.15">
      <c r="A85" s="822"/>
      <c r="B85" s="823"/>
      <c r="C85" s="823"/>
      <c r="D85" s="803"/>
      <c r="E85" s="217" t="s">
        <v>155</v>
      </c>
      <c r="F85" s="217" t="s">
        <v>156</v>
      </c>
      <c r="G85" s="217" t="s">
        <v>157</v>
      </c>
      <c r="H85" s="805"/>
      <c r="I85" s="803"/>
      <c r="J85" s="805"/>
      <c r="K85" s="216" t="s">
        <v>158</v>
      </c>
      <c r="L85" s="809"/>
      <c r="M85" s="810"/>
      <c r="N85" s="810"/>
      <c r="O85" s="810"/>
      <c r="P85" s="810"/>
      <c r="Q85" s="811"/>
    </row>
    <row r="86" spans="1:17" ht="27.75" customHeight="1" x14ac:dyDescent="0.15">
      <c r="A86" s="131"/>
      <c r="B86" s="815" t="s">
        <v>967</v>
      </c>
      <c r="C86" s="816"/>
      <c r="D86" s="219">
        <v>0</v>
      </c>
      <c r="E86" s="132">
        <v>11.87</v>
      </c>
      <c r="F86" s="144">
        <v>2.98</v>
      </c>
      <c r="G86" s="144">
        <v>0</v>
      </c>
      <c r="H86" s="132">
        <v>1</v>
      </c>
      <c r="I86" s="132">
        <f>E86*F86</f>
        <v>35.372599999999998</v>
      </c>
      <c r="J86" s="144" t="s">
        <v>5</v>
      </c>
      <c r="K86" s="219">
        <f>I86*H86</f>
        <v>35.372599999999998</v>
      </c>
      <c r="L86" s="809"/>
      <c r="M86" s="810"/>
      <c r="N86" s="810"/>
      <c r="O86" s="810"/>
      <c r="P86" s="810"/>
      <c r="Q86" s="811"/>
    </row>
    <row r="87" spans="1:17" ht="26.25" customHeight="1" x14ac:dyDescent="0.15">
      <c r="A87" s="131"/>
      <c r="B87" s="815" t="s">
        <v>968</v>
      </c>
      <c r="C87" s="816"/>
      <c r="D87" s="219">
        <v>0</v>
      </c>
      <c r="E87" s="132">
        <v>14.57</v>
      </c>
      <c r="F87" s="144">
        <v>1.25</v>
      </c>
      <c r="G87" s="144">
        <v>0</v>
      </c>
      <c r="H87" s="132">
        <v>1</v>
      </c>
      <c r="I87" s="132">
        <f>E87*F87</f>
        <v>18.212499999999999</v>
      </c>
      <c r="J87" s="144" t="s">
        <v>5</v>
      </c>
      <c r="K87" s="219">
        <f>I87*H87</f>
        <v>18.212499999999999</v>
      </c>
      <c r="L87" s="809"/>
      <c r="M87" s="810"/>
      <c r="N87" s="810"/>
      <c r="O87" s="810"/>
      <c r="P87" s="810"/>
      <c r="Q87" s="811"/>
    </row>
    <row r="88" spans="1:17" ht="26.25" customHeight="1" x14ac:dyDescent="0.15">
      <c r="A88" s="131"/>
      <c r="B88" s="815" t="s">
        <v>969</v>
      </c>
      <c r="C88" s="816"/>
      <c r="D88" s="219">
        <v>0</v>
      </c>
      <c r="E88" s="132">
        <v>8.0399999999999991</v>
      </c>
      <c r="F88" s="144">
        <v>1.2</v>
      </c>
      <c r="G88" s="144">
        <v>0</v>
      </c>
      <c r="H88" s="132">
        <v>1</v>
      </c>
      <c r="I88" s="132">
        <f>E88*F88</f>
        <v>9.6479999999999979</v>
      </c>
      <c r="J88" s="144" t="s">
        <v>5</v>
      </c>
      <c r="K88" s="219">
        <f>I88*H88</f>
        <v>9.6479999999999979</v>
      </c>
      <c r="L88" s="809"/>
      <c r="M88" s="810"/>
      <c r="N88" s="810"/>
      <c r="O88" s="810"/>
      <c r="P88" s="810"/>
      <c r="Q88" s="811"/>
    </row>
    <row r="89" spans="1:17" ht="22.5" customHeight="1" x14ac:dyDescent="0.15">
      <c r="A89" s="795" t="s">
        <v>149</v>
      </c>
      <c r="B89" s="817"/>
      <c r="C89" s="817"/>
      <c r="D89" s="817"/>
      <c r="E89" s="817"/>
      <c r="F89" s="817"/>
      <c r="G89" s="817"/>
      <c r="H89" s="817"/>
      <c r="I89" s="817"/>
      <c r="J89" s="796"/>
      <c r="K89" s="416">
        <f>SUM(K86:K88)</f>
        <v>63.233099999999993</v>
      </c>
      <c r="L89" s="812"/>
      <c r="M89" s="813"/>
      <c r="N89" s="813"/>
      <c r="O89" s="813"/>
      <c r="P89" s="813"/>
      <c r="Q89" s="814"/>
    </row>
    <row r="90" spans="1:17" x14ac:dyDescent="0.15">
      <c r="A90" s="790"/>
      <c r="B90" s="791"/>
      <c r="C90" s="791"/>
      <c r="D90" s="791"/>
      <c r="E90" s="791"/>
      <c r="F90" s="791"/>
      <c r="G90" s="791"/>
      <c r="H90" s="791"/>
      <c r="I90" s="791"/>
      <c r="J90" s="791"/>
      <c r="K90" s="791"/>
      <c r="L90" s="791"/>
      <c r="M90" s="791"/>
      <c r="N90" s="791"/>
      <c r="O90" s="791"/>
      <c r="P90" s="791"/>
      <c r="Q90" s="792"/>
    </row>
    <row r="91" spans="1:17" s="121" customFormat="1" ht="18" customHeight="1" x14ac:dyDescent="0.15">
      <c r="A91" s="218" t="s">
        <v>0</v>
      </c>
      <c r="B91" s="793" t="s">
        <v>995</v>
      </c>
      <c r="C91" s="794"/>
      <c r="D91" s="794"/>
      <c r="E91" s="794"/>
      <c r="F91" s="794"/>
      <c r="G91" s="794"/>
      <c r="H91" s="794"/>
      <c r="I91" s="794"/>
      <c r="J91" s="794"/>
      <c r="K91" s="794"/>
      <c r="L91" s="794"/>
      <c r="M91" s="794"/>
      <c r="N91" s="821"/>
      <c r="O91" s="216" t="s">
        <v>73</v>
      </c>
      <c r="P91" s="795" t="s">
        <v>5</v>
      </c>
      <c r="Q91" s="796"/>
    </row>
    <row r="92" spans="1:17" x14ac:dyDescent="0.15">
      <c r="A92" s="790"/>
      <c r="B92" s="791"/>
      <c r="C92" s="791"/>
      <c r="D92" s="791"/>
      <c r="E92" s="791"/>
      <c r="F92" s="791"/>
      <c r="G92" s="791"/>
      <c r="H92" s="791"/>
      <c r="I92" s="791"/>
      <c r="J92" s="791"/>
      <c r="K92" s="791"/>
      <c r="L92" s="791"/>
      <c r="M92" s="791"/>
      <c r="N92" s="791"/>
      <c r="O92" s="791"/>
      <c r="P92" s="791"/>
      <c r="Q92" s="792"/>
    </row>
    <row r="93" spans="1:17" s="126" customFormat="1" x14ac:dyDescent="0.15">
      <c r="A93" s="822" t="s">
        <v>150</v>
      </c>
      <c r="B93" s="823" t="s">
        <v>151</v>
      </c>
      <c r="C93" s="823"/>
      <c r="D93" s="802" t="s">
        <v>658</v>
      </c>
      <c r="E93" s="823" t="s">
        <v>152</v>
      </c>
      <c r="F93" s="823"/>
      <c r="G93" s="823"/>
      <c r="H93" s="804" t="s">
        <v>153</v>
      </c>
      <c r="I93" s="802" t="s">
        <v>159</v>
      </c>
      <c r="J93" s="804" t="s">
        <v>73</v>
      </c>
      <c r="K93" s="216" t="s">
        <v>154</v>
      </c>
      <c r="L93" s="806"/>
      <c r="M93" s="807"/>
      <c r="N93" s="807"/>
      <c r="O93" s="807"/>
      <c r="P93" s="807"/>
      <c r="Q93" s="808"/>
    </row>
    <row r="94" spans="1:17" s="130" customFormat="1" x14ac:dyDescent="0.15">
      <c r="A94" s="822"/>
      <c r="B94" s="823"/>
      <c r="C94" s="823"/>
      <c r="D94" s="803"/>
      <c r="E94" s="217" t="s">
        <v>155</v>
      </c>
      <c r="F94" s="217" t="s">
        <v>156</v>
      </c>
      <c r="G94" s="217" t="s">
        <v>157</v>
      </c>
      <c r="H94" s="805"/>
      <c r="I94" s="803"/>
      <c r="J94" s="805"/>
      <c r="K94" s="216" t="s">
        <v>158</v>
      </c>
      <c r="L94" s="809"/>
      <c r="M94" s="810"/>
      <c r="N94" s="810"/>
      <c r="O94" s="810"/>
      <c r="P94" s="810"/>
      <c r="Q94" s="811"/>
    </row>
    <row r="95" spans="1:17" ht="22.5" customHeight="1" x14ac:dyDescent="0.15">
      <c r="A95" s="131"/>
      <c r="B95" s="815" t="s">
        <v>972</v>
      </c>
      <c r="C95" s="816"/>
      <c r="D95" s="219">
        <f>D294*0.6</f>
        <v>391.69799999999992</v>
      </c>
      <c r="E95" s="132">
        <v>0</v>
      </c>
      <c r="F95" s="144">
        <v>0</v>
      </c>
      <c r="G95" s="144">
        <v>5.0000000000000001E-3</v>
      </c>
      <c r="H95" s="132">
        <v>1</v>
      </c>
      <c r="I95" s="132">
        <f>D95</f>
        <v>391.69799999999992</v>
      </c>
      <c r="J95" s="144" t="s">
        <v>5</v>
      </c>
      <c r="K95" s="219">
        <f>I95*H95</f>
        <v>391.69799999999992</v>
      </c>
      <c r="L95" s="809"/>
      <c r="M95" s="810"/>
      <c r="N95" s="810"/>
      <c r="O95" s="810"/>
      <c r="P95" s="810"/>
      <c r="Q95" s="811"/>
    </row>
    <row r="96" spans="1:17" ht="22.5" customHeight="1" x14ac:dyDescent="0.15">
      <c r="A96" s="795" t="s">
        <v>149</v>
      </c>
      <c r="B96" s="817"/>
      <c r="C96" s="817"/>
      <c r="D96" s="817"/>
      <c r="E96" s="817"/>
      <c r="F96" s="817"/>
      <c r="G96" s="817"/>
      <c r="H96" s="817"/>
      <c r="I96" s="817"/>
      <c r="J96" s="796"/>
      <c r="K96" s="416">
        <f>SUM(K95:K95)</f>
        <v>391.69799999999992</v>
      </c>
      <c r="L96" s="812"/>
      <c r="M96" s="813"/>
      <c r="N96" s="813"/>
      <c r="O96" s="813"/>
      <c r="P96" s="813"/>
      <c r="Q96" s="814"/>
    </row>
    <row r="97" spans="1:18" x14ac:dyDescent="0.15">
      <c r="A97" s="790"/>
      <c r="B97" s="791"/>
      <c r="C97" s="791"/>
      <c r="D97" s="791"/>
      <c r="E97" s="791"/>
      <c r="F97" s="791"/>
      <c r="G97" s="791"/>
      <c r="H97" s="791"/>
      <c r="I97" s="791"/>
      <c r="J97" s="791"/>
      <c r="K97" s="791"/>
      <c r="L97" s="791"/>
      <c r="M97" s="791"/>
      <c r="N97" s="791"/>
      <c r="O97" s="791"/>
      <c r="P97" s="791"/>
      <c r="Q97" s="792"/>
    </row>
    <row r="98" spans="1:18" s="121" customFormat="1" ht="18" customHeight="1" x14ac:dyDescent="0.15">
      <c r="A98" s="218" t="s">
        <v>0</v>
      </c>
      <c r="B98" s="827" t="s">
        <v>1532</v>
      </c>
      <c r="C98" s="828"/>
      <c r="D98" s="828"/>
      <c r="E98" s="828"/>
      <c r="F98" s="828"/>
      <c r="G98" s="828"/>
      <c r="H98" s="828"/>
      <c r="I98" s="828"/>
      <c r="J98" s="828"/>
      <c r="K98" s="828"/>
      <c r="L98" s="828"/>
      <c r="M98" s="828"/>
      <c r="N98" s="829"/>
      <c r="O98" s="216" t="s">
        <v>73</v>
      </c>
      <c r="P98" s="795" t="s">
        <v>6</v>
      </c>
      <c r="Q98" s="796"/>
    </row>
    <row r="99" spans="1:18" x14ac:dyDescent="0.15">
      <c r="A99" s="790"/>
      <c r="B99" s="791"/>
      <c r="C99" s="791"/>
      <c r="D99" s="791"/>
      <c r="E99" s="791"/>
      <c r="F99" s="791"/>
      <c r="G99" s="791"/>
      <c r="H99" s="791"/>
      <c r="I99" s="791"/>
      <c r="J99" s="791"/>
      <c r="K99" s="791"/>
      <c r="L99" s="791"/>
      <c r="M99" s="791"/>
      <c r="N99" s="791"/>
      <c r="O99" s="791"/>
      <c r="P99" s="791"/>
      <c r="Q99" s="792"/>
    </row>
    <row r="100" spans="1:18" s="126" customFormat="1" x14ac:dyDescent="0.15">
      <c r="A100" s="822" t="s">
        <v>150</v>
      </c>
      <c r="B100" s="823" t="s">
        <v>151</v>
      </c>
      <c r="C100" s="823"/>
      <c r="D100" s="802" t="s">
        <v>493</v>
      </c>
      <c r="E100" s="823" t="s">
        <v>152</v>
      </c>
      <c r="F100" s="823"/>
      <c r="G100" s="823"/>
      <c r="H100" s="804" t="s">
        <v>153</v>
      </c>
      <c r="I100" s="802" t="s">
        <v>160</v>
      </c>
      <c r="J100" s="804" t="s">
        <v>73</v>
      </c>
      <c r="K100" s="216" t="s">
        <v>154</v>
      </c>
      <c r="L100" s="806"/>
      <c r="M100" s="807"/>
      <c r="N100" s="807"/>
      <c r="O100" s="807"/>
      <c r="P100" s="807"/>
      <c r="Q100" s="808"/>
    </row>
    <row r="101" spans="1:18" s="130" customFormat="1" x14ac:dyDescent="0.15">
      <c r="A101" s="822"/>
      <c r="B101" s="823"/>
      <c r="C101" s="823"/>
      <c r="D101" s="803"/>
      <c r="E101" s="825" t="s">
        <v>657</v>
      </c>
      <c r="F101" s="826"/>
      <c r="G101" s="217" t="s">
        <v>659</v>
      </c>
      <c r="H101" s="805"/>
      <c r="I101" s="803"/>
      <c r="J101" s="805"/>
      <c r="K101" s="216" t="s">
        <v>158</v>
      </c>
      <c r="L101" s="809"/>
      <c r="M101" s="810"/>
      <c r="N101" s="810"/>
      <c r="O101" s="810"/>
      <c r="P101" s="810"/>
      <c r="Q101" s="811"/>
    </row>
    <row r="102" spans="1:18" ht="19.5" customHeight="1" x14ac:dyDescent="0.15">
      <c r="A102" s="131"/>
      <c r="B102" s="815" t="s">
        <v>559</v>
      </c>
      <c r="C102" s="816"/>
      <c r="D102" s="219">
        <v>1.3</v>
      </c>
      <c r="E102" s="824">
        <f>K89</f>
        <v>63.233099999999993</v>
      </c>
      <c r="F102" s="824"/>
      <c r="G102" s="219">
        <v>0.1</v>
      </c>
      <c r="H102" s="132">
        <v>1</v>
      </c>
      <c r="I102" s="132">
        <f>E102*G102</f>
        <v>6.3233099999999993</v>
      </c>
      <c r="J102" s="144" t="s">
        <v>6</v>
      </c>
      <c r="K102" s="219">
        <f>I102*D102</f>
        <v>8.2203029999999995</v>
      </c>
      <c r="L102" s="809"/>
      <c r="M102" s="810"/>
      <c r="N102" s="810"/>
      <c r="O102" s="810"/>
      <c r="P102" s="810"/>
      <c r="Q102" s="811"/>
      <c r="R102" s="221"/>
    </row>
    <row r="103" spans="1:18" ht="19.5" customHeight="1" x14ac:dyDescent="0.15">
      <c r="A103" s="131"/>
      <c r="B103" s="815" t="s">
        <v>992</v>
      </c>
      <c r="C103" s="816"/>
      <c r="D103" s="219">
        <v>1.3</v>
      </c>
      <c r="E103" s="824">
        <f>K73</f>
        <v>49.673199999999994</v>
      </c>
      <c r="F103" s="824"/>
      <c r="G103" s="219">
        <v>0.15</v>
      </c>
      <c r="H103" s="132">
        <v>1</v>
      </c>
      <c r="I103" s="132">
        <f>E103*G103</f>
        <v>7.4509799999999986</v>
      </c>
      <c r="J103" s="144" t="s">
        <v>6</v>
      </c>
      <c r="K103" s="219">
        <f>I103*D103</f>
        <v>9.6862739999999992</v>
      </c>
      <c r="L103" s="809"/>
      <c r="M103" s="810"/>
      <c r="N103" s="810"/>
      <c r="O103" s="810"/>
      <c r="P103" s="810"/>
      <c r="Q103" s="811"/>
    </row>
    <row r="104" spans="1:18" ht="19.5" customHeight="1" x14ac:dyDescent="0.15">
      <c r="A104" s="131"/>
      <c r="B104" s="815" t="s">
        <v>993</v>
      </c>
      <c r="C104" s="816"/>
      <c r="D104" s="219">
        <v>1.3</v>
      </c>
      <c r="E104" s="824">
        <f>K80*0.3</f>
        <v>3.15</v>
      </c>
      <c r="F104" s="824"/>
      <c r="G104" s="219">
        <v>0.3</v>
      </c>
      <c r="H104" s="132">
        <v>1</v>
      </c>
      <c r="I104" s="132">
        <f>E104*G104</f>
        <v>0.94499999999999995</v>
      </c>
      <c r="J104" s="144" t="s">
        <v>6</v>
      </c>
      <c r="K104" s="219">
        <f>I104*D104</f>
        <v>1.2284999999999999</v>
      </c>
      <c r="L104" s="809"/>
      <c r="M104" s="810"/>
      <c r="N104" s="810"/>
      <c r="O104" s="810"/>
      <c r="P104" s="810"/>
      <c r="Q104" s="811"/>
    </row>
    <row r="105" spans="1:18" ht="19.5" customHeight="1" x14ac:dyDescent="0.15">
      <c r="A105" s="131"/>
      <c r="B105" s="815" t="s">
        <v>991</v>
      </c>
      <c r="C105" s="816"/>
      <c r="D105" s="219">
        <v>1.3</v>
      </c>
      <c r="E105" s="824">
        <f>K22</f>
        <v>252</v>
      </c>
      <c r="F105" s="824"/>
      <c r="G105" s="219">
        <v>0.05</v>
      </c>
      <c r="H105" s="132">
        <v>1</v>
      </c>
      <c r="I105" s="132">
        <f>E105*G105</f>
        <v>12.600000000000001</v>
      </c>
      <c r="J105" s="144" t="s">
        <v>6</v>
      </c>
      <c r="K105" s="219">
        <f>I105*D105</f>
        <v>16.380000000000003</v>
      </c>
      <c r="L105" s="809"/>
      <c r="M105" s="810"/>
      <c r="N105" s="810"/>
      <c r="O105" s="810"/>
      <c r="P105" s="810"/>
      <c r="Q105" s="811"/>
    </row>
    <row r="106" spans="1:18" ht="19.5" customHeight="1" x14ac:dyDescent="0.15">
      <c r="A106" s="131"/>
      <c r="B106" s="815" t="s">
        <v>990</v>
      </c>
      <c r="C106" s="816"/>
      <c r="D106" s="219">
        <v>1.3</v>
      </c>
      <c r="E106" s="824">
        <f>K29</f>
        <v>214.27350000000001</v>
      </c>
      <c r="F106" s="824"/>
      <c r="G106" s="219">
        <v>0.05</v>
      </c>
      <c r="H106" s="132">
        <v>1</v>
      </c>
      <c r="I106" s="132">
        <f>E106*G106</f>
        <v>10.713675000000002</v>
      </c>
      <c r="J106" s="144" t="s">
        <v>6</v>
      </c>
      <c r="K106" s="219">
        <f>I106*D106</f>
        <v>13.927777500000003</v>
      </c>
      <c r="L106" s="809"/>
      <c r="M106" s="810"/>
      <c r="N106" s="810"/>
      <c r="O106" s="810"/>
      <c r="P106" s="810"/>
      <c r="Q106" s="811"/>
    </row>
    <row r="107" spans="1:18" ht="22.5" customHeight="1" x14ac:dyDescent="0.15">
      <c r="A107" s="795" t="s">
        <v>149</v>
      </c>
      <c r="B107" s="817"/>
      <c r="C107" s="817"/>
      <c r="D107" s="817"/>
      <c r="E107" s="817"/>
      <c r="F107" s="817"/>
      <c r="G107" s="817"/>
      <c r="H107" s="817"/>
      <c r="I107" s="817"/>
      <c r="J107" s="796"/>
      <c r="K107" s="416">
        <f>SUM(K102:K106)</f>
        <v>49.44285450000001</v>
      </c>
      <c r="L107" s="812"/>
      <c r="M107" s="813"/>
      <c r="N107" s="813"/>
      <c r="O107" s="813"/>
      <c r="P107" s="813"/>
      <c r="Q107" s="814"/>
    </row>
    <row r="108" spans="1:18" x14ac:dyDescent="0.15">
      <c r="A108" s="790"/>
      <c r="B108" s="791"/>
      <c r="C108" s="791"/>
      <c r="D108" s="791"/>
      <c r="E108" s="791"/>
      <c r="F108" s="791"/>
      <c r="G108" s="791"/>
      <c r="H108" s="791"/>
      <c r="I108" s="791"/>
      <c r="J108" s="791"/>
      <c r="K108" s="791"/>
      <c r="L108" s="791"/>
      <c r="M108" s="791"/>
      <c r="N108" s="791"/>
      <c r="O108" s="791"/>
      <c r="P108" s="791"/>
      <c r="Q108" s="792"/>
    </row>
    <row r="109" spans="1:18" s="121" customFormat="1" ht="18" customHeight="1" x14ac:dyDescent="0.15">
      <c r="A109" s="218" t="s">
        <v>0</v>
      </c>
      <c r="B109" s="830" t="s">
        <v>561</v>
      </c>
      <c r="C109" s="831"/>
      <c r="D109" s="831"/>
      <c r="E109" s="831"/>
      <c r="F109" s="831"/>
      <c r="G109" s="831"/>
      <c r="H109" s="831"/>
      <c r="I109" s="831"/>
      <c r="J109" s="831"/>
      <c r="K109" s="831"/>
      <c r="L109" s="831"/>
      <c r="M109" s="831"/>
      <c r="N109" s="831"/>
      <c r="O109" s="216" t="s">
        <v>73</v>
      </c>
      <c r="P109" s="795" t="s">
        <v>6</v>
      </c>
      <c r="Q109" s="796"/>
    </row>
    <row r="110" spans="1:18" x14ac:dyDescent="0.15">
      <c r="A110" s="790"/>
      <c r="B110" s="791"/>
      <c r="C110" s="791"/>
      <c r="D110" s="791"/>
      <c r="E110" s="791"/>
      <c r="F110" s="791"/>
      <c r="G110" s="791"/>
      <c r="H110" s="791"/>
      <c r="I110" s="791"/>
      <c r="J110" s="791"/>
      <c r="K110" s="791"/>
      <c r="L110" s="791"/>
      <c r="M110" s="791"/>
      <c r="N110" s="791"/>
      <c r="O110" s="791"/>
      <c r="P110" s="791"/>
      <c r="Q110" s="792"/>
    </row>
    <row r="111" spans="1:18" s="126" customFormat="1" x14ac:dyDescent="0.15">
      <c r="A111" s="822" t="s">
        <v>150</v>
      </c>
      <c r="B111" s="823" t="s">
        <v>151</v>
      </c>
      <c r="C111" s="823"/>
      <c r="D111" s="802"/>
      <c r="E111" s="823" t="s">
        <v>152</v>
      </c>
      <c r="F111" s="823"/>
      <c r="G111" s="823"/>
      <c r="H111" s="802" t="s">
        <v>153</v>
      </c>
      <c r="I111" s="802" t="s">
        <v>160</v>
      </c>
      <c r="J111" s="804" t="s">
        <v>73</v>
      </c>
      <c r="K111" s="216" t="s">
        <v>154</v>
      </c>
      <c r="L111" s="123"/>
      <c r="M111" s="124"/>
      <c r="N111" s="124"/>
      <c r="O111" s="124"/>
      <c r="P111" s="124"/>
      <c r="Q111" s="125"/>
    </row>
    <row r="112" spans="1:18" s="130" customFormat="1" x14ac:dyDescent="0.15">
      <c r="A112" s="822"/>
      <c r="B112" s="823"/>
      <c r="C112" s="823"/>
      <c r="D112" s="803"/>
      <c r="E112" s="217" t="s">
        <v>155</v>
      </c>
      <c r="F112" s="217" t="s">
        <v>156</v>
      </c>
      <c r="G112" s="217" t="s">
        <v>157</v>
      </c>
      <c r="H112" s="803"/>
      <c r="I112" s="803"/>
      <c r="J112" s="805"/>
      <c r="K112" s="216" t="s">
        <v>158</v>
      </c>
      <c r="L112" s="127"/>
      <c r="M112" s="128"/>
      <c r="N112" s="128"/>
      <c r="O112" s="128"/>
      <c r="P112" s="128"/>
      <c r="Q112" s="129"/>
    </row>
    <row r="113" spans="1:19" ht="31.5" customHeight="1" x14ac:dyDescent="0.15">
      <c r="A113" s="148"/>
      <c r="B113" s="788" t="s">
        <v>1147</v>
      </c>
      <c r="C113" s="789"/>
      <c r="D113" s="149"/>
      <c r="E113" s="143">
        <v>1</v>
      </c>
      <c r="F113" s="143">
        <v>1</v>
      </c>
      <c r="G113" s="143">
        <v>1.2</v>
      </c>
      <c r="H113" s="143">
        <v>1</v>
      </c>
      <c r="I113" s="143">
        <f t="shared" ref="I113" si="0">(E113*F113*G113)</f>
        <v>1.2</v>
      </c>
      <c r="J113" s="133" t="s">
        <v>6</v>
      </c>
      <c r="K113" s="143">
        <f t="shared" ref="K113" si="1">I113*H113</f>
        <v>1.2</v>
      </c>
      <c r="L113" s="127"/>
      <c r="M113" s="128"/>
      <c r="N113" s="128"/>
      <c r="O113" s="128"/>
      <c r="P113" s="128"/>
      <c r="Q113" s="129"/>
      <c r="S113" s="369"/>
    </row>
    <row r="114" spans="1:19" ht="31.5" customHeight="1" x14ac:dyDescent="0.15">
      <c r="A114" s="148"/>
      <c r="B114" s="788" t="s">
        <v>1538</v>
      </c>
      <c r="C114" s="789"/>
      <c r="D114" s="149"/>
      <c r="E114" s="143">
        <v>0.6</v>
      </c>
      <c r="F114" s="143">
        <v>0.6</v>
      </c>
      <c r="G114" s="143">
        <v>0.9</v>
      </c>
      <c r="H114" s="143">
        <v>2</v>
      </c>
      <c r="I114" s="143">
        <f t="shared" ref="I114" si="2">(E114*F114*G114)</f>
        <v>0.32400000000000001</v>
      </c>
      <c r="J114" s="133" t="s">
        <v>6</v>
      </c>
      <c r="K114" s="143">
        <f t="shared" ref="K114" si="3">I114*H114</f>
        <v>0.64800000000000002</v>
      </c>
      <c r="L114" s="127"/>
      <c r="M114" s="128"/>
      <c r="N114" s="128"/>
      <c r="O114" s="128"/>
      <c r="P114" s="128"/>
      <c r="Q114" s="129"/>
      <c r="S114" s="369"/>
    </row>
    <row r="115" spans="1:19" ht="31.5" customHeight="1" x14ac:dyDescent="0.15">
      <c r="A115" s="148"/>
      <c r="B115" s="788" t="s">
        <v>1539</v>
      </c>
      <c r="C115" s="789"/>
      <c r="D115" s="149"/>
      <c r="E115" s="143">
        <v>0.6</v>
      </c>
      <c r="F115" s="143">
        <v>0.6</v>
      </c>
      <c r="G115" s="143">
        <v>0.9</v>
      </c>
      <c r="H115" s="143">
        <v>3</v>
      </c>
      <c r="I115" s="143">
        <f t="shared" ref="I115" si="4">(E115*F115*G115)</f>
        <v>0.32400000000000001</v>
      </c>
      <c r="J115" s="133" t="s">
        <v>6</v>
      </c>
      <c r="K115" s="143">
        <f t="shared" ref="K115" si="5">I115*H115</f>
        <v>0.97199999999999998</v>
      </c>
      <c r="L115" s="127"/>
      <c r="M115" s="128"/>
      <c r="N115" s="128"/>
      <c r="O115" s="128"/>
      <c r="P115" s="128"/>
      <c r="Q115" s="129"/>
      <c r="S115" s="369"/>
    </row>
    <row r="116" spans="1:19" ht="31.5" customHeight="1" x14ac:dyDescent="0.15">
      <c r="A116" s="148"/>
      <c r="B116" s="788" t="s">
        <v>1540</v>
      </c>
      <c r="C116" s="789"/>
      <c r="D116" s="149"/>
      <c r="E116" s="143">
        <v>11.87</v>
      </c>
      <c r="F116" s="143">
        <v>0.25</v>
      </c>
      <c r="G116" s="143">
        <v>0.25</v>
      </c>
      <c r="H116" s="143">
        <v>1</v>
      </c>
      <c r="I116" s="143">
        <f t="shared" ref="I116:I118" si="6">(E116*F116*G116)</f>
        <v>0.74187499999999995</v>
      </c>
      <c r="J116" s="133" t="s">
        <v>6</v>
      </c>
      <c r="K116" s="143">
        <f t="shared" ref="K116" si="7">I116*H116</f>
        <v>0.74187499999999995</v>
      </c>
      <c r="L116" s="127"/>
      <c r="M116" s="128"/>
      <c r="N116" s="128"/>
      <c r="O116" s="128"/>
      <c r="P116" s="128"/>
      <c r="Q116" s="129"/>
    </row>
    <row r="117" spans="1:19" ht="31.5" customHeight="1" x14ac:dyDescent="0.15">
      <c r="A117" s="148"/>
      <c r="B117" s="788" t="s">
        <v>1541</v>
      </c>
      <c r="C117" s="789"/>
      <c r="D117" s="149"/>
      <c r="E117" s="143">
        <v>8.0399999999999991</v>
      </c>
      <c r="F117" s="143">
        <v>0.25</v>
      </c>
      <c r="G117" s="143">
        <v>0.25</v>
      </c>
      <c r="H117" s="143">
        <v>1</v>
      </c>
      <c r="I117" s="143">
        <f t="shared" ref="I117" si="8">(E117*F117*G117)</f>
        <v>0.50249999999999995</v>
      </c>
      <c r="J117" s="133" t="s">
        <v>6</v>
      </c>
      <c r="K117" s="143">
        <f t="shared" ref="K117" si="9">I117*H117</f>
        <v>0.50249999999999995</v>
      </c>
      <c r="L117" s="127"/>
      <c r="M117" s="128"/>
      <c r="N117" s="128"/>
      <c r="O117" s="128"/>
      <c r="P117" s="128"/>
      <c r="Q117" s="129"/>
    </row>
    <row r="118" spans="1:19" ht="31.5" customHeight="1" x14ac:dyDescent="0.15">
      <c r="A118" s="148"/>
      <c r="B118" s="788" t="s">
        <v>997</v>
      </c>
      <c r="C118" s="789"/>
      <c r="D118" s="149"/>
      <c r="E118" s="143">
        <v>14.57</v>
      </c>
      <c r="F118" s="143">
        <v>0.25</v>
      </c>
      <c r="G118" s="143">
        <v>0.25</v>
      </c>
      <c r="H118" s="143">
        <v>1</v>
      </c>
      <c r="I118" s="143">
        <f t="shared" si="6"/>
        <v>0.91062500000000002</v>
      </c>
      <c r="J118" s="133" t="s">
        <v>6</v>
      </c>
      <c r="K118" s="143">
        <f t="shared" ref="K118" si="10">I118*H118</f>
        <v>0.91062500000000002</v>
      </c>
      <c r="L118" s="127"/>
      <c r="M118" s="128"/>
      <c r="N118" s="128"/>
      <c r="O118" s="128"/>
      <c r="P118" s="128"/>
      <c r="Q118" s="129"/>
    </row>
    <row r="119" spans="1:19" ht="31.5" customHeight="1" x14ac:dyDescent="0.15">
      <c r="A119" s="148"/>
      <c r="B119" s="788" t="s">
        <v>1509</v>
      </c>
      <c r="C119" s="789"/>
      <c r="D119" s="149"/>
      <c r="E119" s="143">
        <v>8.0399999999999991</v>
      </c>
      <c r="F119" s="143">
        <v>0.25</v>
      </c>
      <c r="G119" s="143">
        <v>0.25</v>
      </c>
      <c r="H119" s="143">
        <v>1</v>
      </c>
      <c r="I119" s="143">
        <f t="shared" ref="I119" si="11">(E119*F119*G119)</f>
        <v>0.50249999999999995</v>
      </c>
      <c r="J119" s="133" t="s">
        <v>6</v>
      </c>
      <c r="K119" s="143">
        <f t="shared" ref="K119" si="12">I119*H119</f>
        <v>0.50249999999999995</v>
      </c>
      <c r="L119" s="127"/>
      <c r="M119" s="128"/>
      <c r="N119" s="128"/>
      <c r="O119" s="128"/>
      <c r="P119" s="128"/>
      <c r="Q119" s="129"/>
    </row>
    <row r="120" spans="1:19" ht="31.5" customHeight="1" x14ac:dyDescent="0.15">
      <c r="A120" s="148"/>
      <c r="B120" s="788" t="s">
        <v>1005</v>
      </c>
      <c r="C120" s="789"/>
      <c r="D120" s="149"/>
      <c r="E120" s="143">
        <v>2.5</v>
      </c>
      <c r="F120" s="143">
        <v>1.5</v>
      </c>
      <c r="G120" s="143">
        <v>1.6</v>
      </c>
      <c r="H120" s="143">
        <v>1</v>
      </c>
      <c r="I120" s="143">
        <f t="shared" ref="I120" si="13">(E120*F120*G120)</f>
        <v>6</v>
      </c>
      <c r="J120" s="133" t="s">
        <v>6</v>
      </c>
      <c r="K120" s="143">
        <f t="shared" ref="K120" si="14">I120*H120</f>
        <v>6</v>
      </c>
      <c r="L120" s="127"/>
      <c r="M120" s="128"/>
      <c r="N120" s="128"/>
      <c r="O120" s="128"/>
      <c r="P120" s="128"/>
      <c r="Q120" s="129"/>
    </row>
    <row r="121" spans="1:19" ht="14" x14ac:dyDescent="0.15">
      <c r="A121" s="795" t="s">
        <v>149</v>
      </c>
      <c r="B121" s="817"/>
      <c r="C121" s="817"/>
      <c r="D121" s="817"/>
      <c r="E121" s="817"/>
      <c r="F121" s="817"/>
      <c r="G121" s="817"/>
      <c r="H121" s="817"/>
      <c r="I121" s="817"/>
      <c r="J121" s="796"/>
      <c r="K121" s="416">
        <f>SUM(K113:K120)</f>
        <v>11.477499999999999</v>
      </c>
      <c r="L121" s="134"/>
      <c r="M121" s="135"/>
      <c r="N121" s="135"/>
      <c r="O121" s="135"/>
      <c r="P121" s="135"/>
      <c r="Q121" s="136"/>
    </row>
    <row r="122" spans="1:19" x14ac:dyDescent="0.15">
      <c r="A122" s="790"/>
      <c r="B122" s="791"/>
      <c r="C122" s="791"/>
      <c r="D122" s="791"/>
      <c r="E122" s="791"/>
      <c r="F122" s="791"/>
      <c r="G122" s="791"/>
      <c r="H122" s="791"/>
      <c r="I122" s="791"/>
      <c r="J122" s="791"/>
      <c r="K122" s="791"/>
      <c r="L122" s="791"/>
      <c r="M122" s="791"/>
      <c r="N122" s="791"/>
      <c r="O122" s="791"/>
      <c r="P122" s="791"/>
      <c r="Q122" s="792"/>
    </row>
    <row r="123" spans="1:19" s="121" customFormat="1" ht="18" customHeight="1" x14ac:dyDescent="0.15">
      <c r="A123" s="218" t="s">
        <v>0</v>
      </c>
      <c r="B123" s="830" t="s">
        <v>523</v>
      </c>
      <c r="C123" s="831"/>
      <c r="D123" s="831"/>
      <c r="E123" s="831"/>
      <c r="F123" s="831"/>
      <c r="G123" s="831"/>
      <c r="H123" s="831"/>
      <c r="I123" s="831"/>
      <c r="J123" s="831"/>
      <c r="K123" s="831"/>
      <c r="L123" s="831"/>
      <c r="M123" s="831"/>
      <c r="N123" s="831"/>
      <c r="O123" s="216" t="s">
        <v>73</v>
      </c>
      <c r="P123" s="795" t="s">
        <v>6</v>
      </c>
      <c r="Q123" s="796"/>
    </row>
    <row r="124" spans="1:19" x14ac:dyDescent="0.15">
      <c r="A124" s="790"/>
      <c r="B124" s="791"/>
      <c r="C124" s="791"/>
      <c r="D124" s="791"/>
      <c r="E124" s="791"/>
      <c r="F124" s="791"/>
      <c r="G124" s="791"/>
      <c r="H124" s="791"/>
      <c r="I124" s="791"/>
      <c r="J124" s="791"/>
      <c r="K124" s="791"/>
      <c r="L124" s="791"/>
      <c r="M124" s="791"/>
      <c r="N124" s="791"/>
      <c r="O124" s="791"/>
      <c r="P124" s="791"/>
      <c r="Q124" s="792"/>
    </row>
    <row r="125" spans="1:19" s="126" customFormat="1" x14ac:dyDescent="0.15">
      <c r="A125" s="822" t="s">
        <v>150</v>
      </c>
      <c r="B125" s="823" t="s">
        <v>151</v>
      </c>
      <c r="C125" s="823"/>
      <c r="D125" s="832" t="s">
        <v>490</v>
      </c>
      <c r="E125" s="823" t="s">
        <v>152</v>
      </c>
      <c r="F125" s="823"/>
      <c r="G125" s="823"/>
      <c r="H125" s="802" t="s">
        <v>153</v>
      </c>
      <c r="I125" s="802" t="s">
        <v>160</v>
      </c>
      <c r="J125" s="804" t="s">
        <v>73</v>
      </c>
      <c r="K125" s="216" t="s">
        <v>154</v>
      </c>
      <c r="L125" s="123"/>
      <c r="M125" s="124"/>
      <c r="N125" s="124"/>
      <c r="O125" s="124"/>
      <c r="P125" s="124"/>
      <c r="Q125" s="125"/>
    </row>
    <row r="126" spans="1:19" s="130" customFormat="1" x14ac:dyDescent="0.15">
      <c r="A126" s="822"/>
      <c r="B126" s="823"/>
      <c r="C126" s="823"/>
      <c r="D126" s="833"/>
      <c r="E126" s="217" t="s">
        <v>155</v>
      </c>
      <c r="F126" s="217" t="s">
        <v>156</v>
      </c>
      <c r="G126" s="217" t="s">
        <v>157</v>
      </c>
      <c r="H126" s="803"/>
      <c r="I126" s="803"/>
      <c r="J126" s="805"/>
      <c r="K126" s="216" t="s">
        <v>158</v>
      </c>
      <c r="L126" s="127"/>
      <c r="M126" s="128"/>
      <c r="N126" s="128"/>
      <c r="O126" s="128"/>
      <c r="P126" s="128"/>
      <c r="Q126" s="129"/>
    </row>
    <row r="127" spans="1:19" ht="33" customHeight="1" x14ac:dyDescent="0.15">
      <c r="A127" s="148"/>
      <c r="B127" s="788" t="s">
        <v>1147</v>
      </c>
      <c r="C127" s="789"/>
      <c r="D127" s="143">
        <f>(0.3*0.3*0.6*H127)</f>
        <v>5.3999999999999999E-2</v>
      </c>
      <c r="E127" s="143">
        <v>1</v>
      </c>
      <c r="F127" s="143">
        <v>1</v>
      </c>
      <c r="G127" s="143">
        <v>0.6</v>
      </c>
      <c r="H127" s="143">
        <v>1</v>
      </c>
      <c r="I127" s="143">
        <f t="shared" ref="I127:I128" si="15">(E127*F127*G127)</f>
        <v>0.6</v>
      </c>
      <c r="J127" s="133" t="s">
        <v>6</v>
      </c>
      <c r="K127" s="143">
        <f t="shared" ref="K127:K128" si="16">(I127*H127)-D127</f>
        <v>0.54599999999999993</v>
      </c>
      <c r="L127" s="127"/>
      <c r="M127" s="128"/>
      <c r="N127" s="128"/>
      <c r="O127" s="128"/>
      <c r="P127" s="128"/>
      <c r="Q127" s="129"/>
    </row>
    <row r="128" spans="1:19" ht="33" customHeight="1" x14ac:dyDescent="0.15">
      <c r="A128" s="148"/>
      <c r="B128" s="788" t="s">
        <v>1538</v>
      </c>
      <c r="C128" s="789"/>
      <c r="D128" s="143">
        <f>(0.25*0.25*0.4*H128)</f>
        <v>0.05</v>
      </c>
      <c r="E128" s="143">
        <v>0.6</v>
      </c>
      <c r="F128" s="143">
        <v>0.6</v>
      </c>
      <c r="G128" s="143">
        <v>0.4</v>
      </c>
      <c r="H128" s="143">
        <v>2</v>
      </c>
      <c r="I128" s="143">
        <f t="shared" si="15"/>
        <v>0.14399999999999999</v>
      </c>
      <c r="J128" s="133" t="s">
        <v>6</v>
      </c>
      <c r="K128" s="143">
        <f t="shared" si="16"/>
        <v>0.23799999999999999</v>
      </c>
      <c r="L128" s="127"/>
      <c r="M128" s="128"/>
      <c r="N128" s="128"/>
      <c r="O128" s="128"/>
      <c r="P128" s="128"/>
      <c r="Q128" s="129"/>
    </row>
    <row r="129" spans="1:17" ht="33" customHeight="1" x14ac:dyDescent="0.15">
      <c r="A129" s="148"/>
      <c r="B129" s="788" t="s">
        <v>1539</v>
      </c>
      <c r="C129" s="789"/>
      <c r="D129" s="143">
        <f>(0.25*0.25*0.4*H129)</f>
        <v>7.5000000000000011E-2</v>
      </c>
      <c r="E129" s="143">
        <v>0.6</v>
      </c>
      <c r="F129" s="143">
        <v>0.6</v>
      </c>
      <c r="G129" s="143">
        <v>0.4</v>
      </c>
      <c r="H129" s="143">
        <v>3</v>
      </c>
      <c r="I129" s="143">
        <f t="shared" ref="I129" si="17">(E129*F129*G129)</f>
        <v>0.14399999999999999</v>
      </c>
      <c r="J129" s="133" t="s">
        <v>6</v>
      </c>
      <c r="K129" s="143">
        <f t="shared" ref="K129" si="18">(I129*H129)-D129</f>
        <v>0.35699999999999993</v>
      </c>
      <c r="L129" s="127"/>
      <c r="M129" s="128"/>
      <c r="N129" s="128"/>
      <c r="O129" s="128"/>
      <c r="P129" s="128"/>
      <c r="Q129" s="129"/>
    </row>
    <row r="130" spans="1:17" ht="14" x14ac:dyDescent="0.15">
      <c r="A130" s="795" t="s">
        <v>149</v>
      </c>
      <c r="B130" s="817"/>
      <c r="C130" s="817"/>
      <c r="D130" s="817"/>
      <c r="E130" s="817"/>
      <c r="F130" s="817"/>
      <c r="G130" s="817"/>
      <c r="H130" s="817"/>
      <c r="I130" s="817"/>
      <c r="J130" s="796"/>
      <c r="K130" s="416">
        <f>SUM(K127:K129)</f>
        <v>1.1409999999999998</v>
      </c>
      <c r="L130" s="134"/>
      <c r="M130" s="135"/>
      <c r="N130" s="135"/>
      <c r="O130" s="135"/>
      <c r="P130" s="135"/>
      <c r="Q130" s="136"/>
    </row>
    <row r="131" spans="1:17" x14ac:dyDescent="0.15">
      <c r="A131" s="790"/>
      <c r="B131" s="791"/>
      <c r="C131" s="791"/>
      <c r="D131" s="791"/>
      <c r="E131" s="791"/>
      <c r="F131" s="791"/>
      <c r="G131" s="791"/>
      <c r="H131" s="791"/>
      <c r="I131" s="791"/>
      <c r="J131" s="791"/>
      <c r="K131" s="791"/>
      <c r="L131" s="791"/>
      <c r="M131" s="791"/>
      <c r="N131" s="791"/>
      <c r="O131" s="791"/>
      <c r="P131" s="791"/>
      <c r="Q131" s="792"/>
    </row>
    <row r="132" spans="1:17" s="121" customFormat="1" ht="18" customHeight="1" x14ac:dyDescent="0.15">
      <c r="A132" s="218" t="s">
        <v>0</v>
      </c>
      <c r="B132" s="830" t="s">
        <v>1003</v>
      </c>
      <c r="C132" s="831"/>
      <c r="D132" s="831"/>
      <c r="E132" s="831"/>
      <c r="F132" s="831"/>
      <c r="G132" s="831"/>
      <c r="H132" s="831"/>
      <c r="I132" s="831"/>
      <c r="J132" s="831"/>
      <c r="K132" s="831"/>
      <c r="L132" s="831"/>
      <c r="M132" s="831"/>
      <c r="N132" s="831"/>
      <c r="O132" s="216" t="s">
        <v>73</v>
      </c>
      <c r="P132" s="795" t="s">
        <v>6</v>
      </c>
      <c r="Q132" s="796"/>
    </row>
    <row r="133" spans="1:17" x14ac:dyDescent="0.15">
      <c r="A133" s="790"/>
      <c r="B133" s="791"/>
      <c r="C133" s="791"/>
      <c r="D133" s="791"/>
      <c r="E133" s="791"/>
      <c r="F133" s="791"/>
      <c r="G133" s="791"/>
      <c r="H133" s="791"/>
      <c r="I133" s="791"/>
      <c r="J133" s="791"/>
      <c r="K133" s="791"/>
      <c r="L133" s="791"/>
      <c r="M133" s="791"/>
      <c r="N133" s="791"/>
      <c r="O133" s="791"/>
      <c r="P133" s="791"/>
      <c r="Q133" s="792"/>
    </row>
    <row r="134" spans="1:17" s="126" customFormat="1" x14ac:dyDescent="0.15">
      <c r="A134" s="822" t="s">
        <v>150</v>
      </c>
      <c r="B134" s="823" t="s">
        <v>151</v>
      </c>
      <c r="C134" s="823"/>
      <c r="D134" s="825" t="s">
        <v>152</v>
      </c>
      <c r="E134" s="826"/>
      <c r="F134" s="826"/>
      <c r="G134" s="834"/>
      <c r="H134" s="802" t="s">
        <v>153</v>
      </c>
      <c r="I134" s="802" t="s">
        <v>160</v>
      </c>
      <c r="J134" s="832" t="s">
        <v>495</v>
      </c>
      <c r="K134" s="804" t="s">
        <v>73</v>
      </c>
      <c r="L134" s="216" t="s">
        <v>154</v>
      </c>
      <c r="M134" s="806"/>
      <c r="N134" s="807"/>
      <c r="O134" s="807"/>
      <c r="P134" s="807"/>
      <c r="Q134" s="808"/>
    </row>
    <row r="135" spans="1:17" s="130" customFormat="1" x14ac:dyDescent="0.15">
      <c r="A135" s="822"/>
      <c r="B135" s="823"/>
      <c r="C135" s="823"/>
      <c r="D135" s="217" t="s">
        <v>624</v>
      </c>
      <c r="E135" s="217" t="s">
        <v>155</v>
      </c>
      <c r="F135" s="217" t="s">
        <v>156</v>
      </c>
      <c r="G135" s="217" t="s">
        <v>157</v>
      </c>
      <c r="H135" s="803"/>
      <c r="I135" s="803"/>
      <c r="J135" s="833"/>
      <c r="K135" s="805"/>
      <c r="L135" s="216" t="s">
        <v>158</v>
      </c>
      <c r="M135" s="809"/>
      <c r="N135" s="810"/>
      <c r="O135" s="810"/>
      <c r="P135" s="810"/>
      <c r="Q135" s="811"/>
    </row>
    <row r="136" spans="1:17" ht="27" customHeight="1" x14ac:dyDescent="0.15">
      <c r="A136" s="148"/>
      <c r="B136" s="815" t="s">
        <v>999</v>
      </c>
      <c r="C136" s="816"/>
      <c r="D136" s="671">
        <v>0</v>
      </c>
      <c r="E136" s="143">
        <v>11.87</v>
      </c>
      <c r="F136" s="143">
        <v>2.82</v>
      </c>
      <c r="G136" s="143">
        <v>0.8</v>
      </c>
      <c r="H136" s="143">
        <v>1</v>
      </c>
      <c r="I136" s="143">
        <f t="shared" ref="I136:I143" si="19">E136*F136*G136</f>
        <v>26.77872</v>
      </c>
      <c r="J136" s="143">
        <v>0</v>
      </c>
      <c r="K136" s="133" t="s">
        <v>6</v>
      </c>
      <c r="L136" s="143">
        <f>I136*H136</f>
        <v>26.77872</v>
      </c>
      <c r="M136" s="809"/>
      <c r="N136" s="810"/>
      <c r="O136" s="810"/>
      <c r="P136" s="810"/>
      <c r="Q136" s="811"/>
    </row>
    <row r="137" spans="1:17" ht="27" customHeight="1" x14ac:dyDescent="0.15">
      <c r="A137" s="148"/>
      <c r="B137" s="815" t="s">
        <v>1000</v>
      </c>
      <c r="C137" s="816"/>
      <c r="D137" s="671">
        <v>0</v>
      </c>
      <c r="E137" s="143">
        <v>5.46</v>
      </c>
      <c r="F137" s="143">
        <v>2.82</v>
      </c>
      <c r="G137" s="143">
        <v>0.8</v>
      </c>
      <c r="H137" s="143">
        <v>1</v>
      </c>
      <c r="I137" s="143">
        <f t="shared" si="19"/>
        <v>12.31776</v>
      </c>
      <c r="J137" s="143">
        <v>0</v>
      </c>
      <c r="K137" s="133" t="s">
        <v>6</v>
      </c>
      <c r="L137" s="143">
        <f>I137*H137</f>
        <v>12.31776</v>
      </c>
      <c r="M137" s="809"/>
      <c r="N137" s="810"/>
      <c r="O137" s="810"/>
      <c r="P137" s="810"/>
      <c r="Q137" s="811"/>
    </row>
    <row r="138" spans="1:17" ht="27" customHeight="1" x14ac:dyDescent="0.15">
      <c r="A138" s="148"/>
      <c r="B138" s="815" t="s">
        <v>1001</v>
      </c>
      <c r="C138" s="816"/>
      <c r="D138" s="671">
        <v>0</v>
      </c>
      <c r="E138" s="143">
        <v>4.51</v>
      </c>
      <c r="F138" s="143">
        <v>3.54</v>
      </c>
      <c r="G138" s="143">
        <v>0.8</v>
      </c>
      <c r="H138" s="143">
        <v>1</v>
      </c>
      <c r="I138" s="143">
        <f t="shared" si="19"/>
        <v>12.772320000000001</v>
      </c>
      <c r="J138" s="143">
        <v>0</v>
      </c>
      <c r="K138" s="133" t="s">
        <v>6</v>
      </c>
      <c r="L138" s="143">
        <f>I138*H138</f>
        <v>12.772320000000001</v>
      </c>
      <c r="M138" s="809"/>
      <c r="N138" s="810"/>
      <c r="O138" s="810"/>
      <c r="P138" s="810"/>
      <c r="Q138" s="811"/>
    </row>
    <row r="139" spans="1:17" ht="27" customHeight="1" x14ac:dyDescent="0.15">
      <c r="A139" s="148"/>
      <c r="B139" s="815" t="s">
        <v>1002</v>
      </c>
      <c r="C139" s="816"/>
      <c r="D139" s="671">
        <v>0</v>
      </c>
      <c r="E139" s="143">
        <v>4.51</v>
      </c>
      <c r="F139" s="143">
        <v>4.0599999999999996</v>
      </c>
      <c r="G139" s="143">
        <v>0.8</v>
      </c>
      <c r="H139" s="143">
        <v>1</v>
      </c>
      <c r="I139" s="143">
        <f t="shared" si="19"/>
        <v>14.648479999999999</v>
      </c>
      <c r="J139" s="143">
        <v>0</v>
      </c>
      <c r="K139" s="133" t="s">
        <v>6</v>
      </c>
      <c r="L139" s="143">
        <f>I139*H139</f>
        <v>14.648479999999999</v>
      </c>
      <c r="M139" s="809"/>
      <c r="N139" s="810"/>
      <c r="O139" s="810"/>
      <c r="P139" s="810"/>
      <c r="Q139" s="811"/>
    </row>
    <row r="140" spans="1:17" ht="33" customHeight="1" x14ac:dyDescent="0.15">
      <c r="A140" s="148"/>
      <c r="B140" s="788" t="s">
        <v>1147</v>
      </c>
      <c r="C140" s="789"/>
      <c r="D140" s="143">
        <v>0</v>
      </c>
      <c r="E140" s="143">
        <v>1</v>
      </c>
      <c r="F140" s="143">
        <v>1</v>
      </c>
      <c r="G140" s="143">
        <v>0.1</v>
      </c>
      <c r="H140" s="143">
        <v>1</v>
      </c>
      <c r="I140" s="143">
        <f t="shared" si="19"/>
        <v>0.1</v>
      </c>
      <c r="J140" s="143">
        <v>0</v>
      </c>
      <c r="K140" s="133" t="s">
        <v>6</v>
      </c>
      <c r="L140" s="143">
        <f>H140*I140</f>
        <v>0.1</v>
      </c>
      <c r="M140" s="809"/>
      <c r="N140" s="810"/>
      <c r="O140" s="810"/>
      <c r="P140" s="810"/>
      <c r="Q140" s="811"/>
    </row>
    <row r="141" spans="1:17" ht="33" customHeight="1" x14ac:dyDescent="0.15">
      <c r="A141" s="148"/>
      <c r="B141" s="788" t="s">
        <v>1538</v>
      </c>
      <c r="C141" s="789"/>
      <c r="D141" s="143">
        <v>0</v>
      </c>
      <c r="E141" s="143">
        <v>0.6</v>
      </c>
      <c r="F141" s="143">
        <v>0.6</v>
      </c>
      <c r="G141" s="143">
        <v>0.1</v>
      </c>
      <c r="H141" s="143">
        <v>2</v>
      </c>
      <c r="I141" s="143">
        <f t="shared" si="19"/>
        <v>3.5999999999999997E-2</v>
      </c>
      <c r="J141" s="143">
        <v>0</v>
      </c>
      <c r="K141" s="133" t="s">
        <v>6</v>
      </c>
      <c r="L141" s="143">
        <f t="shared" ref="L141:L143" si="20">H141*I141</f>
        <v>7.1999999999999995E-2</v>
      </c>
      <c r="M141" s="809"/>
      <c r="N141" s="810"/>
      <c r="O141" s="810"/>
      <c r="P141" s="810"/>
      <c r="Q141" s="811"/>
    </row>
    <row r="142" spans="1:17" ht="33" customHeight="1" x14ac:dyDescent="0.15">
      <c r="A142" s="148"/>
      <c r="B142" s="788" t="s">
        <v>1539</v>
      </c>
      <c r="C142" s="789"/>
      <c r="D142" s="143">
        <v>0</v>
      </c>
      <c r="E142" s="143">
        <v>0.6</v>
      </c>
      <c r="F142" s="143">
        <v>0.6</v>
      </c>
      <c r="G142" s="143">
        <v>0.1</v>
      </c>
      <c r="H142" s="143">
        <v>3</v>
      </c>
      <c r="I142" s="143">
        <f t="shared" si="19"/>
        <v>3.5999999999999997E-2</v>
      </c>
      <c r="J142" s="143">
        <v>0</v>
      </c>
      <c r="K142" s="133" t="s">
        <v>6</v>
      </c>
      <c r="L142" s="143">
        <f t="shared" si="20"/>
        <v>0.10799999999999998</v>
      </c>
      <c r="M142" s="809"/>
      <c r="N142" s="810"/>
      <c r="O142" s="810"/>
      <c r="P142" s="810"/>
      <c r="Q142" s="811"/>
    </row>
    <row r="143" spans="1:17" ht="33" customHeight="1" x14ac:dyDescent="0.15">
      <c r="A143" s="148"/>
      <c r="B143" s="788" t="s">
        <v>1005</v>
      </c>
      <c r="C143" s="789"/>
      <c r="D143" s="143">
        <v>0</v>
      </c>
      <c r="E143" s="143">
        <v>2.5</v>
      </c>
      <c r="F143" s="143">
        <v>1.5</v>
      </c>
      <c r="G143" s="143">
        <v>0.1</v>
      </c>
      <c r="H143" s="143">
        <v>1</v>
      </c>
      <c r="I143" s="143">
        <f t="shared" si="19"/>
        <v>0.375</v>
      </c>
      <c r="J143" s="143">
        <v>0</v>
      </c>
      <c r="K143" s="133" t="s">
        <v>6</v>
      </c>
      <c r="L143" s="143">
        <f t="shared" si="20"/>
        <v>0.375</v>
      </c>
      <c r="M143" s="809"/>
      <c r="N143" s="810"/>
      <c r="O143" s="810"/>
      <c r="P143" s="810"/>
      <c r="Q143" s="811"/>
    </row>
    <row r="144" spans="1:17" ht="14" x14ac:dyDescent="0.15">
      <c r="A144" s="795" t="s">
        <v>149</v>
      </c>
      <c r="B144" s="817"/>
      <c r="C144" s="817"/>
      <c r="D144" s="817"/>
      <c r="E144" s="817"/>
      <c r="F144" s="817"/>
      <c r="G144" s="817"/>
      <c r="H144" s="817"/>
      <c r="I144" s="817"/>
      <c r="J144" s="817"/>
      <c r="K144" s="796"/>
      <c r="L144" s="416">
        <f>SUM(L136:L143)</f>
        <v>67.172280000000001</v>
      </c>
      <c r="M144" s="812"/>
      <c r="N144" s="813"/>
      <c r="O144" s="813"/>
      <c r="P144" s="813"/>
      <c r="Q144" s="814"/>
    </row>
    <row r="145" spans="1:19" x14ac:dyDescent="0.15">
      <c r="A145" s="790"/>
      <c r="B145" s="791"/>
      <c r="C145" s="791"/>
      <c r="D145" s="791"/>
      <c r="E145" s="791"/>
      <c r="F145" s="791"/>
      <c r="G145" s="791"/>
      <c r="H145" s="791"/>
      <c r="I145" s="791"/>
      <c r="J145" s="791"/>
      <c r="K145" s="791"/>
      <c r="L145" s="791"/>
      <c r="M145" s="791"/>
      <c r="N145" s="791"/>
      <c r="O145" s="791"/>
      <c r="P145" s="791"/>
      <c r="Q145" s="792"/>
    </row>
    <row r="146" spans="1:19" x14ac:dyDescent="0.15">
      <c r="A146" s="790"/>
      <c r="B146" s="791"/>
      <c r="C146" s="791"/>
      <c r="D146" s="791"/>
      <c r="E146" s="791"/>
      <c r="F146" s="791"/>
      <c r="G146" s="791"/>
      <c r="H146" s="791"/>
      <c r="I146" s="791"/>
      <c r="J146" s="791"/>
      <c r="K146" s="791"/>
      <c r="L146" s="791"/>
      <c r="M146" s="791"/>
      <c r="N146" s="791"/>
      <c r="O146" s="791"/>
      <c r="P146" s="791"/>
      <c r="Q146" s="792"/>
    </row>
    <row r="147" spans="1:19" x14ac:dyDescent="0.15">
      <c r="A147" s="790"/>
      <c r="B147" s="791"/>
      <c r="C147" s="791"/>
      <c r="D147" s="791"/>
      <c r="E147" s="791"/>
      <c r="F147" s="791"/>
      <c r="G147" s="791"/>
      <c r="H147" s="791"/>
      <c r="I147" s="791"/>
      <c r="J147" s="791"/>
      <c r="K147" s="791"/>
      <c r="L147" s="791"/>
      <c r="M147" s="791"/>
      <c r="N147" s="791"/>
      <c r="O147" s="791"/>
      <c r="P147" s="791"/>
      <c r="Q147" s="792"/>
    </row>
    <row r="148" spans="1:19" s="121" customFormat="1" ht="18" customHeight="1" x14ac:dyDescent="0.15">
      <c r="A148" s="218" t="s">
        <v>0</v>
      </c>
      <c r="B148" s="830" t="s">
        <v>562</v>
      </c>
      <c r="C148" s="831"/>
      <c r="D148" s="831"/>
      <c r="E148" s="831"/>
      <c r="F148" s="831"/>
      <c r="G148" s="831"/>
      <c r="H148" s="831"/>
      <c r="I148" s="831"/>
      <c r="J148" s="831"/>
      <c r="K148" s="831"/>
      <c r="L148" s="831"/>
      <c r="M148" s="831"/>
      <c r="N148" s="831"/>
      <c r="O148" s="216" t="s">
        <v>73</v>
      </c>
      <c r="P148" s="795" t="s">
        <v>6</v>
      </c>
      <c r="Q148" s="796"/>
    </row>
    <row r="149" spans="1:19" x14ac:dyDescent="0.15">
      <c r="A149" s="790"/>
      <c r="B149" s="791"/>
      <c r="C149" s="791"/>
      <c r="D149" s="791"/>
      <c r="E149" s="791"/>
      <c r="F149" s="791"/>
      <c r="G149" s="791"/>
      <c r="H149" s="791"/>
      <c r="I149" s="791"/>
      <c r="J149" s="791"/>
      <c r="K149" s="791"/>
      <c r="L149" s="791"/>
      <c r="M149" s="791"/>
      <c r="N149" s="791"/>
      <c r="O149" s="791"/>
      <c r="P149" s="791"/>
      <c r="Q149" s="792"/>
    </row>
    <row r="150" spans="1:19" s="126" customFormat="1" x14ac:dyDescent="0.15">
      <c r="A150" s="822" t="s">
        <v>150</v>
      </c>
      <c r="B150" s="823" t="s">
        <v>151</v>
      </c>
      <c r="C150" s="823"/>
      <c r="D150" s="802" t="s">
        <v>493</v>
      </c>
      <c r="E150" s="823" t="s">
        <v>152</v>
      </c>
      <c r="F150" s="823"/>
      <c r="G150" s="823"/>
      <c r="H150" s="804" t="s">
        <v>153</v>
      </c>
      <c r="I150" s="802" t="s">
        <v>160</v>
      </c>
      <c r="J150" s="804" t="s">
        <v>73</v>
      </c>
      <c r="K150" s="216" t="s">
        <v>154</v>
      </c>
      <c r="L150" s="806"/>
      <c r="M150" s="807"/>
      <c r="N150" s="807"/>
      <c r="O150" s="807"/>
      <c r="P150" s="807"/>
      <c r="Q150" s="808"/>
    </row>
    <row r="151" spans="1:19" s="130" customFormat="1" x14ac:dyDescent="0.15">
      <c r="A151" s="822"/>
      <c r="B151" s="823"/>
      <c r="C151" s="823"/>
      <c r="D151" s="803"/>
      <c r="E151" s="217" t="s">
        <v>155</v>
      </c>
      <c r="F151" s="217" t="s">
        <v>156</v>
      </c>
      <c r="G151" s="217" t="s">
        <v>157</v>
      </c>
      <c r="H151" s="805"/>
      <c r="I151" s="803"/>
      <c r="J151" s="805"/>
      <c r="K151" s="216" t="s">
        <v>158</v>
      </c>
      <c r="L151" s="809"/>
      <c r="M151" s="810"/>
      <c r="N151" s="810"/>
      <c r="O151" s="810"/>
      <c r="P151" s="810"/>
      <c r="Q151" s="811"/>
    </row>
    <row r="152" spans="1:19" ht="28.5" customHeight="1" x14ac:dyDescent="0.15">
      <c r="A152" s="131"/>
      <c r="B152" s="788" t="s">
        <v>496</v>
      </c>
      <c r="C152" s="789"/>
      <c r="D152" s="219">
        <v>1.3</v>
      </c>
      <c r="E152" s="143">
        <v>0</v>
      </c>
      <c r="F152" s="672">
        <v>0</v>
      </c>
      <c r="G152" s="672">
        <v>0</v>
      </c>
      <c r="H152" s="143">
        <v>1</v>
      </c>
      <c r="I152" s="143">
        <f>K121-K130</f>
        <v>10.336499999999999</v>
      </c>
      <c r="J152" s="672" t="s">
        <v>5</v>
      </c>
      <c r="K152" s="671">
        <f>I152*D152</f>
        <v>13.43745</v>
      </c>
      <c r="L152" s="809"/>
      <c r="M152" s="810"/>
      <c r="N152" s="810"/>
      <c r="O152" s="810"/>
      <c r="P152" s="810"/>
      <c r="Q152" s="811"/>
    </row>
    <row r="153" spans="1:19" ht="22.5" customHeight="1" x14ac:dyDescent="0.15">
      <c r="A153" s="795" t="s">
        <v>149</v>
      </c>
      <c r="B153" s="817"/>
      <c r="C153" s="817"/>
      <c r="D153" s="817"/>
      <c r="E153" s="817"/>
      <c r="F153" s="817"/>
      <c r="G153" s="817"/>
      <c r="H153" s="817"/>
      <c r="I153" s="817"/>
      <c r="J153" s="796"/>
      <c r="K153" s="416">
        <f>SUM(K152:K152)</f>
        <v>13.43745</v>
      </c>
      <c r="L153" s="812"/>
      <c r="M153" s="813"/>
      <c r="N153" s="813"/>
      <c r="O153" s="813"/>
      <c r="P153" s="813"/>
      <c r="Q153" s="814"/>
    </row>
    <row r="154" spans="1:19" x14ac:dyDescent="0.15">
      <c r="A154" s="790"/>
      <c r="B154" s="791"/>
      <c r="C154" s="791"/>
      <c r="D154" s="791"/>
      <c r="E154" s="791"/>
      <c r="F154" s="791"/>
      <c r="G154" s="791"/>
      <c r="H154" s="791"/>
      <c r="I154" s="791"/>
      <c r="J154" s="791"/>
      <c r="K154" s="791"/>
      <c r="L154" s="791"/>
      <c r="M154" s="791"/>
      <c r="N154" s="791"/>
      <c r="O154" s="791"/>
      <c r="P154" s="791"/>
      <c r="Q154" s="792"/>
    </row>
    <row r="155" spans="1:19" s="121" customFormat="1" ht="18" customHeight="1" x14ac:dyDescent="0.15">
      <c r="A155" s="218" t="s">
        <v>0</v>
      </c>
      <c r="B155" s="793" t="s">
        <v>566</v>
      </c>
      <c r="C155" s="794"/>
      <c r="D155" s="794"/>
      <c r="E155" s="794"/>
      <c r="F155" s="794"/>
      <c r="G155" s="794"/>
      <c r="H155" s="794"/>
      <c r="I155" s="794"/>
      <c r="J155" s="794"/>
      <c r="K155" s="794"/>
      <c r="L155" s="794"/>
      <c r="M155" s="794"/>
      <c r="N155" s="794"/>
      <c r="O155" s="216" t="s">
        <v>73</v>
      </c>
      <c r="P155" s="795" t="s">
        <v>6</v>
      </c>
      <c r="Q155" s="796"/>
    </row>
    <row r="156" spans="1:19" x14ac:dyDescent="0.15">
      <c r="A156" s="790"/>
      <c r="B156" s="791"/>
      <c r="C156" s="791"/>
      <c r="D156" s="791"/>
      <c r="E156" s="791"/>
      <c r="F156" s="791"/>
      <c r="G156" s="791"/>
      <c r="H156" s="791"/>
      <c r="I156" s="791"/>
      <c r="J156" s="791"/>
      <c r="K156" s="791"/>
      <c r="L156" s="791"/>
      <c r="M156" s="791"/>
      <c r="N156" s="791"/>
      <c r="O156" s="791"/>
      <c r="P156" s="791"/>
      <c r="Q156" s="792"/>
    </row>
    <row r="157" spans="1:19" s="126" customFormat="1" x14ac:dyDescent="0.15">
      <c r="A157" s="822" t="s">
        <v>150</v>
      </c>
      <c r="B157" s="823" t="s">
        <v>151</v>
      </c>
      <c r="C157" s="823"/>
      <c r="D157" s="802"/>
      <c r="E157" s="823" t="s">
        <v>152</v>
      </c>
      <c r="F157" s="823"/>
      <c r="G157" s="823"/>
      <c r="H157" s="802" t="s">
        <v>153</v>
      </c>
      <c r="I157" s="802" t="s">
        <v>160</v>
      </c>
      <c r="J157" s="804" t="s">
        <v>73</v>
      </c>
      <c r="K157" s="216" t="s">
        <v>154</v>
      </c>
      <c r="L157" s="123"/>
      <c r="M157" s="124"/>
      <c r="N157" s="124"/>
      <c r="O157" s="124"/>
      <c r="P157" s="124"/>
      <c r="Q157" s="125"/>
    </row>
    <row r="158" spans="1:19" s="130" customFormat="1" x14ac:dyDescent="0.15">
      <c r="A158" s="822"/>
      <c r="B158" s="823"/>
      <c r="C158" s="823"/>
      <c r="D158" s="803"/>
      <c r="E158" s="217" t="s">
        <v>155</v>
      </c>
      <c r="F158" s="217" t="s">
        <v>156</v>
      </c>
      <c r="G158" s="217" t="s">
        <v>157</v>
      </c>
      <c r="H158" s="803"/>
      <c r="I158" s="803"/>
      <c r="J158" s="805"/>
      <c r="K158" s="216" t="s">
        <v>158</v>
      </c>
      <c r="L158" s="127"/>
      <c r="M158" s="128"/>
      <c r="N158" s="128"/>
      <c r="O158" s="128"/>
      <c r="P158" s="128"/>
      <c r="Q158" s="129"/>
    </row>
    <row r="159" spans="1:19" ht="31.5" customHeight="1" x14ac:dyDescent="0.15">
      <c r="A159" s="148"/>
      <c r="B159" s="788" t="s">
        <v>1147</v>
      </c>
      <c r="C159" s="789"/>
      <c r="D159" s="149"/>
      <c r="E159" s="143">
        <v>1</v>
      </c>
      <c r="F159" s="143">
        <v>1</v>
      </c>
      <c r="G159" s="143">
        <v>0.05</v>
      </c>
      <c r="H159" s="143">
        <v>1</v>
      </c>
      <c r="I159" s="143">
        <f t="shared" ref="I159:I160" si="21">(E159*F159*G159)</f>
        <v>0.05</v>
      </c>
      <c r="J159" s="133" t="s">
        <v>6</v>
      </c>
      <c r="K159" s="143">
        <f t="shared" ref="K159:K160" si="22">I159*H159</f>
        <v>0.05</v>
      </c>
      <c r="L159" s="127"/>
      <c r="M159" s="128"/>
      <c r="N159" s="128"/>
      <c r="O159" s="128"/>
      <c r="P159" s="128"/>
      <c r="Q159" s="129"/>
      <c r="S159" s="369"/>
    </row>
    <row r="160" spans="1:19" ht="31.5" customHeight="1" x14ac:dyDescent="0.15">
      <c r="A160" s="148"/>
      <c r="B160" s="788" t="s">
        <v>1538</v>
      </c>
      <c r="C160" s="789"/>
      <c r="D160" s="149"/>
      <c r="E160" s="143">
        <v>0.6</v>
      </c>
      <c r="F160" s="143">
        <v>0.6</v>
      </c>
      <c r="G160" s="143">
        <v>0.05</v>
      </c>
      <c r="H160" s="143">
        <v>2</v>
      </c>
      <c r="I160" s="143">
        <f t="shared" si="21"/>
        <v>1.7999999999999999E-2</v>
      </c>
      <c r="J160" s="133" t="s">
        <v>6</v>
      </c>
      <c r="K160" s="143">
        <f t="shared" si="22"/>
        <v>3.5999999999999997E-2</v>
      </c>
      <c r="L160" s="127"/>
      <c r="M160" s="128"/>
      <c r="N160" s="128"/>
      <c r="O160" s="128"/>
      <c r="P160" s="128"/>
      <c r="Q160" s="129"/>
      <c r="S160" s="369"/>
    </row>
    <row r="161" spans="1:19" ht="31.5" customHeight="1" x14ac:dyDescent="0.15">
      <c r="A161" s="148"/>
      <c r="B161" s="788" t="s">
        <v>1539</v>
      </c>
      <c r="C161" s="789"/>
      <c r="D161" s="149"/>
      <c r="E161" s="143">
        <v>0.6</v>
      </c>
      <c r="F161" s="143">
        <v>0.6</v>
      </c>
      <c r="G161" s="143">
        <v>0.05</v>
      </c>
      <c r="H161" s="143">
        <v>3</v>
      </c>
      <c r="I161" s="143">
        <f t="shared" ref="I161" si="23">(E161*F161*G161)</f>
        <v>1.7999999999999999E-2</v>
      </c>
      <c r="J161" s="133" t="s">
        <v>6</v>
      </c>
      <c r="K161" s="143">
        <f t="shared" ref="K161" si="24">I161*H161</f>
        <v>5.3999999999999992E-2</v>
      </c>
      <c r="L161" s="127"/>
      <c r="M161" s="128"/>
      <c r="N161" s="128"/>
      <c r="O161" s="128"/>
      <c r="P161" s="128"/>
      <c r="Q161" s="129"/>
      <c r="S161" s="369"/>
    </row>
    <row r="162" spans="1:19" ht="31.5" customHeight="1" x14ac:dyDescent="0.15">
      <c r="A162" s="148"/>
      <c r="B162" s="788" t="s">
        <v>1005</v>
      </c>
      <c r="C162" s="789"/>
      <c r="D162" s="149"/>
      <c r="E162" s="143">
        <v>2.5</v>
      </c>
      <c r="F162" s="143">
        <v>1.5</v>
      </c>
      <c r="G162" s="143">
        <v>0.05</v>
      </c>
      <c r="H162" s="143">
        <v>1</v>
      </c>
      <c r="I162" s="143">
        <f t="shared" ref="I162" si="25">(E162*F162*G162)</f>
        <v>0.1875</v>
      </c>
      <c r="J162" s="133" t="s">
        <v>6</v>
      </c>
      <c r="K162" s="143">
        <f t="shared" ref="K162" si="26">I162*H162</f>
        <v>0.1875</v>
      </c>
      <c r="L162" s="127"/>
      <c r="M162" s="128"/>
      <c r="N162" s="128"/>
      <c r="O162" s="128"/>
      <c r="P162" s="128"/>
      <c r="Q162" s="129"/>
      <c r="S162" s="369"/>
    </row>
    <row r="163" spans="1:19" ht="14" x14ac:dyDescent="0.15">
      <c r="A163" s="795" t="s">
        <v>149</v>
      </c>
      <c r="B163" s="817"/>
      <c r="C163" s="817"/>
      <c r="D163" s="817"/>
      <c r="E163" s="817"/>
      <c r="F163" s="817"/>
      <c r="G163" s="817"/>
      <c r="H163" s="817"/>
      <c r="I163" s="817"/>
      <c r="J163" s="796"/>
      <c r="K163" s="416">
        <f>SUM(K159:K162)</f>
        <v>0.32750000000000001</v>
      </c>
      <c r="L163" s="134"/>
      <c r="M163" s="135"/>
      <c r="N163" s="135"/>
      <c r="O163" s="135"/>
      <c r="P163" s="135"/>
      <c r="Q163" s="136"/>
      <c r="R163" s="221"/>
    </row>
    <row r="164" spans="1:19" x14ac:dyDescent="0.15">
      <c r="A164" s="790"/>
      <c r="B164" s="791"/>
      <c r="C164" s="791"/>
      <c r="D164" s="791"/>
      <c r="E164" s="791"/>
      <c r="F164" s="791"/>
      <c r="G164" s="791"/>
      <c r="H164" s="791"/>
      <c r="I164" s="791"/>
      <c r="J164" s="791"/>
      <c r="K164" s="791"/>
      <c r="L164" s="791"/>
      <c r="M164" s="791"/>
      <c r="N164" s="791"/>
      <c r="O164" s="791"/>
      <c r="P164" s="791"/>
      <c r="Q164" s="792"/>
    </row>
    <row r="165" spans="1:19" s="121" customFormat="1" ht="18" customHeight="1" x14ac:dyDescent="0.15">
      <c r="A165" s="218" t="s">
        <v>0</v>
      </c>
      <c r="B165" s="793" t="s">
        <v>1006</v>
      </c>
      <c r="C165" s="794"/>
      <c r="D165" s="794"/>
      <c r="E165" s="794"/>
      <c r="F165" s="794"/>
      <c r="G165" s="794"/>
      <c r="H165" s="794"/>
      <c r="I165" s="794"/>
      <c r="J165" s="794"/>
      <c r="K165" s="794"/>
      <c r="L165" s="794"/>
      <c r="M165" s="794"/>
      <c r="N165" s="794"/>
      <c r="O165" s="216" t="s">
        <v>73</v>
      </c>
      <c r="P165" s="795" t="s">
        <v>319</v>
      </c>
      <c r="Q165" s="796"/>
    </row>
    <row r="166" spans="1:19" x14ac:dyDescent="0.15">
      <c r="A166" s="790"/>
      <c r="B166" s="791"/>
      <c r="C166" s="791"/>
      <c r="D166" s="791"/>
      <c r="E166" s="791"/>
      <c r="F166" s="791"/>
      <c r="G166" s="791"/>
      <c r="H166" s="791"/>
      <c r="I166" s="791"/>
      <c r="J166" s="791"/>
      <c r="K166" s="791"/>
      <c r="L166" s="791"/>
      <c r="M166" s="791"/>
      <c r="N166" s="791"/>
      <c r="O166" s="791"/>
      <c r="P166" s="791"/>
      <c r="Q166" s="792"/>
    </row>
    <row r="167" spans="1:19" s="126" customFormat="1" x14ac:dyDescent="0.15">
      <c r="A167" s="822" t="s">
        <v>150</v>
      </c>
      <c r="B167" s="823" t="s">
        <v>151</v>
      </c>
      <c r="C167" s="823"/>
      <c r="D167" s="802"/>
      <c r="E167" s="823" t="s">
        <v>152</v>
      </c>
      <c r="F167" s="823"/>
      <c r="G167" s="823"/>
      <c r="H167" s="802" t="s">
        <v>153</v>
      </c>
      <c r="I167" s="802" t="s">
        <v>479</v>
      </c>
      <c r="J167" s="804" t="s">
        <v>73</v>
      </c>
      <c r="K167" s="216" t="s">
        <v>154</v>
      </c>
      <c r="L167" s="123"/>
      <c r="M167" s="124"/>
      <c r="N167" s="124"/>
      <c r="O167" s="124"/>
      <c r="P167" s="124"/>
      <c r="Q167" s="125"/>
    </row>
    <row r="168" spans="1:19" s="130" customFormat="1" x14ac:dyDescent="0.15">
      <c r="A168" s="822"/>
      <c r="B168" s="823"/>
      <c r="C168" s="823"/>
      <c r="D168" s="803"/>
      <c r="E168" s="217" t="s">
        <v>155</v>
      </c>
      <c r="F168" s="217" t="s">
        <v>156</v>
      </c>
      <c r="G168" s="217" t="s">
        <v>157</v>
      </c>
      <c r="H168" s="803"/>
      <c r="I168" s="803"/>
      <c r="J168" s="805"/>
      <c r="K168" s="216" t="s">
        <v>158</v>
      </c>
      <c r="L168" s="127"/>
      <c r="M168" s="128"/>
      <c r="N168" s="128"/>
      <c r="O168" s="128"/>
      <c r="P168" s="128"/>
      <c r="Q168" s="129"/>
    </row>
    <row r="169" spans="1:19" ht="27.75" customHeight="1" x14ac:dyDescent="0.15">
      <c r="A169" s="148"/>
      <c r="B169" s="788" t="s">
        <v>1147</v>
      </c>
      <c r="C169" s="789"/>
      <c r="D169" s="149"/>
      <c r="E169" s="143">
        <v>1</v>
      </c>
      <c r="F169" s="143">
        <v>1</v>
      </c>
      <c r="G169" s="143">
        <v>0.3</v>
      </c>
      <c r="H169" s="143">
        <v>1</v>
      </c>
      <c r="I169" s="143">
        <v>1</v>
      </c>
      <c r="J169" s="133" t="s">
        <v>319</v>
      </c>
      <c r="K169" s="143">
        <f>I169*H169</f>
        <v>1</v>
      </c>
      <c r="L169" s="127"/>
      <c r="M169" s="128"/>
      <c r="N169" s="128"/>
      <c r="O169" s="128"/>
      <c r="P169" s="128"/>
      <c r="Q169" s="129"/>
    </row>
    <row r="170" spans="1:19" ht="14" x14ac:dyDescent="0.15">
      <c r="A170" s="795" t="s">
        <v>149</v>
      </c>
      <c r="B170" s="817"/>
      <c r="C170" s="817"/>
      <c r="D170" s="817"/>
      <c r="E170" s="817"/>
      <c r="F170" s="817"/>
      <c r="G170" s="817"/>
      <c r="H170" s="817"/>
      <c r="I170" s="817"/>
      <c r="J170" s="796"/>
      <c r="K170" s="416">
        <f>SUM(K169:K169)</f>
        <v>1</v>
      </c>
      <c r="L170" s="134"/>
      <c r="M170" s="135"/>
      <c r="N170" s="135"/>
      <c r="O170" s="135"/>
      <c r="P170" s="135"/>
      <c r="Q170" s="136"/>
    </row>
    <row r="171" spans="1:19" x14ac:dyDescent="0.15">
      <c r="A171" s="790"/>
      <c r="B171" s="791"/>
      <c r="C171" s="791"/>
      <c r="D171" s="791"/>
      <c r="E171" s="791"/>
      <c r="F171" s="791"/>
      <c r="G171" s="791"/>
      <c r="H171" s="791"/>
      <c r="I171" s="791"/>
      <c r="J171" s="791"/>
      <c r="K171" s="791"/>
      <c r="L171" s="791"/>
      <c r="M171" s="791"/>
      <c r="N171" s="791"/>
      <c r="O171" s="791"/>
      <c r="P171" s="791"/>
      <c r="Q171" s="792"/>
    </row>
    <row r="172" spans="1:19" s="121" customFormat="1" ht="18" customHeight="1" x14ac:dyDescent="0.15">
      <c r="A172" s="218" t="s">
        <v>0</v>
      </c>
      <c r="B172" s="793" t="s">
        <v>1090</v>
      </c>
      <c r="C172" s="794"/>
      <c r="D172" s="794"/>
      <c r="E172" s="794"/>
      <c r="F172" s="794"/>
      <c r="G172" s="794"/>
      <c r="H172" s="794"/>
      <c r="I172" s="794"/>
      <c r="J172" s="794"/>
      <c r="K172" s="794"/>
      <c r="L172" s="794"/>
      <c r="M172" s="794"/>
      <c r="N172" s="794"/>
      <c r="O172" s="216" t="s">
        <v>73</v>
      </c>
      <c r="P172" s="795" t="s">
        <v>319</v>
      </c>
      <c r="Q172" s="796"/>
    </row>
    <row r="173" spans="1:19" x14ac:dyDescent="0.15">
      <c r="A173" s="790"/>
      <c r="B173" s="791"/>
      <c r="C173" s="791"/>
      <c r="D173" s="791"/>
      <c r="E173" s="791"/>
      <c r="F173" s="791"/>
      <c r="G173" s="791"/>
      <c r="H173" s="791"/>
      <c r="I173" s="791"/>
      <c r="J173" s="791"/>
      <c r="K173" s="791"/>
      <c r="L173" s="791"/>
      <c r="M173" s="791"/>
      <c r="N173" s="791"/>
      <c r="O173" s="791"/>
      <c r="P173" s="791"/>
      <c r="Q173" s="792"/>
    </row>
    <row r="174" spans="1:19" s="126" customFormat="1" x14ac:dyDescent="0.15">
      <c r="A174" s="822" t="s">
        <v>150</v>
      </c>
      <c r="B174" s="823" t="s">
        <v>151</v>
      </c>
      <c r="C174" s="823"/>
      <c r="D174" s="802"/>
      <c r="E174" s="823" t="s">
        <v>152</v>
      </c>
      <c r="F174" s="823"/>
      <c r="G174" s="823"/>
      <c r="H174" s="802" t="s">
        <v>153</v>
      </c>
      <c r="I174" s="802" t="s">
        <v>479</v>
      </c>
      <c r="J174" s="804" t="s">
        <v>73</v>
      </c>
      <c r="K174" s="216" t="s">
        <v>154</v>
      </c>
      <c r="L174" s="123"/>
      <c r="M174" s="124"/>
      <c r="N174" s="124"/>
      <c r="O174" s="124"/>
      <c r="P174" s="124"/>
      <c r="Q174" s="125"/>
    </row>
    <row r="175" spans="1:19" s="130" customFormat="1" x14ac:dyDescent="0.15">
      <c r="A175" s="822"/>
      <c r="B175" s="823"/>
      <c r="C175" s="823"/>
      <c r="D175" s="803"/>
      <c r="E175" s="217" t="s">
        <v>155</v>
      </c>
      <c r="F175" s="217" t="s">
        <v>156</v>
      </c>
      <c r="G175" s="217" t="s">
        <v>157</v>
      </c>
      <c r="H175" s="803"/>
      <c r="I175" s="803"/>
      <c r="J175" s="805"/>
      <c r="K175" s="216" t="s">
        <v>158</v>
      </c>
      <c r="L175" s="127"/>
      <c r="M175" s="128"/>
      <c r="N175" s="128"/>
      <c r="O175" s="128"/>
      <c r="P175" s="128"/>
      <c r="Q175" s="129"/>
    </row>
    <row r="176" spans="1:19" ht="27.75" customHeight="1" x14ac:dyDescent="0.15">
      <c r="A176" s="148"/>
      <c r="B176" s="788" t="s">
        <v>1538</v>
      </c>
      <c r="C176" s="789"/>
      <c r="D176" s="149"/>
      <c r="E176" s="143">
        <v>0.6</v>
      </c>
      <c r="F176" s="143">
        <v>0.6</v>
      </c>
      <c r="G176" s="143">
        <v>0.25</v>
      </c>
      <c r="H176" s="143">
        <v>2</v>
      </c>
      <c r="I176" s="143">
        <v>1</v>
      </c>
      <c r="J176" s="133" t="s">
        <v>319</v>
      </c>
      <c r="K176" s="143">
        <f>I176*H176</f>
        <v>2</v>
      </c>
      <c r="L176" s="127"/>
      <c r="M176" s="128"/>
      <c r="N176" s="128"/>
      <c r="O176" s="128"/>
      <c r="P176" s="128"/>
      <c r="Q176" s="129"/>
    </row>
    <row r="177" spans="1:17" ht="27.75" customHeight="1" x14ac:dyDescent="0.15">
      <c r="A177" s="148"/>
      <c r="B177" s="788" t="s">
        <v>1539</v>
      </c>
      <c r="C177" s="789"/>
      <c r="D177" s="149"/>
      <c r="E177" s="143">
        <v>0.6</v>
      </c>
      <c r="F177" s="143">
        <v>0.6</v>
      </c>
      <c r="G177" s="143">
        <v>0.25</v>
      </c>
      <c r="H177" s="143">
        <v>3</v>
      </c>
      <c r="I177" s="143">
        <v>1</v>
      </c>
      <c r="J177" s="133" t="s">
        <v>319</v>
      </c>
      <c r="K177" s="143">
        <f>I177*H177</f>
        <v>3</v>
      </c>
      <c r="L177" s="127"/>
      <c r="M177" s="128"/>
      <c r="N177" s="128"/>
      <c r="O177" s="128"/>
      <c r="P177" s="128"/>
      <c r="Q177" s="129"/>
    </row>
    <row r="178" spans="1:17" ht="14" x14ac:dyDescent="0.15">
      <c r="A178" s="795" t="s">
        <v>149</v>
      </c>
      <c r="B178" s="817"/>
      <c r="C178" s="817"/>
      <c r="D178" s="817"/>
      <c r="E178" s="817"/>
      <c r="F178" s="817"/>
      <c r="G178" s="817"/>
      <c r="H178" s="817"/>
      <c r="I178" s="817"/>
      <c r="J178" s="796"/>
      <c r="K178" s="416">
        <f>SUM(K176:K177)</f>
        <v>5</v>
      </c>
      <c r="L178" s="134"/>
      <c r="M178" s="135"/>
      <c r="N178" s="135"/>
      <c r="O178" s="135"/>
      <c r="P178" s="135"/>
      <c r="Q178" s="136"/>
    </row>
    <row r="179" spans="1:17" x14ac:dyDescent="0.15">
      <c r="A179" s="790"/>
      <c r="B179" s="791"/>
      <c r="C179" s="791"/>
      <c r="D179" s="791"/>
      <c r="E179" s="791"/>
      <c r="F179" s="791"/>
      <c r="G179" s="791"/>
      <c r="H179" s="791"/>
      <c r="I179" s="791"/>
      <c r="J179" s="791"/>
      <c r="K179" s="791"/>
      <c r="L179" s="791"/>
      <c r="M179" s="791"/>
      <c r="N179" s="791"/>
      <c r="O179" s="791"/>
      <c r="P179" s="791"/>
      <c r="Q179" s="792"/>
    </row>
    <row r="180" spans="1:17" s="121" customFormat="1" ht="18" customHeight="1" x14ac:dyDescent="0.15">
      <c r="A180" s="218" t="s">
        <v>0</v>
      </c>
      <c r="B180" s="793" t="s">
        <v>1554</v>
      </c>
      <c r="C180" s="794"/>
      <c r="D180" s="794"/>
      <c r="E180" s="794"/>
      <c r="F180" s="794"/>
      <c r="G180" s="794"/>
      <c r="H180" s="794"/>
      <c r="I180" s="794"/>
      <c r="J180" s="794"/>
      <c r="K180" s="794"/>
      <c r="L180" s="794"/>
      <c r="M180" s="794"/>
      <c r="N180" s="794"/>
      <c r="O180" s="216" t="s">
        <v>73</v>
      </c>
      <c r="P180" s="795" t="s">
        <v>193</v>
      </c>
      <c r="Q180" s="796"/>
    </row>
    <row r="181" spans="1:17" x14ac:dyDescent="0.15">
      <c r="A181" s="790"/>
      <c r="B181" s="791"/>
      <c r="C181" s="791"/>
      <c r="D181" s="791"/>
      <c r="E181" s="791"/>
      <c r="F181" s="791"/>
      <c r="G181" s="791"/>
      <c r="H181" s="791"/>
      <c r="I181" s="791"/>
      <c r="J181" s="791"/>
      <c r="K181" s="791"/>
      <c r="L181" s="791"/>
      <c r="M181" s="791"/>
      <c r="N181" s="791"/>
      <c r="O181" s="791"/>
      <c r="P181" s="791"/>
      <c r="Q181" s="792"/>
    </row>
    <row r="182" spans="1:17" s="126" customFormat="1" x14ac:dyDescent="0.15">
      <c r="A182" s="822" t="s">
        <v>150</v>
      </c>
      <c r="B182" s="823" t="s">
        <v>151</v>
      </c>
      <c r="C182" s="823"/>
      <c r="D182" s="802"/>
      <c r="E182" s="823" t="s">
        <v>152</v>
      </c>
      <c r="F182" s="823"/>
      <c r="G182" s="823"/>
      <c r="H182" s="802" t="s">
        <v>153</v>
      </c>
      <c r="I182" s="802" t="s">
        <v>242</v>
      </c>
      <c r="J182" s="804" t="s">
        <v>73</v>
      </c>
      <c r="K182" s="216" t="s">
        <v>154</v>
      </c>
      <c r="L182" s="123"/>
      <c r="M182" s="124"/>
      <c r="N182" s="124"/>
      <c r="O182" s="124"/>
      <c r="P182" s="124"/>
      <c r="Q182" s="125"/>
    </row>
    <row r="183" spans="1:17" s="130" customFormat="1" x14ac:dyDescent="0.15">
      <c r="A183" s="822"/>
      <c r="B183" s="823"/>
      <c r="C183" s="823"/>
      <c r="D183" s="803"/>
      <c r="E183" s="217" t="s">
        <v>155</v>
      </c>
      <c r="F183" s="217" t="s">
        <v>156</v>
      </c>
      <c r="G183" s="217" t="s">
        <v>157</v>
      </c>
      <c r="H183" s="803"/>
      <c r="I183" s="803"/>
      <c r="J183" s="805"/>
      <c r="K183" s="216" t="s">
        <v>158</v>
      </c>
      <c r="L183" s="127"/>
      <c r="M183" s="128"/>
      <c r="N183" s="128"/>
      <c r="O183" s="128"/>
      <c r="P183" s="128"/>
      <c r="Q183" s="129"/>
    </row>
    <row r="184" spans="1:17" ht="33" customHeight="1" x14ac:dyDescent="0.15">
      <c r="A184" s="148"/>
      <c r="B184" s="788" t="s">
        <v>1547</v>
      </c>
      <c r="C184" s="789"/>
      <c r="D184" s="149"/>
      <c r="E184" s="143">
        <v>11.87</v>
      </c>
      <c r="F184" s="143">
        <v>0.25</v>
      </c>
      <c r="G184" s="143">
        <v>0.25</v>
      </c>
      <c r="H184" s="143">
        <v>2</v>
      </c>
      <c r="I184" s="143">
        <f t="shared" ref="I184:I185" si="27">E184</f>
        <v>11.87</v>
      </c>
      <c r="J184" s="133" t="s">
        <v>193</v>
      </c>
      <c r="K184" s="143">
        <f t="shared" ref="K184:K185" si="28">I184*H184</f>
        <v>23.74</v>
      </c>
      <c r="L184" s="127"/>
      <c r="M184" s="128"/>
      <c r="N184" s="128"/>
      <c r="O184" s="128"/>
      <c r="P184" s="128"/>
      <c r="Q184" s="129"/>
    </row>
    <row r="185" spans="1:17" ht="33" customHeight="1" x14ac:dyDescent="0.15">
      <c r="A185" s="148"/>
      <c r="B185" s="788" t="s">
        <v>1548</v>
      </c>
      <c r="C185" s="789"/>
      <c r="D185" s="149"/>
      <c r="E185" s="143">
        <v>8.0399999999999991</v>
      </c>
      <c r="F185" s="143">
        <v>0.25</v>
      </c>
      <c r="G185" s="143">
        <v>0.25</v>
      </c>
      <c r="H185" s="143">
        <v>2</v>
      </c>
      <c r="I185" s="143">
        <f t="shared" si="27"/>
        <v>8.0399999999999991</v>
      </c>
      <c r="J185" s="133" t="s">
        <v>193</v>
      </c>
      <c r="K185" s="143">
        <f t="shared" si="28"/>
        <v>16.079999999999998</v>
      </c>
      <c r="L185" s="127"/>
      <c r="M185" s="128"/>
      <c r="N185" s="128"/>
      <c r="O185" s="128"/>
      <c r="P185" s="128"/>
      <c r="Q185" s="129"/>
    </row>
    <row r="186" spans="1:17" ht="39.75" customHeight="1" x14ac:dyDescent="0.15">
      <c r="A186" s="148"/>
      <c r="B186" s="788" t="s">
        <v>997</v>
      </c>
      <c r="C186" s="789"/>
      <c r="D186" s="149"/>
      <c r="E186" s="143">
        <v>14.57</v>
      </c>
      <c r="F186" s="143">
        <v>0.25</v>
      </c>
      <c r="G186" s="143">
        <v>0.25</v>
      </c>
      <c r="H186" s="143">
        <v>1</v>
      </c>
      <c r="I186" s="143">
        <f t="shared" ref="I186" si="29">E186</f>
        <v>14.57</v>
      </c>
      <c r="J186" s="133" t="s">
        <v>193</v>
      </c>
      <c r="K186" s="143">
        <f t="shared" ref="K186" si="30">I186*H186</f>
        <v>14.57</v>
      </c>
      <c r="L186" s="127"/>
      <c r="M186" s="128"/>
      <c r="N186" s="128"/>
      <c r="O186" s="128"/>
      <c r="P186" s="128"/>
      <c r="Q186" s="129"/>
    </row>
    <row r="187" spans="1:17" ht="39.75" customHeight="1" x14ac:dyDescent="0.15">
      <c r="A187" s="148"/>
      <c r="B187" s="788" t="s">
        <v>1007</v>
      </c>
      <c r="C187" s="789"/>
      <c r="D187" s="149"/>
      <c r="E187" s="143">
        <v>8.0399999999999991</v>
      </c>
      <c r="F187" s="143">
        <v>0.25</v>
      </c>
      <c r="G187" s="143">
        <v>0.25</v>
      </c>
      <c r="H187" s="143">
        <v>1</v>
      </c>
      <c r="I187" s="143">
        <f t="shared" ref="I187" si="31">E187</f>
        <v>8.0399999999999991</v>
      </c>
      <c r="J187" s="133" t="s">
        <v>193</v>
      </c>
      <c r="K187" s="143">
        <f t="shared" ref="K187" si="32">I187*H187</f>
        <v>8.0399999999999991</v>
      </c>
      <c r="L187" s="127"/>
      <c r="M187" s="128"/>
      <c r="N187" s="128"/>
      <c r="O187" s="128"/>
      <c r="P187" s="128"/>
      <c r="Q187" s="129"/>
    </row>
    <row r="188" spans="1:17" ht="14" x14ac:dyDescent="0.15">
      <c r="A188" s="795" t="s">
        <v>149</v>
      </c>
      <c r="B188" s="817"/>
      <c r="C188" s="817"/>
      <c r="D188" s="817"/>
      <c r="E188" s="817"/>
      <c r="F188" s="817"/>
      <c r="G188" s="817"/>
      <c r="H188" s="817"/>
      <c r="I188" s="817"/>
      <c r="J188" s="796"/>
      <c r="K188" s="416">
        <f>SUM(K184:K187)</f>
        <v>62.429999999999993</v>
      </c>
      <c r="L188" s="134"/>
      <c r="M188" s="135"/>
      <c r="N188" s="135"/>
      <c r="O188" s="135"/>
      <c r="P188" s="135"/>
      <c r="Q188" s="136"/>
    </row>
    <row r="189" spans="1:17" x14ac:dyDescent="0.15">
      <c r="A189" s="790"/>
      <c r="B189" s="791"/>
      <c r="C189" s="791"/>
      <c r="D189" s="791"/>
      <c r="E189" s="791"/>
      <c r="F189" s="791"/>
      <c r="G189" s="791"/>
      <c r="H189" s="791"/>
      <c r="I189" s="791"/>
      <c r="J189" s="791"/>
      <c r="K189" s="791"/>
      <c r="L189" s="791"/>
      <c r="M189" s="791"/>
      <c r="N189" s="791"/>
      <c r="O189" s="791"/>
      <c r="P189" s="791"/>
      <c r="Q189" s="792"/>
    </row>
    <row r="190" spans="1:17" s="121" customFormat="1" ht="18" customHeight="1" x14ac:dyDescent="0.15">
      <c r="A190" s="218" t="s">
        <v>0</v>
      </c>
      <c r="B190" s="793" t="s">
        <v>1574</v>
      </c>
      <c r="C190" s="794"/>
      <c r="D190" s="794"/>
      <c r="E190" s="794"/>
      <c r="F190" s="794"/>
      <c r="G190" s="794"/>
      <c r="H190" s="794"/>
      <c r="I190" s="794"/>
      <c r="J190" s="794"/>
      <c r="K190" s="794"/>
      <c r="L190" s="794"/>
      <c r="M190" s="794"/>
      <c r="N190" s="794"/>
      <c r="O190" s="216" t="s">
        <v>73</v>
      </c>
      <c r="P190" s="795" t="s">
        <v>193</v>
      </c>
      <c r="Q190" s="796"/>
    </row>
    <row r="191" spans="1:17" x14ac:dyDescent="0.15">
      <c r="A191" s="790"/>
      <c r="B191" s="791"/>
      <c r="C191" s="791"/>
      <c r="D191" s="791"/>
      <c r="E191" s="791"/>
      <c r="F191" s="791"/>
      <c r="G191" s="791"/>
      <c r="H191" s="791"/>
      <c r="I191" s="791"/>
      <c r="J191" s="791"/>
      <c r="K191" s="791"/>
      <c r="L191" s="791"/>
      <c r="M191" s="791"/>
      <c r="N191" s="791"/>
      <c r="O191" s="791"/>
      <c r="P191" s="791"/>
      <c r="Q191" s="792"/>
    </row>
    <row r="192" spans="1:17" s="126" customFormat="1" x14ac:dyDescent="0.15">
      <c r="A192" s="822" t="s">
        <v>150</v>
      </c>
      <c r="B192" s="823" t="s">
        <v>151</v>
      </c>
      <c r="C192" s="823"/>
      <c r="D192" s="802"/>
      <c r="E192" s="823" t="s">
        <v>152</v>
      </c>
      <c r="F192" s="823"/>
      <c r="G192" s="823"/>
      <c r="H192" s="802" t="s">
        <v>153</v>
      </c>
      <c r="I192" s="802" t="s">
        <v>242</v>
      </c>
      <c r="J192" s="804" t="s">
        <v>73</v>
      </c>
      <c r="K192" s="216" t="s">
        <v>154</v>
      </c>
      <c r="L192" s="123"/>
      <c r="M192" s="124"/>
      <c r="N192" s="124"/>
      <c r="O192" s="124"/>
      <c r="P192" s="124"/>
      <c r="Q192" s="125"/>
    </row>
    <row r="193" spans="1:17" s="130" customFormat="1" x14ac:dyDescent="0.15">
      <c r="A193" s="822"/>
      <c r="B193" s="823"/>
      <c r="C193" s="823"/>
      <c r="D193" s="803"/>
      <c r="E193" s="217" t="s">
        <v>155</v>
      </c>
      <c r="F193" s="217" t="s">
        <v>156</v>
      </c>
      <c r="G193" s="217" t="s">
        <v>157</v>
      </c>
      <c r="H193" s="803"/>
      <c r="I193" s="803"/>
      <c r="J193" s="805"/>
      <c r="K193" s="216" t="s">
        <v>158</v>
      </c>
      <c r="L193" s="127"/>
      <c r="M193" s="128"/>
      <c r="N193" s="128"/>
      <c r="O193" s="128"/>
      <c r="P193" s="128"/>
      <c r="Q193" s="129"/>
    </row>
    <row r="194" spans="1:17" ht="26.25" customHeight="1" x14ac:dyDescent="0.15">
      <c r="A194" s="148"/>
      <c r="B194" s="788" t="s">
        <v>1013</v>
      </c>
      <c r="C194" s="789"/>
      <c r="D194" s="149"/>
      <c r="E194" s="143">
        <v>1.5</v>
      </c>
      <c r="F194" s="143">
        <v>0.45</v>
      </c>
      <c r="G194" s="143">
        <v>0.45</v>
      </c>
      <c r="H194" s="143">
        <v>1</v>
      </c>
      <c r="I194" s="143">
        <f t="shared" ref="I194" si="33">E194</f>
        <v>1.5</v>
      </c>
      <c r="J194" s="133" t="s">
        <v>193</v>
      </c>
      <c r="K194" s="143">
        <f t="shared" ref="K194" si="34">I194*H194</f>
        <v>1.5</v>
      </c>
      <c r="L194" s="127"/>
      <c r="M194" s="128"/>
      <c r="N194" s="128"/>
      <c r="O194" s="128"/>
      <c r="P194" s="128"/>
      <c r="Q194" s="129"/>
    </row>
    <row r="195" spans="1:17" ht="14" x14ac:dyDescent="0.15">
      <c r="A195" s="795" t="s">
        <v>149</v>
      </c>
      <c r="B195" s="817"/>
      <c r="C195" s="817"/>
      <c r="D195" s="817"/>
      <c r="E195" s="817"/>
      <c r="F195" s="817"/>
      <c r="G195" s="817"/>
      <c r="H195" s="817"/>
      <c r="I195" s="817"/>
      <c r="J195" s="796"/>
      <c r="K195" s="416">
        <f>SUM(K194:K194)</f>
        <v>1.5</v>
      </c>
      <c r="L195" s="134"/>
      <c r="M195" s="135"/>
      <c r="N195" s="135"/>
      <c r="O195" s="135"/>
      <c r="P195" s="135"/>
      <c r="Q195" s="136"/>
    </row>
    <row r="196" spans="1:17" x14ac:dyDescent="0.15">
      <c r="A196" s="790"/>
      <c r="B196" s="791"/>
      <c r="C196" s="791"/>
      <c r="D196" s="791"/>
      <c r="E196" s="791"/>
      <c r="F196" s="791"/>
      <c r="G196" s="791"/>
      <c r="H196" s="791"/>
      <c r="I196" s="791"/>
      <c r="J196" s="791"/>
      <c r="K196" s="791"/>
      <c r="L196" s="791"/>
      <c r="M196" s="791"/>
      <c r="N196" s="791"/>
      <c r="O196" s="791"/>
      <c r="P196" s="791"/>
      <c r="Q196" s="792"/>
    </row>
    <row r="197" spans="1:17" s="121" customFormat="1" ht="18" customHeight="1" x14ac:dyDescent="0.15">
      <c r="A197" s="218" t="s">
        <v>0</v>
      </c>
      <c r="B197" s="793" t="s">
        <v>1562</v>
      </c>
      <c r="C197" s="794"/>
      <c r="D197" s="794"/>
      <c r="E197" s="794"/>
      <c r="F197" s="794"/>
      <c r="G197" s="794"/>
      <c r="H197" s="794"/>
      <c r="I197" s="794"/>
      <c r="J197" s="794"/>
      <c r="K197" s="794"/>
      <c r="L197" s="794"/>
      <c r="M197" s="794"/>
      <c r="N197" s="794"/>
      <c r="O197" s="216" t="s">
        <v>73</v>
      </c>
      <c r="P197" s="795" t="s">
        <v>193</v>
      </c>
      <c r="Q197" s="796"/>
    </row>
    <row r="198" spans="1:17" x14ac:dyDescent="0.15">
      <c r="A198" s="790"/>
      <c r="B198" s="791"/>
      <c r="C198" s="791"/>
      <c r="D198" s="791"/>
      <c r="E198" s="791"/>
      <c r="F198" s="791"/>
      <c r="G198" s="791"/>
      <c r="H198" s="791"/>
      <c r="I198" s="791"/>
      <c r="J198" s="791"/>
      <c r="K198" s="791"/>
      <c r="L198" s="791"/>
      <c r="M198" s="791"/>
      <c r="N198" s="791"/>
      <c r="O198" s="791"/>
      <c r="P198" s="791"/>
      <c r="Q198" s="792"/>
    </row>
    <row r="199" spans="1:17" s="126" customFormat="1" x14ac:dyDescent="0.15">
      <c r="A199" s="822" t="s">
        <v>150</v>
      </c>
      <c r="B199" s="823" t="s">
        <v>151</v>
      </c>
      <c r="C199" s="823"/>
      <c r="D199" s="802"/>
      <c r="E199" s="823" t="s">
        <v>152</v>
      </c>
      <c r="F199" s="823"/>
      <c r="G199" s="823"/>
      <c r="H199" s="802" t="s">
        <v>153</v>
      </c>
      <c r="I199" s="802" t="s">
        <v>242</v>
      </c>
      <c r="J199" s="804" t="s">
        <v>73</v>
      </c>
      <c r="K199" s="216" t="s">
        <v>154</v>
      </c>
      <c r="L199" s="123"/>
      <c r="M199" s="124"/>
      <c r="N199" s="124"/>
      <c r="O199" s="124"/>
      <c r="P199" s="124"/>
      <c r="Q199" s="125"/>
    </row>
    <row r="200" spans="1:17" s="130" customFormat="1" x14ac:dyDescent="0.15">
      <c r="A200" s="822"/>
      <c r="B200" s="823"/>
      <c r="C200" s="823"/>
      <c r="D200" s="803"/>
      <c r="E200" s="217" t="s">
        <v>155</v>
      </c>
      <c r="F200" s="217" t="s">
        <v>156</v>
      </c>
      <c r="G200" s="217" t="s">
        <v>157</v>
      </c>
      <c r="H200" s="803"/>
      <c r="I200" s="803"/>
      <c r="J200" s="805"/>
      <c r="K200" s="216" t="s">
        <v>158</v>
      </c>
      <c r="L200" s="127"/>
      <c r="M200" s="128"/>
      <c r="N200" s="128"/>
      <c r="O200" s="128"/>
      <c r="P200" s="128"/>
      <c r="Q200" s="129"/>
    </row>
    <row r="201" spans="1:17" ht="26.25" customHeight="1" x14ac:dyDescent="0.15">
      <c r="A201" s="148"/>
      <c r="B201" s="788" t="s">
        <v>1015</v>
      </c>
      <c r="C201" s="789"/>
      <c r="D201" s="149"/>
      <c r="E201" s="143">
        <v>4</v>
      </c>
      <c r="F201" s="143">
        <v>0.45</v>
      </c>
      <c r="G201" s="143">
        <v>0.45</v>
      </c>
      <c r="H201" s="143">
        <v>1</v>
      </c>
      <c r="I201" s="143">
        <f t="shared" ref="I201" si="35">E201</f>
        <v>4</v>
      </c>
      <c r="J201" s="133" t="s">
        <v>193</v>
      </c>
      <c r="K201" s="143">
        <f t="shared" ref="K201" si="36">I201*H201</f>
        <v>4</v>
      </c>
      <c r="L201" s="127"/>
      <c r="M201" s="128"/>
      <c r="N201" s="128"/>
      <c r="O201" s="128"/>
      <c r="P201" s="128"/>
      <c r="Q201" s="129"/>
    </row>
    <row r="202" spans="1:17" ht="14" x14ac:dyDescent="0.15">
      <c r="A202" s="795" t="s">
        <v>149</v>
      </c>
      <c r="B202" s="817"/>
      <c r="C202" s="817"/>
      <c r="D202" s="817"/>
      <c r="E202" s="817"/>
      <c r="F202" s="817"/>
      <c r="G202" s="817"/>
      <c r="H202" s="817"/>
      <c r="I202" s="817"/>
      <c r="J202" s="796"/>
      <c r="K202" s="416">
        <f>SUM(K201:K201)</f>
        <v>4</v>
      </c>
      <c r="L202" s="134"/>
      <c r="M202" s="135"/>
      <c r="N202" s="135"/>
      <c r="O202" s="135"/>
      <c r="P202" s="135"/>
      <c r="Q202" s="136"/>
    </row>
    <row r="203" spans="1:17" x14ac:dyDescent="0.15">
      <c r="A203" s="790"/>
      <c r="B203" s="791"/>
      <c r="C203" s="791"/>
      <c r="D203" s="791"/>
      <c r="E203" s="791"/>
      <c r="F203" s="791"/>
      <c r="G203" s="791"/>
      <c r="H203" s="791"/>
      <c r="I203" s="791"/>
      <c r="J203" s="791"/>
      <c r="K203" s="791"/>
      <c r="L203" s="791"/>
      <c r="M203" s="791"/>
      <c r="N203" s="791"/>
      <c r="O203" s="791"/>
      <c r="P203" s="791"/>
      <c r="Q203" s="792"/>
    </row>
    <row r="204" spans="1:17" s="121" customFormat="1" ht="18" customHeight="1" x14ac:dyDescent="0.15">
      <c r="A204" s="218" t="s">
        <v>0</v>
      </c>
      <c r="B204" s="793" t="s">
        <v>1563</v>
      </c>
      <c r="C204" s="794"/>
      <c r="D204" s="794"/>
      <c r="E204" s="794"/>
      <c r="F204" s="794"/>
      <c r="G204" s="794"/>
      <c r="H204" s="794"/>
      <c r="I204" s="794"/>
      <c r="J204" s="794"/>
      <c r="K204" s="794"/>
      <c r="L204" s="794"/>
      <c r="M204" s="794"/>
      <c r="N204" s="794"/>
      <c r="O204" s="216" t="s">
        <v>73</v>
      </c>
      <c r="P204" s="795" t="s">
        <v>193</v>
      </c>
      <c r="Q204" s="796"/>
    </row>
    <row r="205" spans="1:17" x14ac:dyDescent="0.15">
      <c r="A205" s="790"/>
      <c r="B205" s="791"/>
      <c r="C205" s="791"/>
      <c r="D205" s="791"/>
      <c r="E205" s="791"/>
      <c r="F205" s="791"/>
      <c r="G205" s="791"/>
      <c r="H205" s="791"/>
      <c r="I205" s="791"/>
      <c r="J205" s="791"/>
      <c r="K205" s="791"/>
      <c r="L205" s="791"/>
      <c r="M205" s="791"/>
      <c r="N205" s="791"/>
      <c r="O205" s="791"/>
      <c r="P205" s="791"/>
      <c r="Q205" s="792"/>
    </row>
    <row r="206" spans="1:17" s="126" customFormat="1" x14ac:dyDescent="0.15">
      <c r="A206" s="822" t="s">
        <v>150</v>
      </c>
      <c r="B206" s="823" t="s">
        <v>151</v>
      </c>
      <c r="C206" s="823"/>
      <c r="D206" s="802"/>
      <c r="E206" s="823" t="s">
        <v>152</v>
      </c>
      <c r="F206" s="823"/>
      <c r="G206" s="823"/>
      <c r="H206" s="802" t="s">
        <v>153</v>
      </c>
      <c r="I206" s="802" t="s">
        <v>242</v>
      </c>
      <c r="J206" s="804" t="s">
        <v>73</v>
      </c>
      <c r="K206" s="216" t="s">
        <v>154</v>
      </c>
      <c r="L206" s="123"/>
      <c r="M206" s="124"/>
      <c r="N206" s="124"/>
      <c r="O206" s="124"/>
      <c r="P206" s="124"/>
      <c r="Q206" s="125"/>
    </row>
    <row r="207" spans="1:17" s="130" customFormat="1" x14ac:dyDescent="0.15">
      <c r="A207" s="822"/>
      <c r="B207" s="823"/>
      <c r="C207" s="823"/>
      <c r="D207" s="803"/>
      <c r="E207" s="217" t="s">
        <v>155</v>
      </c>
      <c r="F207" s="217" t="s">
        <v>156</v>
      </c>
      <c r="G207" s="217" t="s">
        <v>157</v>
      </c>
      <c r="H207" s="803"/>
      <c r="I207" s="803"/>
      <c r="J207" s="805"/>
      <c r="K207" s="216" t="s">
        <v>158</v>
      </c>
      <c r="L207" s="127"/>
      <c r="M207" s="128"/>
      <c r="N207" s="128"/>
      <c r="O207" s="128"/>
      <c r="P207" s="128"/>
      <c r="Q207" s="129"/>
    </row>
    <row r="208" spans="1:17" ht="23.25" customHeight="1" x14ac:dyDescent="0.15">
      <c r="A208" s="148"/>
      <c r="B208" s="788" t="s">
        <v>1008</v>
      </c>
      <c r="C208" s="789"/>
      <c r="D208" s="149"/>
      <c r="E208" s="143">
        <v>4.5</v>
      </c>
      <c r="F208" s="143">
        <v>0.2</v>
      </c>
      <c r="G208" s="143">
        <v>0.25</v>
      </c>
      <c r="H208" s="143">
        <v>2</v>
      </c>
      <c r="I208" s="143">
        <f t="shared" ref="I208:I209" si="37">E208</f>
        <v>4.5</v>
      </c>
      <c r="J208" s="133" t="s">
        <v>193</v>
      </c>
      <c r="K208" s="143">
        <f t="shared" ref="K208:K209" si="38">I208*H208</f>
        <v>9</v>
      </c>
      <c r="L208" s="127"/>
      <c r="M208" s="128"/>
      <c r="N208" s="128"/>
      <c r="O208" s="128"/>
      <c r="P208" s="128"/>
      <c r="Q208" s="129"/>
    </row>
    <row r="209" spans="1:17" ht="26.25" customHeight="1" x14ac:dyDescent="0.15">
      <c r="A209" s="148"/>
      <c r="B209" s="788" t="s">
        <v>1014</v>
      </c>
      <c r="C209" s="789"/>
      <c r="D209" s="149"/>
      <c r="E209" s="143">
        <v>4.5</v>
      </c>
      <c r="F209" s="143">
        <v>0.2</v>
      </c>
      <c r="G209" s="143">
        <v>0.25</v>
      </c>
      <c r="H209" s="143">
        <v>3</v>
      </c>
      <c r="I209" s="143">
        <f t="shared" si="37"/>
        <v>4.5</v>
      </c>
      <c r="J209" s="133" t="s">
        <v>193</v>
      </c>
      <c r="K209" s="143">
        <f t="shared" si="38"/>
        <v>13.5</v>
      </c>
      <c r="L209" s="127"/>
      <c r="M209" s="128"/>
      <c r="N209" s="128"/>
      <c r="O209" s="128"/>
      <c r="P209" s="128"/>
      <c r="Q209" s="129"/>
    </row>
    <row r="210" spans="1:17" ht="14" x14ac:dyDescent="0.15">
      <c r="A210" s="795" t="s">
        <v>149</v>
      </c>
      <c r="B210" s="817"/>
      <c r="C210" s="817"/>
      <c r="D210" s="817"/>
      <c r="E210" s="817"/>
      <c r="F210" s="817"/>
      <c r="G210" s="817"/>
      <c r="H210" s="817"/>
      <c r="I210" s="817"/>
      <c r="J210" s="796"/>
      <c r="K210" s="416">
        <f>SUM(K208:K209)</f>
        <v>22.5</v>
      </c>
      <c r="L210" s="134"/>
      <c r="M210" s="135"/>
      <c r="N210" s="135"/>
      <c r="O210" s="135"/>
      <c r="P210" s="135"/>
      <c r="Q210" s="136"/>
    </row>
    <row r="211" spans="1:17" x14ac:dyDescent="0.15">
      <c r="A211" s="790"/>
      <c r="B211" s="791"/>
      <c r="C211" s="791"/>
      <c r="D211" s="791"/>
      <c r="E211" s="791"/>
      <c r="F211" s="791"/>
      <c r="G211" s="791"/>
      <c r="H211" s="791"/>
      <c r="I211" s="791"/>
      <c r="J211" s="791"/>
      <c r="K211" s="791"/>
      <c r="L211" s="791"/>
      <c r="M211" s="791"/>
      <c r="N211" s="791"/>
      <c r="O211" s="791"/>
      <c r="P211" s="791"/>
      <c r="Q211" s="792"/>
    </row>
    <row r="212" spans="1:17" s="121" customFormat="1" ht="18" customHeight="1" x14ac:dyDescent="0.15">
      <c r="A212" s="218" t="s">
        <v>0</v>
      </c>
      <c r="B212" s="793" t="s">
        <v>1575</v>
      </c>
      <c r="C212" s="794"/>
      <c r="D212" s="794"/>
      <c r="E212" s="794"/>
      <c r="F212" s="794"/>
      <c r="G212" s="794"/>
      <c r="H212" s="794"/>
      <c r="I212" s="794"/>
      <c r="J212" s="794"/>
      <c r="K212" s="794"/>
      <c r="L212" s="794"/>
      <c r="M212" s="794"/>
      <c r="N212" s="821"/>
      <c r="O212" s="216" t="s">
        <v>73</v>
      </c>
      <c r="P212" s="795" t="s">
        <v>193</v>
      </c>
      <c r="Q212" s="796"/>
    </row>
    <row r="213" spans="1:17" x14ac:dyDescent="0.15">
      <c r="A213" s="790"/>
      <c r="B213" s="791"/>
      <c r="C213" s="791"/>
      <c r="D213" s="791"/>
      <c r="E213" s="791"/>
      <c r="F213" s="791"/>
      <c r="G213" s="791"/>
      <c r="H213" s="791"/>
      <c r="I213" s="791"/>
      <c r="J213" s="791"/>
      <c r="K213" s="791"/>
      <c r="L213" s="791"/>
      <c r="M213" s="791"/>
      <c r="N213" s="791"/>
      <c r="O213" s="791"/>
      <c r="P213" s="791"/>
      <c r="Q213" s="792"/>
    </row>
    <row r="214" spans="1:17" s="126" customFormat="1" ht="12.75" customHeight="1" x14ac:dyDescent="0.15">
      <c r="A214" s="802" t="s">
        <v>150</v>
      </c>
      <c r="B214" s="848" t="s">
        <v>151</v>
      </c>
      <c r="C214" s="849"/>
      <c r="D214" s="802"/>
      <c r="E214" s="825" t="s">
        <v>152</v>
      </c>
      <c r="F214" s="826"/>
      <c r="G214" s="834"/>
      <c r="H214" s="802" t="s">
        <v>153</v>
      </c>
      <c r="I214" s="802" t="s">
        <v>242</v>
      </c>
      <c r="J214" s="804" t="s">
        <v>73</v>
      </c>
      <c r="K214" s="216" t="s">
        <v>154</v>
      </c>
      <c r="L214" s="123"/>
      <c r="M214" s="124"/>
      <c r="N214" s="124"/>
      <c r="O214" s="124"/>
      <c r="P214" s="124"/>
      <c r="Q214" s="125"/>
    </row>
    <row r="215" spans="1:17" s="130" customFormat="1" x14ac:dyDescent="0.15">
      <c r="A215" s="803"/>
      <c r="B215" s="850"/>
      <c r="C215" s="851"/>
      <c r="D215" s="803"/>
      <c r="E215" s="217" t="s">
        <v>155</v>
      </c>
      <c r="F215" s="217" t="s">
        <v>156</v>
      </c>
      <c r="G215" s="217" t="s">
        <v>157</v>
      </c>
      <c r="H215" s="803"/>
      <c r="I215" s="803"/>
      <c r="J215" s="805"/>
      <c r="K215" s="216" t="s">
        <v>158</v>
      </c>
      <c r="L215" s="127"/>
      <c r="M215" s="128"/>
      <c r="N215" s="128"/>
      <c r="O215" s="128"/>
      <c r="P215" s="128"/>
      <c r="Q215" s="129"/>
    </row>
    <row r="216" spans="1:17" ht="33" customHeight="1" x14ac:dyDescent="0.15">
      <c r="A216" s="148"/>
      <c r="B216" s="788" t="s">
        <v>1576</v>
      </c>
      <c r="C216" s="789"/>
      <c r="D216" s="149"/>
      <c r="E216" s="143">
        <v>11.87</v>
      </c>
      <c r="F216" s="143">
        <v>0.25</v>
      </c>
      <c r="G216" s="143">
        <v>0.25</v>
      </c>
      <c r="H216" s="143">
        <v>1</v>
      </c>
      <c r="I216" s="143">
        <f t="shared" ref="I216:I217" si="39">E216</f>
        <v>11.87</v>
      </c>
      <c r="J216" s="133" t="s">
        <v>193</v>
      </c>
      <c r="K216" s="143">
        <f t="shared" ref="K216:K217" si="40">I216*H216</f>
        <v>11.87</v>
      </c>
      <c r="L216" s="127"/>
      <c r="M216" s="128"/>
      <c r="N216" s="128"/>
      <c r="O216" s="128"/>
      <c r="P216" s="128"/>
      <c r="Q216" s="129"/>
    </row>
    <row r="217" spans="1:17" ht="33" customHeight="1" x14ac:dyDescent="0.15">
      <c r="A217" s="148"/>
      <c r="B217" s="788" t="s">
        <v>1577</v>
      </c>
      <c r="C217" s="789"/>
      <c r="D217" s="149"/>
      <c r="E217" s="143">
        <v>8.0399999999999991</v>
      </c>
      <c r="F217" s="143">
        <v>0.25</v>
      </c>
      <c r="G217" s="143">
        <v>0.25</v>
      </c>
      <c r="H217" s="143">
        <v>1</v>
      </c>
      <c r="I217" s="143">
        <f t="shared" si="39"/>
        <v>8.0399999999999991</v>
      </c>
      <c r="J217" s="133" t="s">
        <v>193</v>
      </c>
      <c r="K217" s="143">
        <f t="shared" si="40"/>
        <v>8.0399999999999991</v>
      </c>
      <c r="L217" s="127"/>
      <c r="M217" s="128"/>
      <c r="N217" s="128"/>
      <c r="O217" s="128"/>
      <c r="P217" s="128"/>
      <c r="Q217" s="129"/>
    </row>
    <row r="218" spans="1:17" ht="14" x14ac:dyDescent="0.15">
      <c r="A218" s="795" t="s">
        <v>149</v>
      </c>
      <c r="B218" s="817"/>
      <c r="C218" s="817"/>
      <c r="D218" s="817"/>
      <c r="E218" s="817"/>
      <c r="F218" s="817"/>
      <c r="G218" s="817"/>
      <c r="H218" s="817"/>
      <c r="I218" s="817"/>
      <c r="J218" s="796"/>
      <c r="K218" s="416">
        <f>SUM(K216:K217)</f>
        <v>19.909999999999997</v>
      </c>
      <c r="L218" s="134"/>
      <c r="M218" s="135"/>
      <c r="N218" s="135"/>
      <c r="O218" s="135"/>
      <c r="P218" s="135"/>
      <c r="Q218" s="136"/>
    </row>
    <row r="219" spans="1:17" x14ac:dyDescent="0.15">
      <c r="A219" s="790"/>
      <c r="B219" s="791"/>
      <c r="C219" s="791"/>
      <c r="D219" s="791"/>
      <c r="E219" s="791"/>
      <c r="F219" s="791"/>
      <c r="G219" s="791"/>
      <c r="H219" s="791"/>
      <c r="I219" s="791"/>
      <c r="J219" s="791"/>
      <c r="K219" s="791"/>
      <c r="L219" s="791"/>
      <c r="M219" s="791"/>
      <c r="N219" s="791"/>
      <c r="O219" s="791"/>
      <c r="P219" s="791"/>
      <c r="Q219" s="792"/>
    </row>
    <row r="220" spans="1:17" s="121" customFormat="1" ht="18" customHeight="1" x14ac:dyDescent="0.15">
      <c r="A220" s="218" t="s">
        <v>0</v>
      </c>
      <c r="B220" s="793" t="s">
        <v>1567</v>
      </c>
      <c r="C220" s="794"/>
      <c r="D220" s="794"/>
      <c r="E220" s="794"/>
      <c r="F220" s="794"/>
      <c r="G220" s="794"/>
      <c r="H220" s="794"/>
      <c r="I220" s="794"/>
      <c r="J220" s="794"/>
      <c r="K220" s="794"/>
      <c r="L220" s="794"/>
      <c r="M220" s="794"/>
      <c r="N220" s="794"/>
      <c r="O220" s="216" t="s">
        <v>73</v>
      </c>
      <c r="P220" s="795" t="s">
        <v>193</v>
      </c>
      <c r="Q220" s="796"/>
    </row>
    <row r="221" spans="1:17" x14ac:dyDescent="0.15">
      <c r="A221" s="790"/>
      <c r="B221" s="791"/>
      <c r="C221" s="791"/>
      <c r="D221" s="791"/>
      <c r="E221" s="791"/>
      <c r="F221" s="791"/>
      <c r="G221" s="791"/>
      <c r="H221" s="791"/>
      <c r="I221" s="791"/>
      <c r="J221" s="791"/>
      <c r="K221" s="791"/>
      <c r="L221" s="791"/>
      <c r="M221" s="791"/>
      <c r="N221" s="791"/>
      <c r="O221" s="791"/>
      <c r="P221" s="791"/>
      <c r="Q221" s="792"/>
    </row>
    <row r="222" spans="1:17" s="126" customFormat="1" x14ac:dyDescent="0.15">
      <c r="A222" s="822" t="s">
        <v>150</v>
      </c>
      <c r="B222" s="823" t="s">
        <v>151</v>
      </c>
      <c r="C222" s="823"/>
      <c r="D222" s="802"/>
      <c r="E222" s="823" t="s">
        <v>152</v>
      </c>
      <c r="F222" s="823"/>
      <c r="G222" s="823"/>
      <c r="H222" s="802" t="s">
        <v>153</v>
      </c>
      <c r="I222" s="802" t="s">
        <v>242</v>
      </c>
      <c r="J222" s="804" t="s">
        <v>73</v>
      </c>
      <c r="K222" s="216" t="s">
        <v>154</v>
      </c>
      <c r="L222" s="123"/>
      <c r="M222" s="124"/>
      <c r="N222" s="124"/>
      <c r="O222" s="124"/>
      <c r="P222" s="124"/>
      <c r="Q222" s="125"/>
    </row>
    <row r="223" spans="1:17" s="130" customFormat="1" x14ac:dyDescent="0.15">
      <c r="A223" s="822"/>
      <c r="B223" s="823"/>
      <c r="C223" s="823"/>
      <c r="D223" s="803"/>
      <c r="E223" s="217" t="s">
        <v>155</v>
      </c>
      <c r="F223" s="217" t="s">
        <v>156</v>
      </c>
      <c r="G223" s="217" t="s">
        <v>157</v>
      </c>
      <c r="H223" s="803"/>
      <c r="I223" s="803"/>
      <c r="J223" s="805"/>
      <c r="K223" s="216" t="s">
        <v>158</v>
      </c>
      <c r="L223" s="127"/>
      <c r="M223" s="128"/>
      <c r="N223" s="128"/>
      <c r="O223" s="128"/>
      <c r="P223" s="128"/>
      <c r="Q223" s="129"/>
    </row>
    <row r="224" spans="1:17" ht="48" customHeight="1" x14ac:dyDescent="0.15">
      <c r="A224" s="148"/>
      <c r="B224" s="788" t="s">
        <v>1578</v>
      </c>
      <c r="C224" s="789"/>
      <c r="D224" s="149"/>
      <c r="E224" s="143">
        <v>11.87</v>
      </c>
      <c r="F224" s="143">
        <v>0.1</v>
      </c>
      <c r="G224" s="143">
        <v>0.25</v>
      </c>
      <c r="H224" s="143">
        <v>1</v>
      </c>
      <c r="I224" s="143">
        <f t="shared" ref="I224:I225" si="41">E224</f>
        <v>11.87</v>
      </c>
      <c r="J224" s="133" t="s">
        <v>193</v>
      </c>
      <c r="K224" s="143">
        <f t="shared" ref="K224:K225" si="42">I224*H224</f>
        <v>11.87</v>
      </c>
      <c r="L224" s="127"/>
      <c r="M224" s="128"/>
      <c r="N224" s="128"/>
      <c r="O224" s="128"/>
      <c r="P224" s="128"/>
      <c r="Q224" s="129"/>
    </row>
    <row r="225" spans="1:17" ht="48" customHeight="1" x14ac:dyDescent="0.15">
      <c r="A225" s="148"/>
      <c r="B225" s="788" t="s">
        <v>1579</v>
      </c>
      <c r="C225" s="789"/>
      <c r="D225" s="149"/>
      <c r="E225" s="143">
        <v>8.0399999999999991</v>
      </c>
      <c r="F225" s="143">
        <v>0.1</v>
      </c>
      <c r="G225" s="143">
        <v>0.25</v>
      </c>
      <c r="H225" s="143">
        <v>1</v>
      </c>
      <c r="I225" s="143">
        <f t="shared" si="41"/>
        <v>8.0399999999999991</v>
      </c>
      <c r="J225" s="133" t="s">
        <v>193</v>
      </c>
      <c r="K225" s="143">
        <f t="shared" si="42"/>
        <v>8.0399999999999991</v>
      </c>
      <c r="L225" s="127"/>
      <c r="M225" s="128"/>
      <c r="N225" s="128"/>
      <c r="O225" s="128"/>
      <c r="P225" s="128"/>
      <c r="Q225" s="129"/>
    </row>
    <row r="226" spans="1:17" ht="14" x14ac:dyDescent="0.15">
      <c r="A226" s="795" t="s">
        <v>149</v>
      </c>
      <c r="B226" s="817"/>
      <c r="C226" s="817"/>
      <c r="D226" s="817"/>
      <c r="E226" s="817"/>
      <c r="F226" s="817"/>
      <c r="G226" s="817"/>
      <c r="H226" s="817"/>
      <c r="I226" s="817"/>
      <c r="J226" s="796"/>
      <c r="K226" s="416">
        <f>SUM(K224:K225)</f>
        <v>19.909999999999997</v>
      </c>
      <c r="L226" s="134"/>
      <c r="M226" s="135"/>
      <c r="N226" s="135"/>
      <c r="O226" s="135"/>
      <c r="P226" s="135"/>
      <c r="Q226" s="136"/>
    </row>
    <row r="227" spans="1:17" x14ac:dyDescent="0.15">
      <c r="A227" s="790"/>
      <c r="B227" s="791"/>
      <c r="C227" s="791"/>
      <c r="D227" s="791"/>
      <c r="E227" s="791"/>
      <c r="F227" s="791"/>
      <c r="G227" s="791"/>
      <c r="H227" s="791"/>
      <c r="I227" s="791"/>
      <c r="J227" s="791"/>
      <c r="K227" s="791"/>
      <c r="L227" s="791"/>
      <c r="M227" s="791"/>
      <c r="N227" s="791"/>
      <c r="O227" s="791"/>
      <c r="P227" s="791"/>
      <c r="Q227" s="792"/>
    </row>
    <row r="228" spans="1:17" s="121" customFormat="1" ht="18" customHeight="1" x14ac:dyDescent="0.15">
      <c r="A228" s="218" t="s">
        <v>0</v>
      </c>
      <c r="B228" s="835" t="s">
        <v>1580</v>
      </c>
      <c r="C228" s="836"/>
      <c r="D228" s="836"/>
      <c r="E228" s="836"/>
      <c r="F228" s="836"/>
      <c r="G228" s="836"/>
      <c r="H228" s="836"/>
      <c r="I228" s="836"/>
      <c r="J228" s="836"/>
      <c r="K228" s="836"/>
      <c r="L228" s="836"/>
      <c r="M228" s="836"/>
      <c r="N228" s="837"/>
      <c r="O228" s="216" t="s">
        <v>73</v>
      </c>
      <c r="P228" s="795" t="s">
        <v>5</v>
      </c>
      <c r="Q228" s="796"/>
    </row>
    <row r="229" spans="1:17" x14ac:dyDescent="0.15">
      <c r="A229" s="790"/>
      <c r="B229" s="791"/>
      <c r="C229" s="791"/>
      <c r="D229" s="791"/>
      <c r="E229" s="791"/>
      <c r="F229" s="791"/>
      <c r="G229" s="791"/>
      <c r="H229" s="791"/>
      <c r="I229" s="791"/>
      <c r="J229" s="791"/>
      <c r="K229" s="791"/>
      <c r="L229" s="791"/>
      <c r="M229" s="791"/>
      <c r="N229" s="791"/>
      <c r="O229" s="791"/>
      <c r="P229" s="791"/>
      <c r="Q229" s="792"/>
    </row>
    <row r="230" spans="1:17" s="126" customFormat="1" x14ac:dyDescent="0.15">
      <c r="A230" s="822" t="s">
        <v>150</v>
      </c>
      <c r="B230" s="823" t="s">
        <v>151</v>
      </c>
      <c r="C230" s="823"/>
      <c r="D230" s="832" t="s">
        <v>264</v>
      </c>
      <c r="E230" s="823" t="s">
        <v>152</v>
      </c>
      <c r="F230" s="823"/>
      <c r="G230" s="823"/>
      <c r="H230" s="802" t="s">
        <v>153</v>
      </c>
      <c r="I230" s="802" t="s">
        <v>159</v>
      </c>
      <c r="J230" s="804" t="s">
        <v>73</v>
      </c>
      <c r="K230" s="216" t="s">
        <v>154</v>
      </c>
      <c r="L230" s="123"/>
      <c r="M230" s="124"/>
      <c r="N230" s="124"/>
      <c r="O230" s="124"/>
      <c r="P230" s="124"/>
      <c r="Q230" s="125"/>
    </row>
    <row r="231" spans="1:17" s="130" customFormat="1" x14ac:dyDescent="0.15">
      <c r="A231" s="822"/>
      <c r="B231" s="823"/>
      <c r="C231" s="823"/>
      <c r="D231" s="833"/>
      <c r="E231" s="217" t="s">
        <v>155</v>
      </c>
      <c r="F231" s="217" t="s">
        <v>156</v>
      </c>
      <c r="G231" s="217" t="s">
        <v>157</v>
      </c>
      <c r="H231" s="803"/>
      <c r="I231" s="803"/>
      <c r="J231" s="805"/>
      <c r="K231" s="216" t="s">
        <v>158</v>
      </c>
      <c r="L231" s="127"/>
      <c r="M231" s="128"/>
      <c r="N231" s="128"/>
      <c r="O231" s="128"/>
      <c r="P231" s="128"/>
      <c r="Q231" s="129"/>
    </row>
    <row r="232" spans="1:17" ht="19.5" customHeight="1" x14ac:dyDescent="0.15">
      <c r="A232" s="148"/>
      <c r="B232" s="788" t="s">
        <v>1009</v>
      </c>
      <c r="C232" s="789"/>
      <c r="D232" s="143">
        <v>0</v>
      </c>
      <c r="E232" s="143">
        <v>11.27</v>
      </c>
      <c r="F232" s="143">
        <v>0.15</v>
      </c>
      <c r="G232" s="143">
        <v>0.8</v>
      </c>
      <c r="H232" s="143">
        <v>1</v>
      </c>
      <c r="I232" s="143">
        <f t="shared" ref="I232" si="43">G232*E232</f>
        <v>9.016</v>
      </c>
      <c r="J232" s="133" t="s">
        <v>5</v>
      </c>
      <c r="K232" s="143">
        <f t="shared" ref="K232" si="44">(I232*H232)-D232</f>
        <v>9.016</v>
      </c>
      <c r="L232" s="127"/>
      <c r="M232" s="128"/>
      <c r="N232" s="128"/>
      <c r="O232" s="128"/>
      <c r="P232" s="128"/>
      <c r="Q232" s="129"/>
    </row>
    <row r="233" spans="1:17" ht="19.5" customHeight="1" x14ac:dyDescent="0.15">
      <c r="A233" s="148"/>
      <c r="B233" s="788" t="s">
        <v>1010</v>
      </c>
      <c r="C233" s="789"/>
      <c r="D233" s="143">
        <v>0</v>
      </c>
      <c r="E233" s="143">
        <f>8.04-0.8</f>
        <v>7.2399999999999993</v>
      </c>
      <c r="F233" s="143">
        <v>0.15</v>
      </c>
      <c r="G233" s="143">
        <v>0.8</v>
      </c>
      <c r="H233" s="143">
        <v>1</v>
      </c>
      <c r="I233" s="143">
        <f t="shared" ref="I233" si="45">G233*E233</f>
        <v>5.7919999999999998</v>
      </c>
      <c r="J233" s="133" t="s">
        <v>5</v>
      </c>
      <c r="K233" s="143">
        <f t="shared" ref="K233" si="46">(I233*H233)-D233</f>
        <v>5.7919999999999998</v>
      </c>
      <c r="L233" s="127"/>
      <c r="M233" s="128"/>
      <c r="N233" s="128"/>
      <c r="O233" s="128"/>
      <c r="P233" s="128"/>
      <c r="Q233" s="129"/>
    </row>
    <row r="234" spans="1:17" ht="19.5" customHeight="1" x14ac:dyDescent="0.15">
      <c r="A234" s="148"/>
      <c r="B234" s="788" t="s">
        <v>1011</v>
      </c>
      <c r="C234" s="789"/>
      <c r="D234" s="143">
        <v>0</v>
      </c>
      <c r="E234" s="143">
        <f>14.57-0.8</f>
        <v>13.77</v>
      </c>
      <c r="F234" s="143">
        <v>0.15</v>
      </c>
      <c r="G234" s="143">
        <v>0.8</v>
      </c>
      <c r="H234" s="143">
        <v>1</v>
      </c>
      <c r="I234" s="143">
        <f t="shared" ref="I234" si="47">G234*E234</f>
        <v>11.016</v>
      </c>
      <c r="J234" s="133" t="s">
        <v>5</v>
      </c>
      <c r="K234" s="143">
        <f t="shared" ref="K234" si="48">(I234*H234)-D234</f>
        <v>11.016</v>
      </c>
      <c r="L234" s="127"/>
      <c r="M234" s="128"/>
      <c r="N234" s="128"/>
      <c r="O234" s="128"/>
      <c r="P234" s="128"/>
      <c r="Q234" s="129"/>
    </row>
    <row r="235" spans="1:17" ht="14" x14ac:dyDescent="0.15">
      <c r="A235" s="795" t="s">
        <v>149</v>
      </c>
      <c r="B235" s="817"/>
      <c r="C235" s="817"/>
      <c r="D235" s="817"/>
      <c r="E235" s="817"/>
      <c r="F235" s="817"/>
      <c r="G235" s="817"/>
      <c r="H235" s="817"/>
      <c r="I235" s="817"/>
      <c r="J235" s="796"/>
      <c r="K235" s="416">
        <f>SUM(K232:K234)</f>
        <v>25.823999999999998</v>
      </c>
      <c r="L235" s="134"/>
      <c r="M235" s="135"/>
      <c r="N235" s="135"/>
      <c r="O235" s="135"/>
      <c r="P235" s="135"/>
      <c r="Q235" s="136"/>
    </row>
    <row r="236" spans="1:17" x14ac:dyDescent="0.15">
      <c r="A236" s="790"/>
      <c r="B236" s="791"/>
      <c r="C236" s="791"/>
      <c r="D236" s="791"/>
      <c r="E236" s="791"/>
      <c r="F236" s="791"/>
      <c r="G236" s="791"/>
      <c r="H236" s="791"/>
      <c r="I236" s="791"/>
      <c r="J236" s="791"/>
      <c r="K236" s="791"/>
      <c r="L236" s="791"/>
      <c r="M236" s="791"/>
      <c r="N236" s="791"/>
      <c r="O236" s="791"/>
      <c r="P236" s="791"/>
      <c r="Q236" s="792"/>
    </row>
    <row r="237" spans="1:17" s="121" customFormat="1" ht="18" customHeight="1" x14ac:dyDescent="0.15">
      <c r="A237" s="218" t="s">
        <v>0</v>
      </c>
      <c r="B237" s="835" t="s">
        <v>1569</v>
      </c>
      <c r="C237" s="836"/>
      <c r="D237" s="836"/>
      <c r="E237" s="836"/>
      <c r="F237" s="836"/>
      <c r="G237" s="836"/>
      <c r="H237" s="836"/>
      <c r="I237" s="836"/>
      <c r="J237" s="836"/>
      <c r="K237" s="836"/>
      <c r="L237" s="836"/>
      <c r="M237" s="836"/>
      <c r="N237" s="837"/>
      <c r="O237" s="216" t="s">
        <v>73</v>
      </c>
      <c r="P237" s="795" t="s">
        <v>5</v>
      </c>
      <c r="Q237" s="796"/>
    </row>
    <row r="238" spans="1:17" x14ac:dyDescent="0.15">
      <c r="A238" s="790"/>
      <c r="B238" s="791"/>
      <c r="C238" s="791"/>
      <c r="D238" s="791"/>
      <c r="E238" s="791"/>
      <c r="F238" s="791"/>
      <c r="G238" s="791"/>
      <c r="H238" s="791"/>
      <c r="I238" s="791"/>
      <c r="J238" s="791"/>
      <c r="K238" s="791"/>
      <c r="L238" s="791"/>
      <c r="M238" s="791"/>
      <c r="N238" s="791"/>
      <c r="O238" s="791"/>
      <c r="P238" s="791"/>
      <c r="Q238" s="792"/>
    </row>
    <row r="239" spans="1:17" s="126" customFormat="1" x14ac:dyDescent="0.15">
      <c r="A239" s="822" t="s">
        <v>150</v>
      </c>
      <c r="B239" s="823" t="s">
        <v>151</v>
      </c>
      <c r="C239" s="823"/>
      <c r="D239" s="802"/>
      <c r="E239" s="823" t="s">
        <v>152</v>
      </c>
      <c r="F239" s="823"/>
      <c r="G239" s="823"/>
      <c r="H239" s="802" t="s">
        <v>153</v>
      </c>
      <c r="I239" s="802" t="s">
        <v>159</v>
      </c>
      <c r="J239" s="804" t="s">
        <v>73</v>
      </c>
      <c r="K239" s="216" t="s">
        <v>154</v>
      </c>
      <c r="L239" s="123"/>
      <c r="M239" s="124"/>
      <c r="N239" s="124"/>
      <c r="O239" s="124"/>
      <c r="P239" s="124"/>
      <c r="Q239" s="125"/>
    </row>
    <row r="240" spans="1:17" s="130" customFormat="1" x14ac:dyDescent="0.15">
      <c r="A240" s="822"/>
      <c r="B240" s="823"/>
      <c r="C240" s="823"/>
      <c r="D240" s="803"/>
      <c r="E240" s="217" t="s">
        <v>155</v>
      </c>
      <c r="F240" s="217" t="s">
        <v>156</v>
      </c>
      <c r="G240" s="217" t="s">
        <v>157</v>
      </c>
      <c r="H240" s="803"/>
      <c r="I240" s="803"/>
      <c r="J240" s="805"/>
      <c r="K240" s="216" t="s">
        <v>158</v>
      </c>
      <c r="L240" s="127"/>
      <c r="M240" s="128"/>
      <c r="N240" s="128"/>
      <c r="O240" s="128"/>
      <c r="P240" s="128"/>
      <c r="Q240" s="129"/>
    </row>
    <row r="241" spans="1:17" ht="30.75" customHeight="1" x14ac:dyDescent="0.15">
      <c r="A241" s="148"/>
      <c r="B241" s="788" t="s">
        <v>1012</v>
      </c>
      <c r="C241" s="789"/>
      <c r="D241" s="143"/>
      <c r="E241" s="143">
        <v>1.2</v>
      </c>
      <c r="F241" s="143">
        <v>1.2</v>
      </c>
      <c r="G241" s="143">
        <v>0.12</v>
      </c>
      <c r="H241" s="143">
        <v>1</v>
      </c>
      <c r="I241" s="143">
        <f>E241*F241</f>
        <v>1.44</v>
      </c>
      <c r="J241" s="133" t="s">
        <v>5</v>
      </c>
      <c r="K241" s="143">
        <f>I241*H241</f>
        <v>1.44</v>
      </c>
      <c r="L241" s="127"/>
      <c r="M241" s="128"/>
      <c r="N241" s="128"/>
      <c r="O241" s="128"/>
      <c r="P241" s="128"/>
      <c r="Q241" s="129"/>
    </row>
    <row r="242" spans="1:17" ht="14" x14ac:dyDescent="0.15">
      <c r="A242" s="795" t="s">
        <v>149</v>
      </c>
      <c r="B242" s="817"/>
      <c r="C242" s="817"/>
      <c r="D242" s="817"/>
      <c r="E242" s="817"/>
      <c r="F242" s="817"/>
      <c r="G242" s="817"/>
      <c r="H242" s="817"/>
      <c r="I242" s="817"/>
      <c r="J242" s="796"/>
      <c r="K242" s="416">
        <f>SUM(K241:K241)</f>
        <v>1.44</v>
      </c>
      <c r="L242" s="134"/>
      <c r="M242" s="135"/>
      <c r="N242" s="135"/>
      <c r="O242" s="135"/>
      <c r="P242" s="135"/>
      <c r="Q242" s="136"/>
    </row>
    <row r="243" spans="1:17" x14ac:dyDescent="0.15">
      <c r="A243" s="790"/>
      <c r="B243" s="791"/>
      <c r="C243" s="791"/>
      <c r="D243" s="791"/>
      <c r="E243" s="791"/>
      <c r="F243" s="791"/>
      <c r="G243" s="791"/>
      <c r="H243" s="791"/>
      <c r="I243" s="791"/>
      <c r="J243" s="791"/>
      <c r="K243" s="791"/>
      <c r="L243" s="791"/>
      <c r="M243" s="791"/>
      <c r="N243" s="791"/>
      <c r="O243" s="791"/>
      <c r="P243" s="791"/>
      <c r="Q243" s="792"/>
    </row>
    <row r="244" spans="1:17" s="121" customFormat="1" ht="18" customHeight="1" x14ac:dyDescent="0.15">
      <c r="A244" s="218" t="s">
        <v>0</v>
      </c>
      <c r="B244" s="835" t="s">
        <v>1551</v>
      </c>
      <c r="C244" s="836"/>
      <c r="D244" s="836"/>
      <c r="E244" s="836"/>
      <c r="F244" s="836"/>
      <c r="G244" s="836"/>
      <c r="H244" s="836"/>
      <c r="I244" s="836"/>
      <c r="J244" s="836"/>
      <c r="K244" s="836"/>
      <c r="L244" s="836"/>
      <c r="M244" s="836"/>
      <c r="N244" s="837"/>
      <c r="O244" s="216" t="s">
        <v>73</v>
      </c>
      <c r="P244" s="795" t="s">
        <v>5</v>
      </c>
      <c r="Q244" s="796"/>
    </row>
    <row r="245" spans="1:17" x14ac:dyDescent="0.15">
      <c r="A245" s="790"/>
      <c r="B245" s="791"/>
      <c r="C245" s="791"/>
      <c r="D245" s="791"/>
      <c r="E245" s="791"/>
      <c r="F245" s="791"/>
      <c r="G245" s="791"/>
      <c r="H245" s="791"/>
      <c r="I245" s="791"/>
      <c r="J245" s="791"/>
      <c r="K245" s="791"/>
      <c r="L245" s="791"/>
      <c r="M245" s="791"/>
      <c r="N245" s="791"/>
      <c r="O245" s="791"/>
      <c r="P245" s="791"/>
      <c r="Q245" s="792"/>
    </row>
    <row r="246" spans="1:17" s="126" customFormat="1" x14ac:dyDescent="0.15">
      <c r="A246" s="822" t="s">
        <v>150</v>
      </c>
      <c r="B246" s="823" t="s">
        <v>151</v>
      </c>
      <c r="C246" s="823"/>
      <c r="D246" s="832" t="s">
        <v>264</v>
      </c>
      <c r="E246" s="823" t="s">
        <v>152</v>
      </c>
      <c r="F246" s="823"/>
      <c r="G246" s="823"/>
      <c r="H246" s="802" t="s">
        <v>153</v>
      </c>
      <c r="I246" s="802" t="s">
        <v>159</v>
      </c>
      <c r="J246" s="804" t="s">
        <v>73</v>
      </c>
      <c r="K246" s="216" t="s">
        <v>154</v>
      </c>
      <c r="L246" s="123"/>
      <c r="M246" s="124"/>
      <c r="N246" s="124"/>
      <c r="O246" s="124"/>
      <c r="P246" s="124"/>
      <c r="Q246" s="125"/>
    </row>
    <row r="247" spans="1:17" s="130" customFormat="1" x14ac:dyDescent="0.15">
      <c r="A247" s="822"/>
      <c r="B247" s="823"/>
      <c r="C247" s="823"/>
      <c r="D247" s="833"/>
      <c r="E247" s="217" t="s">
        <v>155</v>
      </c>
      <c r="F247" s="217" t="s">
        <v>156</v>
      </c>
      <c r="G247" s="217" t="s">
        <v>157</v>
      </c>
      <c r="H247" s="803"/>
      <c r="I247" s="803"/>
      <c r="J247" s="805"/>
      <c r="K247" s="216" t="s">
        <v>158</v>
      </c>
      <c r="L247" s="127"/>
      <c r="M247" s="128"/>
      <c r="N247" s="128"/>
      <c r="O247" s="128"/>
      <c r="P247" s="128"/>
      <c r="Q247" s="129"/>
    </row>
    <row r="248" spans="1:17" ht="19.5" customHeight="1" x14ac:dyDescent="0.15">
      <c r="A248" s="148"/>
      <c r="B248" s="788" t="s">
        <v>1018</v>
      </c>
      <c r="C248" s="789"/>
      <c r="D248" s="143">
        <v>0</v>
      </c>
      <c r="E248" s="143">
        <v>11.87</v>
      </c>
      <c r="F248" s="143">
        <v>2.98</v>
      </c>
      <c r="G248" s="143">
        <v>0.1</v>
      </c>
      <c r="H248" s="143">
        <v>1</v>
      </c>
      <c r="I248" s="143">
        <f>F248*E248</f>
        <v>35.372599999999998</v>
      </c>
      <c r="J248" s="133" t="s">
        <v>5</v>
      </c>
      <c r="K248" s="143">
        <f t="shared" ref="K248:K250" si="49">(I248*H248)-D248</f>
        <v>35.372599999999998</v>
      </c>
      <c r="L248" s="127"/>
      <c r="M248" s="128"/>
      <c r="N248" s="128"/>
      <c r="O248" s="128"/>
      <c r="P248" s="128"/>
      <c r="Q248" s="129"/>
    </row>
    <row r="249" spans="1:17" ht="19.5" customHeight="1" x14ac:dyDescent="0.15">
      <c r="A249" s="148"/>
      <c r="B249" s="815" t="s">
        <v>1000</v>
      </c>
      <c r="C249" s="816"/>
      <c r="D249" s="671">
        <v>0</v>
      </c>
      <c r="E249" s="143">
        <v>5.46</v>
      </c>
      <c r="F249" s="143">
        <v>2.82</v>
      </c>
      <c r="G249" s="143">
        <v>0.1</v>
      </c>
      <c r="H249" s="143">
        <v>1</v>
      </c>
      <c r="I249" s="143">
        <f t="shared" ref="I249:I251" si="50">F249*E249</f>
        <v>15.3972</v>
      </c>
      <c r="J249" s="133" t="s">
        <v>5</v>
      </c>
      <c r="K249" s="143">
        <f t="shared" si="49"/>
        <v>15.3972</v>
      </c>
      <c r="L249" s="127"/>
      <c r="M249" s="128"/>
      <c r="N249" s="128"/>
      <c r="O249" s="128"/>
      <c r="P249" s="128"/>
      <c r="Q249" s="129"/>
    </row>
    <row r="250" spans="1:17" ht="19.5" customHeight="1" x14ac:dyDescent="0.15">
      <c r="A250" s="148"/>
      <c r="B250" s="815" t="s">
        <v>1001</v>
      </c>
      <c r="C250" s="816"/>
      <c r="D250" s="671">
        <v>0</v>
      </c>
      <c r="E250" s="143">
        <v>4.51</v>
      </c>
      <c r="F250" s="143">
        <v>3.54</v>
      </c>
      <c r="G250" s="143">
        <v>0.1</v>
      </c>
      <c r="H250" s="143">
        <v>1</v>
      </c>
      <c r="I250" s="143">
        <f t="shared" si="50"/>
        <v>15.965399999999999</v>
      </c>
      <c r="J250" s="133" t="s">
        <v>5</v>
      </c>
      <c r="K250" s="143">
        <f t="shared" si="49"/>
        <v>15.965399999999999</v>
      </c>
      <c r="L250" s="127"/>
      <c r="M250" s="128"/>
      <c r="N250" s="128"/>
      <c r="O250" s="128"/>
      <c r="P250" s="128"/>
      <c r="Q250" s="129"/>
    </row>
    <row r="251" spans="1:17" ht="27" customHeight="1" x14ac:dyDescent="0.15">
      <c r="A251" s="148"/>
      <c r="B251" s="815" t="s">
        <v>1002</v>
      </c>
      <c r="C251" s="816"/>
      <c r="D251" s="671">
        <v>0</v>
      </c>
      <c r="E251" s="143">
        <v>4.51</v>
      </c>
      <c r="F251" s="143">
        <v>4.0599999999999996</v>
      </c>
      <c r="G251" s="143">
        <v>0.1</v>
      </c>
      <c r="H251" s="143">
        <v>1</v>
      </c>
      <c r="I251" s="143">
        <f t="shared" si="50"/>
        <v>18.310599999999997</v>
      </c>
      <c r="J251" s="133" t="s">
        <v>5</v>
      </c>
      <c r="K251" s="143">
        <f t="shared" ref="K251" si="51">(I251*H251)-D251</f>
        <v>18.310599999999997</v>
      </c>
      <c r="L251" s="127"/>
      <c r="M251" s="128"/>
      <c r="N251" s="128"/>
      <c r="O251" s="128"/>
      <c r="P251" s="128"/>
      <c r="Q251" s="129"/>
    </row>
    <row r="252" spans="1:17" ht="14" x14ac:dyDescent="0.15">
      <c r="A252" s="795" t="s">
        <v>149</v>
      </c>
      <c r="B252" s="817"/>
      <c r="C252" s="817"/>
      <c r="D252" s="817"/>
      <c r="E252" s="817"/>
      <c r="F252" s="817"/>
      <c r="G252" s="817"/>
      <c r="H252" s="817"/>
      <c r="I252" s="817"/>
      <c r="J252" s="796"/>
      <c r="K252" s="416">
        <f>SUM(K248:K251)</f>
        <v>85.045799999999986</v>
      </c>
      <c r="L252" s="134"/>
      <c r="M252" s="135"/>
      <c r="N252" s="135"/>
      <c r="O252" s="135"/>
      <c r="P252" s="135"/>
      <c r="Q252" s="136"/>
    </row>
    <row r="253" spans="1:17" x14ac:dyDescent="0.15">
      <c r="A253" s="790"/>
      <c r="B253" s="791"/>
      <c r="C253" s="791"/>
      <c r="D253" s="791"/>
      <c r="E253" s="791"/>
      <c r="F253" s="791"/>
      <c r="G253" s="791"/>
      <c r="H253" s="791"/>
      <c r="I253" s="791"/>
      <c r="J253" s="791"/>
      <c r="K253" s="791"/>
      <c r="L253" s="791"/>
      <c r="M253" s="791"/>
      <c r="N253" s="791"/>
      <c r="O253" s="791"/>
      <c r="P253" s="791"/>
      <c r="Q253" s="792"/>
    </row>
    <row r="254" spans="1:17" s="121" customFormat="1" ht="18" customHeight="1" x14ac:dyDescent="0.15">
      <c r="A254" s="218" t="s">
        <v>0</v>
      </c>
      <c r="B254" s="835" t="s">
        <v>1021</v>
      </c>
      <c r="C254" s="836"/>
      <c r="D254" s="836"/>
      <c r="E254" s="836"/>
      <c r="F254" s="836"/>
      <c r="G254" s="836"/>
      <c r="H254" s="836"/>
      <c r="I254" s="836"/>
      <c r="J254" s="836"/>
      <c r="K254" s="836"/>
      <c r="L254" s="836"/>
      <c r="M254" s="836"/>
      <c r="N254" s="837"/>
      <c r="O254" s="216" t="s">
        <v>73</v>
      </c>
      <c r="P254" s="795" t="s">
        <v>5</v>
      </c>
      <c r="Q254" s="796"/>
    </row>
    <row r="255" spans="1:17" x14ac:dyDescent="0.15">
      <c r="A255" s="790"/>
      <c r="B255" s="791"/>
      <c r="C255" s="791"/>
      <c r="D255" s="791"/>
      <c r="E255" s="791"/>
      <c r="F255" s="791"/>
      <c r="G255" s="791"/>
      <c r="H255" s="791"/>
      <c r="I255" s="791"/>
      <c r="J255" s="791"/>
      <c r="K255" s="791"/>
      <c r="L255" s="791"/>
      <c r="M255" s="791"/>
      <c r="N255" s="791"/>
      <c r="O255" s="791"/>
      <c r="P255" s="791"/>
      <c r="Q255" s="792"/>
    </row>
    <row r="256" spans="1:17" s="126" customFormat="1" x14ac:dyDescent="0.15">
      <c r="A256" s="822" t="s">
        <v>150</v>
      </c>
      <c r="B256" s="823" t="s">
        <v>151</v>
      </c>
      <c r="C256" s="823"/>
      <c r="D256" s="832" t="s">
        <v>264</v>
      </c>
      <c r="E256" s="823" t="s">
        <v>152</v>
      </c>
      <c r="F256" s="823"/>
      <c r="G256" s="823"/>
      <c r="H256" s="802" t="s">
        <v>153</v>
      </c>
      <c r="I256" s="802" t="s">
        <v>159</v>
      </c>
      <c r="J256" s="804" t="s">
        <v>73</v>
      </c>
      <c r="K256" s="216" t="s">
        <v>154</v>
      </c>
      <c r="L256" s="123"/>
      <c r="M256" s="124"/>
      <c r="N256" s="124"/>
      <c r="O256" s="124"/>
      <c r="P256" s="124"/>
      <c r="Q256" s="125"/>
    </row>
    <row r="257" spans="1:17" s="130" customFormat="1" x14ac:dyDescent="0.15">
      <c r="A257" s="822"/>
      <c r="B257" s="823"/>
      <c r="C257" s="823"/>
      <c r="D257" s="833"/>
      <c r="E257" s="217" t="s">
        <v>155</v>
      </c>
      <c r="F257" s="217" t="s">
        <v>156</v>
      </c>
      <c r="G257" s="217" t="s">
        <v>157</v>
      </c>
      <c r="H257" s="803"/>
      <c r="I257" s="803"/>
      <c r="J257" s="805"/>
      <c r="K257" s="216" t="s">
        <v>158</v>
      </c>
      <c r="L257" s="127"/>
      <c r="M257" s="128"/>
      <c r="N257" s="128"/>
      <c r="O257" s="128"/>
      <c r="P257" s="128"/>
      <c r="Q257" s="129"/>
    </row>
    <row r="258" spans="1:17" ht="19.5" customHeight="1" x14ac:dyDescent="0.15">
      <c r="A258" s="148"/>
      <c r="B258" s="815" t="s">
        <v>1019</v>
      </c>
      <c r="C258" s="816"/>
      <c r="D258" s="671">
        <v>0</v>
      </c>
      <c r="E258" s="143">
        <v>14.57</v>
      </c>
      <c r="F258" s="143">
        <v>1.25</v>
      </c>
      <c r="G258" s="143">
        <v>0.1</v>
      </c>
      <c r="H258" s="143">
        <v>1</v>
      </c>
      <c r="I258" s="143">
        <f t="shared" ref="I258:I259" si="52">F258*E258</f>
        <v>18.212499999999999</v>
      </c>
      <c r="J258" s="133" t="s">
        <v>5</v>
      </c>
      <c r="K258" s="143">
        <f t="shared" ref="K258:K259" si="53">(I258*H258)-D258</f>
        <v>18.212499999999999</v>
      </c>
      <c r="L258" s="127"/>
      <c r="M258" s="128"/>
      <c r="N258" s="128"/>
      <c r="O258" s="128"/>
      <c r="P258" s="128"/>
      <c r="Q258" s="129"/>
    </row>
    <row r="259" spans="1:17" ht="19.5" customHeight="1" x14ac:dyDescent="0.15">
      <c r="A259" s="148"/>
      <c r="B259" s="815" t="s">
        <v>1020</v>
      </c>
      <c r="C259" s="816"/>
      <c r="D259" s="671">
        <v>0</v>
      </c>
      <c r="E259" s="143">
        <v>8.0399999999999991</v>
      </c>
      <c r="F259" s="143">
        <v>1.25</v>
      </c>
      <c r="G259" s="143">
        <v>0.1</v>
      </c>
      <c r="H259" s="143">
        <v>1</v>
      </c>
      <c r="I259" s="143">
        <f t="shared" si="52"/>
        <v>10.049999999999999</v>
      </c>
      <c r="J259" s="133" t="s">
        <v>5</v>
      </c>
      <c r="K259" s="143">
        <f t="shared" si="53"/>
        <v>10.049999999999999</v>
      </c>
      <c r="L259" s="127"/>
      <c r="M259" s="128"/>
      <c r="N259" s="128"/>
      <c r="O259" s="128"/>
      <c r="P259" s="128"/>
      <c r="Q259" s="129"/>
    </row>
    <row r="260" spans="1:17" ht="14" x14ac:dyDescent="0.15">
      <c r="A260" s="795" t="s">
        <v>149</v>
      </c>
      <c r="B260" s="817"/>
      <c r="C260" s="817"/>
      <c r="D260" s="817"/>
      <c r="E260" s="817"/>
      <c r="F260" s="817"/>
      <c r="G260" s="817"/>
      <c r="H260" s="817"/>
      <c r="I260" s="817"/>
      <c r="J260" s="796"/>
      <c r="K260" s="416">
        <f>SUM(K258:K259)</f>
        <v>28.262499999999996</v>
      </c>
      <c r="L260" s="134"/>
      <c r="M260" s="135"/>
      <c r="N260" s="135"/>
      <c r="O260" s="135"/>
      <c r="P260" s="135"/>
      <c r="Q260" s="136"/>
    </row>
    <row r="261" spans="1:17" x14ac:dyDescent="0.15">
      <c r="A261" s="790"/>
      <c r="B261" s="791"/>
      <c r="C261" s="791"/>
      <c r="D261" s="791"/>
      <c r="E261" s="791"/>
      <c r="F261" s="791"/>
      <c r="G261" s="791"/>
      <c r="H261" s="791"/>
      <c r="I261" s="791"/>
      <c r="J261" s="791"/>
      <c r="K261" s="791"/>
      <c r="L261" s="791"/>
      <c r="M261" s="791"/>
      <c r="N261" s="791"/>
      <c r="O261" s="791"/>
      <c r="P261" s="791"/>
      <c r="Q261" s="792"/>
    </row>
    <row r="262" spans="1:17" s="121" customFormat="1" ht="18" customHeight="1" x14ac:dyDescent="0.15">
      <c r="A262" s="218" t="s">
        <v>0</v>
      </c>
      <c r="B262" s="838" t="s">
        <v>180</v>
      </c>
      <c r="C262" s="839"/>
      <c r="D262" s="839"/>
      <c r="E262" s="839"/>
      <c r="F262" s="839"/>
      <c r="G262" s="839"/>
      <c r="H262" s="839"/>
      <c r="I262" s="839"/>
      <c r="J262" s="839"/>
      <c r="K262" s="839"/>
      <c r="L262" s="839"/>
      <c r="M262" s="839"/>
      <c r="N262" s="840"/>
      <c r="O262" s="216" t="s">
        <v>73</v>
      </c>
      <c r="P262" s="795" t="s">
        <v>5</v>
      </c>
      <c r="Q262" s="796"/>
    </row>
    <row r="263" spans="1:17" x14ac:dyDescent="0.15">
      <c r="A263" s="790"/>
      <c r="B263" s="791"/>
      <c r="C263" s="791"/>
      <c r="D263" s="791"/>
      <c r="E263" s="791"/>
      <c r="F263" s="791"/>
      <c r="G263" s="791"/>
      <c r="H263" s="791"/>
      <c r="I263" s="791"/>
      <c r="J263" s="791"/>
      <c r="K263" s="791"/>
      <c r="L263" s="791"/>
      <c r="M263" s="791"/>
      <c r="N263" s="791"/>
      <c r="O263" s="791"/>
      <c r="P263" s="791"/>
      <c r="Q263" s="792"/>
    </row>
    <row r="264" spans="1:17" s="126" customFormat="1" x14ac:dyDescent="0.15">
      <c r="A264" s="822" t="s">
        <v>150</v>
      </c>
      <c r="B264" s="823" t="s">
        <v>151</v>
      </c>
      <c r="C264" s="823"/>
      <c r="D264" s="832" t="s">
        <v>241</v>
      </c>
      <c r="E264" s="823" t="s">
        <v>152</v>
      </c>
      <c r="F264" s="823"/>
      <c r="G264" s="823"/>
      <c r="H264" s="802" t="s">
        <v>153</v>
      </c>
      <c r="I264" s="802" t="s">
        <v>159</v>
      </c>
      <c r="J264" s="804" t="s">
        <v>73</v>
      </c>
      <c r="K264" s="216" t="s">
        <v>154</v>
      </c>
      <c r="L264" s="123"/>
      <c r="M264" s="124"/>
      <c r="N264" s="124"/>
      <c r="O264" s="124"/>
      <c r="P264" s="124"/>
      <c r="Q264" s="125"/>
    </row>
    <row r="265" spans="1:17" s="130" customFormat="1" x14ac:dyDescent="0.15">
      <c r="A265" s="822"/>
      <c r="B265" s="823"/>
      <c r="C265" s="823"/>
      <c r="D265" s="833"/>
      <c r="E265" s="217" t="s">
        <v>155</v>
      </c>
      <c r="F265" s="217" t="s">
        <v>156</v>
      </c>
      <c r="G265" s="217" t="s">
        <v>157</v>
      </c>
      <c r="H265" s="803"/>
      <c r="I265" s="803"/>
      <c r="J265" s="805"/>
      <c r="K265" s="216" t="s">
        <v>158</v>
      </c>
      <c r="L265" s="127"/>
      <c r="M265" s="128"/>
      <c r="N265" s="128"/>
      <c r="O265" s="128"/>
      <c r="P265" s="128"/>
      <c r="Q265" s="129"/>
    </row>
    <row r="266" spans="1:17" ht="21.75" customHeight="1" x14ac:dyDescent="0.15">
      <c r="A266" s="148"/>
      <c r="B266" s="815" t="s">
        <v>1001</v>
      </c>
      <c r="C266" s="816"/>
      <c r="D266" s="143">
        <v>0</v>
      </c>
      <c r="E266" s="143">
        <v>3.42</v>
      </c>
      <c r="F266" s="143">
        <v>0.09</v>
      </c>
      <c r="G266" s="143">
        <v>3.5</v>
      </c>
      <c r="H266" s="143">
        <v>1</v>
      </c>
      <c r="I266" s="143">
        <f t="shared" ref="I266" si="54">G266*E266</f>
        <v>11.969999999999999</v>
      </c>
      <c r="J266" s="133" t="s">
        <v>5</v>
      </c>
      <c r="K266" s="143">
        <f t="shared" ref="K266" si="55">(I266*H266)-D266</f>
        <v>11.969999999999999</v>
      </c>
      <c r="L266" s="127"/>
      <c r="M266" s="128"/>
      <c r="N266" s="128"/>
      <c r="O266" s="128"/>
      <c r="P266" s="128"/>
      <c r="Q266" s="129"/>
    </row>
    <row r="267" spans="1:17" ht="33.75" customHeight="1" x14ac:dyDescent="0.15">
      <c r="A267" s="148"/>
      <c r="B267" s="788" t="s">
        <v>1022</v>
      </c>
      <c r="C267" s="789"/>
      <c r="D267" s="143">
        <v>0</v>
      </c>
      <c r="E267" s="143">
        <v>3.94</v>
      </c>
      <c r="F267" s="143">
        <v>0.09</v>
      </c>
      <c r="G267" s="143">
        <v>3.5</v>
      </c>
      <c r="H267" s="143">
        <v>1</v>
      </c>
      <c r="I267" s="143">
        <f t="shared" ref="I267" si="56">G267*E267</f>
        <v>13.79</v>
      </c>
      <c r="J267" s="133" t="s">
        <v>5</v>
      </c>
      <c r="K267" s="143">
        <f t="shared" ref="K267" si="57">(I267*H267)-D267</f>
        <v>13.79</v>
      </c>
      <c r="L267" s="127"/>
      <c r="M267" s="128"/>
      <c r="N267" s="128"/>
      <c r="O267" s="128"/>
      <c r="P267" s="128"/>
      <c r="Q267" s="129"/>
    </row>
    <row r="268" spans="1:17" ht="31.5" customHeight="1" x14ac:dyDescent="0.15">
      <c r="A268" s="148"/>
      <c r="B268" s="788" t="s">
        <v>1023</v>
      </c>
      <c r="C268" s="789"/>
      <c r="D268" s="143">
        <v>0</v>
      </c>
      <c r="E268" s="143">
        <v>32.283000000000001</v>
      </c>
      <c r="F268" s="143">
        <v>0.09</v>
      </c>
      <c r="G268" s="143">
        <v>1.5</v>
      </c>
      <c r="H268" s="143">
        <v>1</v>
      </c>
      <c r="I268" s="143">
        <f t="shared" ref="I268" si="58">G268*E268</f>
        <v>48.424500000000002</v>
      </c>
      <c r="J268" s="133" t="s">
        <v>5</v>
      </c>
      <c r="K268" s="143">
        <f t="shared" ref="K268" si="59">(I268*H268)-D268</f>
        <v>48.424500000000002</v>
      </c>
      <c r="L268" s="127"/>
      <c r="M268" s="128"/>
      <c r="N268" s="128"/>
      <c r="O268" s="128"/>
      <c r="P268" s="128"/>
      <c r="Q268" s="129"/>
    </row>
    <row r="269" spans="1:17" ht="14" x14ac:dyDescent="0.15">
      <c r="A269" s="795" t="s">
        <v>149</v>
      </c>
      <c r="B269" s="817"/>
      <c r="C269" s="817"/>
      <c r="D269" s="817"/>
      <c r="E269" s="817"/>
      <c r="F269" s="817"/>
      <c r="G269" s="817"/>
      <c r="H269" s="817"/>
      <c r="I269" s="817"/>
      <c r="J269" s="796"/>
      <c r="K269" s="416">
        <f>SUM(K266:K268)</f>
        <v>74.1845</v>
      </c>
      <c r="L269" s="134"/>
      <c r="M269" s="135"/>
      <c r="N269" s="135"/>
      <c r="O269" s="135"/>
      <c r="P269" s="135"/>
      <c r="Q269" s="136"/>
    </row>
    <row r="270" spans="1:17" x14ac:dyDescent="0.15">
      <c r="A270" s="790"/>
      <c r="B270" s="791"/>
      <c r="C270" s="791"/>
      <c r="D270" s="791"/>
      <c r="E270" s="791"/>
      <c r="F270" s="791"/>
      <c r="G270" s="791"/>
      <c r="H270" s="791"/>
      <c r="I270" s="791"/>
      <c r="J270" s="791"/>
      <c r="K270" s="791"/>
      <c r="L270" s="791"/>
      <c r="M270" s="791"/>
      <c r="N270" s="791"/>
      <c r="O270" s="791"/>
      <c r="P270" s="791"/>
      <c r="Q270" s="792"/>
    </row>
    <row r="271" spans="1:17" s="121" customFormat="1" ht="18" customHeight="1" x14ac:dyDescent="0.15">
      <c r="A271" s="218" t="s">
        <v>0</v>
      </c>
      <c r="B271" s="838" t="s">
        <v>1026</v>
      </c>
      <c r="C271" s="839"/>
      <c r="D271" s="839"/>
      <c r="E271" s="839"/>
      <c r="F271" s="839"/>
      <c r="G271" s="839"/>
      <c r="H271" s="839"/>
      <c r="I271" s="839"/>
      <c r="J271" s="839"/>
      <c r="K271" s="839"/>
      <c r="L271" s="839"/>
      <c r="M271" s="839"/>
      <c r="N271" s="839"/>
      <c r="O271" s="216" t="s">
        <v>73</v>
      </c>
      <c r="P271" s="795" t="s">
        <v>5</v>
      </c>
      <c r="Q271" s="796"/>
    </row>
    <row r="272" spans="1:17" x14ac:dyDescent="0.15">
      <c r="A272" s="790"/>
      <c r="B272" s="791"/>
      <c r="C272" s="791"/>
      <c r="D272" s="791"/>
      <c r="E272" s="791"/>
      <c r="F272" s="791"/>
      <c r="G272" s="791"/>
      <c r="H272" s="791"/>
      <c r="I272" s="791"/>
      <c r="J272" s="791"/>
      <c r="K272" s="791"/>
      <c r="L272" s="791"/>
      <c r="M272" s="791"/>
      <c r="N272" s="791"/>
      <c r="O272" s="791"/>
      <c r="P272" s="791"/>
      <c r="Q272" s="792"/>
    </row>
    <row r="273" spans="1:17" s="126" customFormat="1" ht="12.75" customHeight="1" x14ac:dyDescent="0.15">
      <c r="A273" s="822" t="s">
        <v>150</v>
      </c>
      <c r="B273" s="823" t="s">
        <v>151</v>
      </c>
      <c r="C273" s="823"/>
      <c r="D273" s="832" t="s">
        <v>241</v>
      </c>
      <c r="E273" s="823" t="s">
        <v>152</v>
      </c>
      <c r="F273" s="823"/>
      <c r="G273" s="823"/>
      <c r="H273" s="802" t="s">
        <v>153</v>
      </c>
      <c r="I273" s="802" t="s">
        <v>159</v>
      </c>
      <c r="J273" s="804" t="s">
        <v>73</v>
      </c>
      <c r="K273" s="216" t="s">
        <v>154</v>
      </c>
      <c r="L273" s="123"/>
      <c r="M273" s="124"/>
      <c r="N273" s="124"/>
      <c r="O273" s="124"/>
      <c r="P273" s="124"/>
      <c r="Q273" s="125"/>
    </row>
    <row r="274" spans="1:17" s="130" customFormat="1" x14ac:dyDescent="0.15">
      <c r="A274" s="822"/>
      <c r="B274" s="823"/>
      <c r="C274" s="823"/>
      <c r="D274" s="833"/>
      <c r="E274" s="217" t="s">
        <v>155</v>
      </c>
      <c r="F274" s="217" t="s">
        <v>206</v>
      </c>
      <c r="G274" s="217" t="s">
        <v>157</v>
      </c>
      <c r="H274" s="803"/>
      <c r="I274" s="803"/>
      <c r="J274" s="805"/>
      <c r="K274" s="216" t="s">
        <v>158</v>
      </c>
      <c r="L274" s="127"/>
      <c r="M274" s="128"/>
      <c r="N274" s="128"/>
      <c r="O274" s="128"/>
      <c r="P274" s="128"/>
      <c r="Q274" s="129"/>
    </row>
    <row r="275" spans="1:17" ht="21.75" customHeight="1" x14ac:dyDescent="0.15">
      <c r="A275" s="148"/>
      <c r="B275" s="815" t="s">
        <v>1001</v>
      </c>
      <c r="C275" s="816"/>
      <c r="D275" s="143">
        <v>0</v>
      </c>
      <c r="E275" s="143">
        <v>3.42</v>
      </c>
      <c r="F275" s="143">
        <v>0.02</v>
      </c>
      <c r="G275" s="143">
        <v>3.5</v>
      </c>
      <c r="H275" s="143">
        <v>2</v>
      </c>
      <c r="I275" s="143">
        <f t="shared" ref="I275:I277" si="60">G275*E275</f>
        <v>11.969999999999999</v>
      </c>
      <c r="J275" s="133" t="s">
        <v>5</v>
      </c>
      <c r="K275" s="143">
        <f t="shared" ref="K275:K277" si="61">(I275*H275)-D275</f>
        <v>23.939999999999998</v>
      </c>
      <c r="L275" s="127"/>
      <c r="M275" s="128"/>
      <c r="N275" s="128"/>
      <c r="O275" s="128"/>
      <c r="P275" s="128"/>
      <c r="Q275" s="129"/>
    </row>
    <row r="276" spans="1:17" ht="33.75" customHeight="1" x14ac:dyDescent="0.15">
      <c r="A276" s="148"/>
      <c r="B276" s="788" t="s">
        <v>1022</v>
      </c>
      <c r="C276" s="789"/>
      <c r="D276" s="143">
        <v>0</v>
      </c>
      <c r="E276" s="143">
        <v>3.94</v>
      </c>
      <c r="F276" s="143">
        <v>0.02</v>
      </c>
      <c r="G276" s="143">
        <v>3.5</v>
      </c>
      <c r="H276" s="143">
        <v>2</v>
      </c>
      <c r="I276" s="143">
        <f t="shared" si="60"/>
        <v>13.79</v>
      </c>
      <c r="J276" s="133" t="s">
        <v>5</v>
      </c>
      <c r="K276" s="143">
        <f t="shared" si="61"/>
        <v>27.58</v>
      </c>
      <c r="L276" s="127"/>
      <c r="M276" s="128"/>
      <c r="N276" s="128"/>
      <c r="O276" s="128"/>
      <c r="P276" s="128"/>
      <c r="Q276" s="129"/>
    </row>
    <row r="277" spans="1:17" ht="31.5" customHeight="1" x14ac:dyDescent="0.15">
      <c r="A277" s="148"/>
      <c r="B277" s="788" t="s">
        <v>1023</v>
      </c>
      <c r="C277" s="789"/>
      <c r="D277" s="143">
        <v>0</v>
      </c>
      <c r="E277" s="143">
        <v>32.283000000000001</v>
      </c>
      <c r="F277" s="143">
        <v>0.02</v>
      </c>
      <c r="G277" s="143">
        <v>1.5</v>
      </c>
      <c r="H277" s="143">
        <v>2</v>
      </c>
      <c r="I277" s="143">
        <f t="shared" si="60"/>
        <v>48.424500000000002</v>
      </c>
      <c r="J277" s="133" t="s">
        <v>5</v>
      </c>
      <c r="K277" s="143">
        <f t="shared" si="61"/>
        <v>96.849000000000004</v>
      </c>
      <c r="L277" s="127"/>
      <c r="M277" s="128"/>
      <c r="N277" s="128"/>
      <c r="O277" s="128"/>
      <c r="P277" s="128"/>
      <c r="Q277" s="129"/>
    </row>
    <row r="278" spans="1:17" ht="14" x14ac:dyDescent="0.15">
      <c r="A278" s="795" t="s">
        <v>149</v>
      </c>
      <c r="B278" s="817"/>
      <c r="C278" s="817"/>
      <c r="D278" s="817"/>
      <c r="E278" s="817"/>
      <c r="F278" s="817"/>
      <c r="G278" s="817"/>
      <c r="H278" s="817"/>
      <c r="I278" s="817"/>
      <c r="J278" s="796"/>
      <c r="K278" s="416">
        <f>SUM(K275:K277)</f>
        <v>148.369</v>
      </c>
      <c r="L278" s="134"/>
      <c r="M278" s="135"/>
      <c r="N278" s="135"/>
      <c r="O278" s="135"/>
      <c r="P278" s="135"/>
      <c r="Q278" s="136"/>
    </row>
    <row r="279" spans="1:17" x14ac:dyDescent="0.15">
      <c r="A279" s="790"/>
      <c r="B279" s="791"/>
      <c r="C279" s="791"/>
      <c r="D279" s="791"/>
      <c r="E279" s="791"/>
      <c r="F279" s="791"/>
      <c r="G279" s="791"/>
      <c r="H279" s="791"/>
      <c r="I279" s="791"/>
      <c r="J279" s="791"/>
      <c r="K279" s="791"/>
      <c r="L279" s="791"/>
      <c r="M279" s="791"/>
      <c r="N279" s="791"/>
      <c r="O279" s="791"/>
      <c r="P279" s="791"/>
      <c r="Q279" s="792"/>
    </row>
    <row r="280" spans="1:17" s="121" customFormat="1" ht="18" customHeight="1" x14ac:dyDescent="0.15">
      <c r="A280" s="218" t="s">
        <v>0</v>
      </c>
      <c r="B280" s="838" t="s">
        <v>1024</v>
      </c>
      <c r="C280" s="839"/>
      <c r="D280" s="839"/>
      <c r="E280" s="839"/>
      <c r="F280" s="839"/>
      <c r="G280" s="839"/>
      <c r="H280" s="839"/>
      <c r="I280" s="839"/>
      <c r="J280" s="839"/>
      <c r="K280" s="839"/>
      <c r="L280" s="839"/>
      <c r="M280" s="839"/>
      <c r="N280" s="840"/>
      <c r="O280" s="216" t="s">
        <v>73</v>
      </c>
      <c r="P280" s="795" t="s">
        <v>5</v>
      </c>
      <c r="Q280" s="796"/>
    </row>
    <row r="281" spans="1:17" x14ac:dyDescent="0.15">
      <c r="A281" s="790"/>
      <c r="B281" s="791"/>
      <c r="C281" s="791"/>
      <c r="D281" s="791"/>
      <c r="E281" s="791"/>
      <c r="F281" s="791"/>
      <c r="G281" s="791"/>
      <c r="H281" s="791"/>
      <c r="I281" s="791"/>
      <c r="J281" s="791"/>
      <c r="K281" s="791"/>
      <c r="L281" s="791"/>
      <c r="M281" s="791"/>
      <c r="N281" s="791"/>
      <c r="O281" s="791"/>
      <c r="P281" s="791"/>
      <c r="Q281" s="792"/>
    </row>
    <row r="282" spans="1:17" s="126" customFormat="1" ht="12.75" customHeight="1" x14ac:dyDescent="0.15">
      <c r="A282" s="822" t="s">
        <v>150</v>
      </c>
      <c r="B282" s="823" t="s">
        <v>151</v>
      </c>
      <c r="C282" s="823"/>
      <c r="D282" s="832" t="s">
        <v>241</v>
      </c>
      <c r="E282" s="823" t="s">
        <v>152</v>
      </c>
      <c r="F282" s="823"/>
      <c r="G282" s="823"/>
      <c r="H282" s="802" t="s">
        <v>153</v>
      </c>
      <c r="I282" s="802" t="s">
        <v>159</v>
      </c>
      <c r="J282" s="804" t="s">
        <v>73</v>
      </c>
      <c r="K282" s="216" t="s">
        <v>154</v>
      </c>
      <c r="L282" s="123"/>
      <c r="M282" s="124"/>
      <c r="N282" s="124"/>
      <c r="O282" s="124"/>
      <c r="P282" s="124"/>
      <c r="Q282" s="125"/>
    </row>
    <row r="283" spans="1:17" s="130" customFormat="1" x14ac:dyDescent="0.15">
      <c r="A283" s="822"/>
      <c r="B283" s="823"/>
      <c r="C283" s="823"/>
      <c r="D283" s="833"/>
      <c r="E283" s="217" t="s">
        <v>155</v>
      </c>
      <c r="F283" s="217" t="s">
        <v>156</v>
      </c>
      <c r="G283" s="217" t="s">
        <v>157</v>
      </c>
      <c r="H283" s="803"/>
      <c r="I283" s="803"/>
      <c r="J283" s="805"/>
      <c r="K283" s="216" t="s">
        <v>158</v>
      </c>
      <c r="L283" s="127"/>
      <c r="M283" s="128"/>
      <c r="N283" s="128"/>
      <c r="O283" s="128"/>
      <c r="P283" s="128"/>
      <c r="Q283" s="129"/>
    </row>
    <row r="284" spans="1:17" ht="21.75" customHeight="1" x14ac:dyDescent="0.15">
      <c r="A284" s="148"/>
      <c r="B284" s="815" t="s">
        <v>1001</v>
      </c>
      <c r="C284" s="816"/>
      <c r="D284" s="143">
        <v>0</v>
      </c>
      <c r="E284" s="143">
        <v>3.42</v>
      </c>
      <c r="F284" s="143">
        <v>0</v>
      </c>
      <c r="G284" s="143">
        <v>3.5</v>
      </c>
      <c r="H284" s="143">
        <v>2</v>
      </c>
      <c r="I284" s="143">
        <f t="shared" ref="I284:I286" si="62">G284*E284</f>
        <v>11.969999999999999</v>
      </c>
      <c r="J284" s="133" t="s">
        <v>5</v>
      </c>
      <c r="K284" s="143">
        <f t="shared" ref="K284:K286" si="63">(I284*H284)-D284</f>
        <v>23.939999999999998</v>
      </c>
      <c r="L284" s="127"/>
      <c r="M284" s="128"/>
      <c r="N284" s="128"/>
      <c r="O284" s="128"/>
      <c r="P284" s="128"/>
      <c r="Q284" s="129"/>
    </row>
    <row r="285" spans="1:17" ht="33.75" customHeight="1" x14ac:dyDescent="0.15">
      <c r="A285" s="148"/>
      <c r="B285" s="788" t="s">
        <v>1022</v>
      </c>
      <c r="C285" s="789"/>
      <c r="D285" s="143">
        <v>0</v>
      </c>
      <c r="E285" s="143">
        <v>3.94</v>
      </c>
      <c r="F285" s="143">
        <v>0</v>
      </c>
      <c r="G285" s="143">
        <v>3.5</v>
      </c>
      <c r="H285" s="143">
        <v>2</v>
      </c>
      <c r="I285" s="143">
        <f t="shared" si="62"/>
        <v>13.79</v>
      </c>
      <c r="J285" s="133" t="s">
        <v>5</v>
      </c>
      <c r="K285" s="143">
        <f t="shared" si="63"/>
        <v>27.58</v>
      </c>
      <c r="L285" s="127"/>
      <c r="M285" s="128"/>
      <c r="N285" s="128"/>
      <c r="O285" s="128"/>
      <c r="P285" s="128"/>
      <c r="Q285" s="129"/>
    </row>
    <row r="286" spans="1:17" ht="31.5" customHeight="1" x14ac:dyDescent="0.15">
      <c r="A286" s="148"/>
      <c r="B286" s="788" t="s">
        <v>1023</v>
      </c>
      <c r="C286" s="789"/>
      <c r="D286" s="143">
        <v>0</v>
      </c>
      <c r="E286" s="143">
        <v>32.283000000000001</v>
      </c>
      <c r="F286" s="143">
        <v>0</v>
      </c>
      <c r="G286" s="143">
        <v>1.5</v>
      </c>
      <c r="H286" s="143">
        <v>2</v>
      </c>
      <c r="I286" s="143">
        <f t="shared" si="62"/>
        <v>48.424500000000002</v>
      </c>
      <c r="J286" s="133" t="s">
        <v>5</v>
      </c>
      <c r="K286" s="143">
        <f t="shared" si="63"/>
        <v>96.849000000000004</v>
      </c>
      <c r="L286" s="127"/>
      <c r="M286" s="128"/>
      <c r="N286" s="128"/>
      <c r="O286" s="128"/>
      <c r="P286" s="128"/>
      <c r="Q286" s="129"/>
    </row>
    <row r="287" spans="1:17" ht="31.5" customHeight="1" x14ac:dyDescent="0.15">
      <c r="A287" s="148"/>
      <c r="B287" s="788" t="s">
        <v>1027</v>
      </c>
      <c r="C287" s="789"/>
      <c r="D287" s="143">
        <v>0</v>
      </c>
      <c r="E287" s="143">
        <v>3</v>
      </c>
      <c r="F287" s="143">
        <v>0</v>
      </c>
      <c r="G287" s="143">
        <v>1.2</v>
      </c>
      <c r="H287" s="143">
        <v>6</v>
      </c>
      <c r="I287" s="143">
        <f t="shared" ref="I287" si="64">G287*E287</f>
        <v>3.5999999999999996</v>
      </c>
      <c r="J287" s="133" t="s">
        <v>5</v>
      </c>
      <c r="K287" s="143">
        <f t="shared" ref="K287" si="65">(I287*H287)-D287</f>
        <v>21.599999999999998</v>
      </c>
      <c r="L287" s="127"/>
      <c r="M287" s="128"/>
      <c r="N287" s="128"/>
      <c r="O287" s="128"/>
      <c r="P287" s="128"/>
      <c r="Q287" s="129"/>
    </row>
    <row r="288" spans="1:17" ht="14" x14ac:dyDescent="0.15">
      <c r="A288" s="795" t="s">
        <v>149</v>
      </c>
      <c r="B288" s="817"/>
      <c r="C288" s="817"/>
      <c r="D288" s="817"/>
      <c r="E288" s="817"/>
      <c r="F288" s="817"/>
      <c r="G288" s="817"/>
      <c r="H288" s="817"/>
      <c r="I288" s="817"/>
      <c r="J288" s="796"/>
      <c r="K288" s="416">
        <f>SUM(K284:K287)</f>
        <v>169.96899999999999</v>
      </c>
      <c r="L288" s="134"/>
      <c r="M288" s="135"/>
      <c r="N288" s="135"/>
      <c r="O288" s="135"/>
      <c r="P288" s="135"/>
      <c r="Q288" s="136"/>
    </row>
    <row r="289" spans="1:17" x14ac:dyDescent="0.15">
      <c r="A289" s="790"/>
      <c r="B289" s="791"/>
      <c r="C289" s="791"/>
      <c r="D289" s="791"/>
      <c r="E289" s="791"/>
      <c r="F289" s="791"/>
      <c r="G289" s="791"/>
      <c r="H289" s="791"/>
      <c r="I289" s="791"/>
      <c r="J289" s="791"/>
      <c r="K289" s="791"/>
      <c r="L289" s="791"/>
      <c r="M289" s="791"/>
      <c r="N289" s="791"/>
      <c r="O289" s="791"/>
      <c r="P289" s="791"/>
      <c r="Q289" s="792"/>
    </row>
    <row r="290" spans="1:17" s="121" customFormat="1" ht="18" customHeight="1" x14ac:dyDescent="0.15">
      <c r="A290" s="218" t="s">
        <v>0</v>
      </c>
      <c r="B290" s="838" t="s">
        <v>1032</v>
      </c>
      <c r="C290" s="839"/>
      <c r="D290" s="839"/>
      <c r="E290" s="839"/>
      <c r="F290" s="839"/>
      <c r="G290" s="839"/>
      <c r="H290" s="839"/>
      <c r="I290" s="839"/>
      <c r="J290" s="839"/>
      <c r="K290" s="839"/>
      <c r="L290" s="839"/>
      <c r="M290" s="839"/>
      <c r="N290" s="839"/>
      <c r="O290" s="216" t="s">
        <v>73</v>
      </c>
      <c r="P290" s="795" t="s">
        <v>5</v>
      </c>
      <c r="Q290" s="796"/>
    </row>
    <row r="291" spans="1:17" x14ac:dyDescent="0.15">
      <c r="A291" s="790"/>
      <c r="B291" s="791"/>
      <c r="C291" s="791"/>
      <c r="D291" s="791"/>
      <c r="E291" s="791"/>
      <c r="F291" s="791"/>
      <c r="G291" s="791"/>
      <c r="H291" s="791"/>
      <c r="I291" s="791"/>
      <c r="J291" s="791"/>
      <c r="K291" s="791"/>
      <c r="L291" s="791"/>
      <c r="M291" s="791"/>
      <c r="N291" s="791"/>
      <c r="O291" s="791"/>
      <c r="P291" s="791"/>
      <c r="Q291" s="792"/>
    </row>
    <row r="292" spans="1:17" s="126" customFormat="1" ht="12.75" customHeight="1" x14ac:dyDescent="0.15">
      <c r="A292" s="822" t="s">
        <v>150</v>
      </c>
      <c r="B292" s="823" t="s">
        <v>151</v>
      </c>
      <c r="C292" s="823"/>
      <c r="D292" s="832" t="s">
        <v>241</v>
      </c>
      <c r="E292" s="823" t="s">
        <v>152</v>
      </c>
      <c r="F292" s="823"/>
      <c r="G292" s="823"/>
      <c r="H292" s="802" t="s">
        <v>153</v>
      </c>
      <c r="I292" s="802" t="s">
        <v>159</v>
      </c>
      <c r="J292" s="804" t="s">
        <v>73</v>
      </c>
      <c r="K292" s="216" t="s">
        <v>154</v>
      </c>
      <c r="L292" s="123"/>
      <c r="M292" s="124"/>
      <c r="N292" s="124"/>
      <c r="O292" s="124"/>
      <c r="P292" s="124"/>
      <c r="Q292" s="125"/>
    </row>
    <row r="293" spans="1:17" s="130" customFormat="1" x14ac:dyDescent="0.15">
      <c r="A293" s="822"/>
      <c r="B293" s="823"/>
      <c r="C293" s="823"/>
      <c r="D293" s="833"/>
      <c r="E293" s="217" t="s">
        <v>155</v>
      </c>
      <c r="F293" s="217" t="s">
        <v>156</v>
      </c>
      <c r="G293" s="217" t="s">
        <v>157</v>
      </c>
      <c r="H293" s="803"/>
      <c r="I293" s="803"/>
      <c r="J293" s="805"/>
      <c r="K293" s="216" t="s">
        <v>158</v>
      </c>
      <c r="L293" s="127"/>
      <c r="M293" s="128"/>
      <c r="N293" s="128"/>
      <c r="O293" s="128"/>
      <c r="P293" s="128"/>
      <c r="Q293" s="129"/>
    </row>
    <row r="294" spans="1:17" ht="29.25" customHeight="1" x14ac:dyDescent="0.15">
      <c r="A294" s="148"/>
      <c r="B294" s="788" t="s">
        <v>1028</v>
      </c>
      <c r="C294" s="789"/>
      <c r="D294" s="143">
        <f>240.3+412.53</f>
        <v>652.82999999999993</v>
      </c>
      <c r="E294" s="143">
        <v>0</v>
      </c>
      <c r="F294" s="143">
        <v>0</v>
      </c>
      <c r="G294" s="143">
        <v>0</v>
      </c>
      <c r="H294" s="143">
        <v>1</v>
      </c>
      <c r="I294" s="143">
        <f>D294</f>
        <v>652.82999999999993</v>
      </c>
      <c r="J294" s="133" t="s">
        <v>5</v>
      </c>
      <c r="K294" s="143">
        <f>I294*H294</f>
        <v>652.82999999999993</v>
      </c>
      <c r="L294" s="127"/>
      <c r="M294" s="128"/>
      <c r="N294" s="128"/>
      <c r="O294" s="128"/>
      <c r="P294" s="128"/>
      <c r="Q294" s="129"/>
    </row>
    <row r="295" spans="1:17" ht="31.5" customHeight="1" x14ac:dyDescent="0.15">
      <c r="A295" s="148"/>
      <c r="B295" s="788" t="s">
        <v>1027</v>
      </c>
      <c r="C295" s="789"/>
      <c r="D295" s="143">
        <v>0</v>
      </c>
      <c r="E295" s="143">
        <v>3</v>
      </c>
      <c r="F295" s="143">
        <v>0</v>
      </c>
      <c r="G295" s="143">
        <v>1.2</v>
      </c>
      <c r="H295" s="143">
        <v>3</v>
      </c>
      <c r="I295" s="143">
        <f t="shared" ref="I295" si="66">G295*E295</f>
        <v>3.5999999999999996</v>
      </c>
      <c r="J295" s="133" t="s">
        <v>5</v>
      </c>
      <c r="K295" s="143">
        <f t="shared" ref="K295" si="67">(I295*H295)-D295</f>
        <v>10.799999999999999</v>
      </c>
      <c r="L295" s="127"/>
      <c r="M295" s="128"/>
      <c r="N295" s="128"/>
      <c r="O295" s="128"/>
      <c r="P295" s="128"/>
      <c r="Q295" s="129"/>
    </row>
    <row r="296" spans="1:17" ht="14" x14ac:dyDescent="0.15">
      <c r="A296" s="795" t="s">
        <v>149</v>
      </c>
      <c r="B296" s="817"/>
      <c r="C296" s="817"/>
      <c r="D296" s="817"/>
      <c r="E296" s="817"/>
      <c r="F296" s="817"/>
      <c r="G296" s="817"/>
      <c r="H296" s="817"/>
      <c r="I296" s="817"/>
      <c r="J296" s="796"/>
      <c r="K296" s="416">
        <f>SUM(K294:K295)</f>
        <v>663.62999999999988</v>
      </c>
      <c r="L296" s="134"/>
      <c r="M296" s="135"/>
      <c r="N296" s="135"/>
      <c r="O296" s="135"/>
      <c r="P296" s="135"/>
      <c r="Q296" s="136"/>
    </row>
    <row r="297" spans="1:17" x14ac:dyDescent="0.15">
      <c r="A297" s="790"/>
      <c r="B297" s="791"/>
      <c r="C297" s="791"/>
      <c r="D297" s="791"/>
      <c r="E297" s="791"/>
      <c r="F297" s="791"/>
      <c r="G297" s="791"/>
      <c r="H297" s="791"/>
      <c r="I297" s="791"/>
      <c r="J297" s="791"/>
      <c r="K297" s="791"/>
      <c r="L297" s="791"/>
      <c r="M297" s="791"/>
      <c r="N297" s="791"/>
      <c r="O297" s="791"/>
      <c r="P297" s="791"/>
      <c r="Q297" s="792"/>
    </row>
    <row r="298" spans="1:17" s="121" customFormat="1" ht="18" customHeight="1" x14ac:dyDescent="0.15">
      <c r="A298" s="218" t="s">
        <v>0</v>
      </c>
      <c r="B298" s="838" t="s">
        <v>1030</v>
      </c>
      <c r="C298" s="839"/>
      <c r="D298" s="839"/>
      <c r="E298" s="839"/>
      <c r="F298" s="839"/>
      <c r="G298" s="839"/>
      <c r="H298" s="839"/>
      <c r="I298" s="839"/>
      <c r="J298" s="839"/>
      <c r="K298" s="839"/>
      <c r="L298" s="839"/>
      <c r="M298" s="839"/>
      <c r="N298" s="839"/>
      <c r="O298" s="216" t="s">
        <v>73</v>
      </c>
      <c r="P298" s="795" t="s">
        <v>193</v>
      </c>
      <c r="Q298" s="796"/>
    </row>
    <row r="299" spans="1:17" x14ac:dyDescent="0.15">
      <c r="A299" s="790"/>
      <c r="B299" s="791"/>
      <c r="C299" s="791"/>
      <c r="D299" s="791"/>
      <c r="E299" s="791"/>
      <c r="F299" s="791"/>
      <c r="G299" s="791"/>
      <c r="H299" s="791"/>
      <c r="I299" s="791"/>
      <c r="J299" s="791"/>
      <c r="K299" s="791"/>
      <c r="L299" s="791"/>
      <c r="M299" s="791"/>
      <c r="N299" s="791"/>
      <c r="O299" s="791"/>
      <c r="P299" s="791"/>
      <c r="Q299" s="792"/>
    </row>
    <row r="300" spans="1:17" s="126" customFormat="1" x14ac:dyDescent="0.15">
      <c r="A300" s="822" t="s">
        <v>150</v>
      </c>
      <c r="B300" s="823" t="s">
        <v>151</v>
      </c>
      <c r="C300" s="823"/>
      <c r="D300" s="832" t="s">
        <v>246</v>
      </c>
      <c r="E300" s="823" t="s">
        <v>152</v>
      </c>
      <c r="F300" s="823"/>
      <c r="G300" s="823"/>
      <c r="H300" s="802" t="s">
        <v>153</v>
      </c>
      <c r="I300" s="802" t="s">
        <v>242</v>
      </c>
      <c r="J300" s="804" t="s">
        <v>73</v>
      </c>
      <c r="K300" s="216" t="s">
        <v>154</v>
      </c>
      <c r="L300" s="123"/>
      <c r="M300" s="124"/>
      <c r="N300" s="124"/>
      <c r="O300" s="124"/>
      <c r="P300" s="124"/>
      <c r="Q300" s="125"/>
    </row>
    <row r="301" spans="1:17" s="130" customFormat="1" x14ac:dyDescent="0.15">
      <c r="A301" s="822"/>
      <c r="B301" s="823"/>
      <c r="C301" s="823"/>
      <c r="D301" s="833"/>
      <c r="E301" s="217" t="s">
        <v>155</v>
      </c>
      <c r="F301" s="217" t="s">
        <v>156</v>
      </c>
      <c r="G301" s="217" t="s">
        <v>157</v>
      </c>
      <c r="H301" s="803"/>
      <c r="I301" s="803"/>
      <c r="J301" s="805"/>
      <c r="K301" s="216" t="s">
        <v>158</v>
      </c>
      <c r="L301" s="127"/>
      <c r="M301" s="128"/>
      <c r="N301" s="128"/>
      <c r="O301" s="128"/>
      <c r="P301" s="128"/>
      <c r="Q301" s="129"/>
    </row>
    <row r="302" spans="1:17" ht="27" customHeight="1" x14ac:dyDescent="0.15">
      <c r="A302" s="148"/>
      <c r="B302" s="788" t="s">
        <v>1028</v>
      </c>
      <c r="C302" s="789"/>
      <c r="D302" s="149"/>
      <c r="E302" s="143">
        <v>164.02</v>
      </c>
      <c r="F302" s="672">
        <v>0</v>
      </c>
      <c r="G302" s="143">
        <v>0.2</v>
      </c>
      <c r="H302" s="143">
        <v>1</v>
      </c>
      <c r="I302" s="143">
        <f t="shared" ref="I302" si="68">E302</f>
        <v>164.02</v>
      </c>
      <c r="J302" s="133" t="s">
        <v>7</v>
      </c>
      <c r="K302" s="143">
        <f>I302*H302</f>
        <v>164.02</v>
      </c>
      <c r="L302" s="127"/>
      <c r="M302" s="128"/>
      <c r="N302" s="128"/>
      <c r="O302" s="128"/>
      <c r="P302" s="128"/>
      <c r="Q302" s="129"/>
    </row>
    <row r="303" spans="1:17" ht="14" x14ac:dyDescent="0.15">
      <c r="A303" s="795" t="s">
        <v>149</v>
      </c>
      <c r="B303" s="817"/>
      <c r="C303" s="817"/>
      <c r="D303" s="817"/>
      <c r="E303" s="817"/>
      <c r="F303" s="817"/>
      <c r="G303" s="817"/>
      <c r="H303" s="817"/>
      <c r="I303" s="817"/>
      <c r="J303" s="796"/>
      <c r="K303" s="416">
        <f>SUM(K302:K302)</f>
        <v>164.02</v>
      </c>
      <c r="L303" s="134"/>
      <c r="M303" s="135"/>
      <c r="N303" s="135"/>
      <c r="O303" s="135"/>
      <c r="P303" s="135"/>
      <c r="Q303" s="136"/>
    </row>
    <row r="304" spans="1:17" x14ac:dyDescent="0.15">
      <c r="A304" s="790"/>
      <c r="B304" s="791"/>
      <c r="C304" s="791"/>
      <c r="D304" s="791"/>
      <c r="E304" s="791"/>
      <c r="F304" s="791"/>
      <c r="G304" s="791"/>
      <c r="H304" s="791"/>
      <c r="I304" s="791"/>
      <c r="J304" s="791"/>
      <c r="K304" s="791"/>
      <c r="L304" s="791"/>
      <c r="M304" s="791"/>
      <c r="N304" s="791"/>
      <c r="O304" s="791"/>
      <c r="P304" s="791"/>
      <c r="Q304" s="792"/>
    </row>
    <row r="305" spans="1:17" s="121" customFormat="1" ht="18" customHeight="1" x14ac:dyDescent="0.15">
      <c r="A305" s="218" t="s">
        <v>0</v>
      </c>
      <c r="B305" s="838" t="s">
        <v>1031</v>
      </c>
      <c r="C305" s="839"/>
      <c r="D305" s="839"/>
      <c r="E305" s="839"/>
      <c r="F305" s="839"/>
      <c r="G305" s="839"/>
      <c r="H305" s="839"/>
      <c r="I305" s="839"/>
      <c r="J305" s="839"/>
      <c r="K305" s="839"/>
      <c r="L305" s="839"/>
      <c r="M305" s="839"/>
      <c r="N305" s="839"/>
      <c r="O305" s="216" t="s">
        <v>73</v>
      </c>
      <c r="P305" s="795" t="s">
        <v>5</v>
      </c>
      <c r="Q305" s="796"/>
    </row>
    <row r="306" spans="1:17" x14ac:dyDescent="0.15">
      <c r="A306" s="790"/>
      <c r="B306" s="791"/>
      <c r="C306" s="791"/>
      <c r="D306" s="791"/>
      <c r="E306" s="791"/>
      <c r="F306" s="791"/>
      <c r="G306" s="791"/>
      <c r="H306" s="791"/>
      <c r="I306" s="791"/>
      <c r="J306" s="791"/>
      <c r="K306" s="791"/>
      <c r="L306" s="791"/>
      <c r="M306" s="791"/>
      <c r="N306" s="791"/>
      <c r="O306" s="791"/>
      <c r="P306" s="791"/>
      <c r="Q306" s="792"/>
    </row>
    <row r="307" spans="1:17" s="126" customFormat="1" ht="12.75" customHeight="1" x14ac:dyDescent="0.15">
      <c r="A307" s="822" t="s">
        <v>150</v>
      </c>
      <c r="B307" s="823" t="s">
        <v>151</v>
      </c>
      <c r="C307" s="823"/>
      <c r="D307" s="832" t="s">
        <v>241</v>
      </c>
      <c r="E307" s="823" t="s">
        <v>152</v>
      </c>
      <c r="F307" s="823"/>
      <c r="G307" s="823"/>
      <c r="H307" s="802" t="s">
        <v>153</v>
      </c>
      <c r="I307" s="802" t="s">
        <v>159</v>
      </c>
      <c r="J307" s="804" t="s">
        <v>73</v>
      </c>
      <c r="K307" s="216" t="s">
        <v>154</v>
      </c>
      <c r="L307" s="123"/>
      <c r="M307" s="124"/>
      <c r="N307" s="124"/>
      <c r="O307" s="124"/>
      <c r="P307" s="124"/>
      <c r="Q307" s="125"/>
    </row>
    <row r="308" spans="1:17" s="130" customFormat="1" x14ac:dyDescent="0.15">
      <c r="A308" s="822"/>
      <c r="B308" s="823"/>
      <c r="C308" s="823"/>
      <c r="D308" s="833"/>
      <c r="E308" s="217" t="s">
        <v>155</v>
      </c>
      <c r="F308" s="217" t="s">
        <v>156</v>
      </c>
      <c r="G308" s="217" t="s">
        <v>157</v>
      </c>
      <c r="H308" s="803"/>
      <c r="I308" s="803"/>
      <c r="J308" s="805"/>
      <c r="K308" s="216" t="s">
        <v>158</v>
      </c>
      <c r="L308" s="127"/>
      <c r="M308" s="128"/>
      <c r="N308" s="128"/>
      <c r="O308" s="128"/>
      <c r="P308" s="128"/>
      <c r="Q308" s="129"/>
    </row>
    <row r="309" spans="1:17" ht="29.25" customHeight="1" x14ac:dyDescent="0.15">
      <c r="A309" s="148"/>
      <c r="B309" s="788" t="s">
        <v>1028</v>
      </c>
      <c r="C309" s="789"/>
      <c r="D309" s="143">
        <f>204.07*1.05</f>
        <v>214.27350000000001</v>
      </c>
      <c r="E309" s="143">
        <v>0</v>
      </c>
      <c r="F309" s="143">
        <v>0</v>
      </c>
      <c r="G309" s="143">
        <v>0</v>
      </c>
      <c r="H309" s="143">
        <v>1</v>
      </c>
      <c r="I309" s="143">
        <f>D309</f>
        <v>214.27350000000001</v>
      </c>
      <c r="J309" s="133" t="s">
        <v>5</v>
      </c>
      <c r="K309" s="143">
        <f>I309*H309</f>
        <v>214.27350000000001</v>
      </c>
      <c r="L309" s="127"/>
      <c r="M309" s="128"/>
      <c r="N309" s="128"/>
      <c r="O309" s="128"/>
      <c r="P309" s="128"/>
      <c r="Q309" s="129"/>
    </row>
    <row r="310" spans="1:17" ht="14" x14ac:dyDescent="0.15">
      <c r="A310" s="795" t="s">
        <v>149</v>
      </c>
      <c r="B310" s="817"/>
      <c r="C310" s="817"/>
      <c r="D310" s="817"/>
      <c r="E310" s="817"/>
      <c r="F310" s="817"/>
      <c r="G310" s="817"/>
      <c r="H310" s="817"/>
      <c r="I310" s="817"/>
      <c r="J310" s="796"/>
      <c r="K310" s="416">
        <f>SUM(K309:K309)</f>
        <v>214.27350000000001</v>
      </c>
      <c r="L310" s="134"/>
      <c r="M310" s="135"/>
      <c r="N310" s="135"/>
      <c r="O310" s="135"/>
      <c r="P310" s="135"/>
      <c r="Q310" s="136"/>
    </row>
    <row r="311" spans="1:17" x14ac:dyDescent="0.15">
      <c r="A311" s="790"/>
      <c r="B311" s="791"/>
      <c r="C311" s="791"/>
      <c r="D311" s="791"/>
      <c r="E311" s="791"/>
      <c r="F311" s="791"/>
      <c r="G311" s="791"/>
      <c r="H311" s="791"/>
      <c r="I311" s="791"/>
      <c r="J311" s="791"/>
      <c r="K311" s="791"/>
      <c r="L311" s="791"/>
      <c r="M311" s="791"/>
      <c r="N311" s="791"/>
      <c r="O311" s="791"/>
      <c r="P311" s="791"/>
      <c r="Q311" s="792"/>
    </row>
    <row r="312" spans="1:17" s="121" customFormat="1" ht="18" customHeight="1" x14ac:dyDescent="0.15">
      <c r="A312" s="218" t="s">
        <v>0</v>
      </c>
      <c r="B312" s="838" t="s">
        <v>1033</v>
      </c>
      <c r="C312" s="839"/>
      <c r="D312" s="839"/>
      <c r="E312" s="839"/>
      <c r="F312" s="839"/>
      <c r="G312" s="839"/>
      <c r="H312" s="839"/>
      <c r="I312" s="839"/>
      <c r="J312" s="839"/>
      <c r="K312" s="839"/>
      <c r="L312" s="839"/>
      <c r="M312" s="839"/>
      <c r="N312" s="839"/>
      <c r="O312" s="216" t="s">
        <v>73</v>
      </c>
      <c r="P312" s="795" t="s">
        <v>5</v>
      </c>
      <c r="Q312" s="796"/>
    </row>
    <row r="313" spans="1:17" x14ac:dyDescent="0.15">
      <c r="A313" s="790"/>
      <c r="B313" s="791"/>
      <c r="C313" s="791"/>
      <c r="D313" s="791"/>
      <c r="E313" s="791"/>
      <c r="F313" s="791"/>
      <c r="G313" s="791"/>
      <c r="H313" s="791"/>
      <c r="I313" s="791"/>
      <c r="J313" s="791"/>
      <c r="K313" s="791"/>
      <c r="L313" s="791"/>
      <c r="M313" s="791"/>
      <c r="N313" s="791"/>
      <c r="O313" s="791"/>
      <c r="P313" s="791"/>
      <c r="Q313" s="792"/>
    </row>
    <row r="314" spans="1:17" s="126" customFormat="1" x14ac:dyDescent="0.15">
      <c r="A314" s="822" t="s">
        <v>150</v>
      </c>
      <c r="B314" s="823" t="s">
        <v>151</v>
      </c>
      <c r="C314" s="823"/>
      <c r="D314" s="832" t="s">
        <v>264</v>
      </c>
      <c r="E314" s="823" t="s">
        <v>152</v>
      </c>
      <c r="F314" s="823"/>
      <c r="G314" s="823"/>
      <c r="H314" s="802" t="s">
        <v>153</v>
      </c>
      <c r="I314" s="802" t="s">
        <v>159</v>
      </c>
      <c r="J314" s="804" t="s">
        <v>73</v>
      </c>
      <c r="K314" s="216" t="s">
        <v>154</v>
      </c>
      <c r="L314" s="123"/>
      <c r="M314" s="124"/>
      <c r="N314" s="124"/>
      <c r="O314" s="124"/>
      <c r="P314" s="124"/>
      <c r="Q314" s="125"/>
    </row>
    <row r="315" spans="1:17" s="130" customFormat="1" x14ac:dyDescent="0.15">
      <c r="A315" s="822"/>
      <c r="B315" s="823"/>
      <c r="C315" s="823"/>
      <c r="D315" s="833"/>
      <c r="E315" s="217" t="s">
        <v>155</v>
      </c>
      <c r="F315" s="217" t="s">
        <v>156</v>
      </c>
      <c r="G315" s="217" t="s">
        <v>157</v>
      </c>
      <c r="H315" s="803"/>
      <c r="I315" s="803"/>
      <c r="J315" s="805"/>
      <c r="K315" s="216" t="s">
        <v>158</v>
      </c>
      <c r="L315" s="127"/>
      <c r="M315" s="128"/>
      <c r="N315" s="128"/>
      <c r="O315" s="128"/>
      <c r="P315" s="128"/>
      <c r="Q315" s="129"/>
    </row>
    <row r="316" spans="1:17" ht="19.5" customHeight="1" x14ac:dyDescent="0.15">
      <c r="A316" s="148"/>
      <c r="B316" s="788" t="s">
        <v>1018</v>
      </c>
      <c r="C316" s="789"/>
      <c r="D316" s="143">
        <v>0</v>
      </c>
      <c r="E316" s="143">
        <v>11.87</v>
      </c>
      <c r="F316" s="143">
        <v>2.98</v>
      </c>
      <c r="G316" s="143">
        <v>0</v>
      </c>
      <c r="H316" s="143">
        <v>1</v>
      </c>
      <c r="I316" s="143">
        <f>F316*E316</f>
        <v>35.372599999999998</v>
      </c>
      <c r="J316" s="133" t="s">
        <v>5</v>
      </c>
      <c r="K316" s="143">
        <f t="shared" ref="K316:K319" si="69">(I316*H316)-D316</f>
        <v>35.372599999999998</v>
      </c>
      <c r="L316" s="127"/>
      <c r="M316" s="128"/>
      <c r="N316" s="128"/>
      <c r="O316" s="128"/>
      <c r="P316" s="128"/>
      <c r="Q316" s="129"/>
    </row>
    <row r="317" spans="1:17" ht="19.5" customHeight="1" x14ac:dyDescent="0.15">
      <c r="A317" s="148"/>
      <c r="B317" s="815" t="s">
        <v>1000</v>
      </c>
      <c r="C317" s="816"/>
      <c r="D317" s="671">
        <v>0</v>
      </c>
      <c r="E317" s="143">
        <v>5.46</v>
      </c>
      <c r="F317" s="143">
        <v>2.82</v>
      </c>
      <c r="G317" s="143">
        <v>0</v>
      </c>
      <c r="H317" s="143">
        <v>1</v>
      </c>
      <c r="I317" s="143">
        <f t="shared" ref="I317:I319" si="70">F317*E317</f>
        <v>15.3972</v>
      </c>
      <c r="J317" s="133" t="s">
        <v>5</v>
      </c>
      <c r="K317" s="143">
        <f t="shared" si="69"/>
        <v>15.3972</v>
      </c>
      <c r="L317" s="127"/>
      <c r="M317" s="128"/>
      <c r="N317" s="128"/>
      <c r="O317" s="128"/>
      <c r="P317" s="128"/>
      <c r="Q317" s="129"/>
    </row>
    <row r="318" spans="1:17" ht="19.5" customHeight="1" x14ac:dyDescent="0.15">
      <c r="A318" s="148"/>
      <c r="B318" s="815" t="s">
        <v>1001</v>
      </c>
      <c r="C318" s="816"/>
      <c r="D318" s="671">
        <v>0</v>
      </c>
      <c r="E318" s="143">
        <v>4.51</v>
      </c>
      <c r="F318" s="143">
        <v>3.54</v>
      </c>
      <c r="G318" s="143">
        <v>0</v>
      </c>
      <c r="H318" s="143">
        <v>1</v>
      </c>
      <c r="I318" s="143">
        <f t="shared" si="70"/>
        <v>15.965399999999999</v>
      </c>
      <c r="J318" s="133" t="s">
        <v>5</v>
      </c>
      <c r="K318" s="143">
        <f t="shared" si="69"/>
        <v>15.965399999999999</v>
      </c>
      <c r="L318" s="127"/>
      <c r="M318" s="128"/>
      <c r="N318" s="128"/>
      <c r="O318" s="128"/>
      <c r="P318" s="128"/>
      <c r="Q318" s="129"/>
    </row>
    <row r="319" spans="1:17" ht="27" customHeight="1" x14ac:dyDescent="0.15">
      <c r="A319" s="148"/>
      <c r="B319" s="815" t="s">
        <v>1002</v>
      </c>
      <c r="C319" s="816"/>
      <c r="D319" s="671">
        <v>0</v>
      </c>
      <c r="E319" s="143">
        <v>4.51</v>
      </c>
      <c r="F319" s="143">
        <v>4.0599999999999996</v>
      </c>
      <c r="G319" s="143">
        <v>0</v>
      </c>
      <c r="H319" s="143">
        <v>1</v>
      </c>
      <c r="I319" s="143">
        <f t="shared" si="70"/>
        <v>18.310599999999997</v>
      </c>
      <c r="J319" s="133" t="s">
        <v>5</v>
      </c>
      <c r="K319" s="143">
        <f t="shared" si="69"/>
        <v>18.310599999999997</v>
      </c>
      <c r="L319" s="127"/>
      <c r="M319" s="128"/>
      <c r="N319" s="128"/>
      <c r="O319" s="128"/>
      <c r="P319" s="128"/>
      <c r="Q319" s="129"/>
    </row>
    <row r="320" spans="1:17" ht="14" x14ac:dyDescent="0.15">
      <c r="A320" s="795" t="s">
        <v>149</v>
      </c>
      <c r="B320" s="817"/>
      <c r="C320" s="817"/>
      <c r="D320" s="817"/>
      <c r="E320" s="817"/>
      <c r="F320" s="817"/>
      <c r="G320" s="817"/>
      <c r="H320" s="817"/>
      <c r="I320" s="817"/>
      <c r="J320" s="796"/>
      <c r="K320" s="416">
        <f>SUM(K316:K319)</f>
        <v>85.045799999999986</v>
      </c>
      <c r="L320" s="134"/>
      <c r="M320" s="135"/>
      <c r="N320" s="135"/>
      <c r="O320" s="135"/>
      <c r="P320" s="135"/>
      <c r="Q320" s="136"/>
    </row>
    <row r="321" spans="1:17" x14ac:dyDescent="0.15">
      <c r="A321" s="790"/>
      <c r="B321" s="791"/>
      <c r="C321" s="791"/>
      <c r="D321" s="791"/>
      <c r="E321" s="791"/>
      <c r="F321" s="791"/>
      <c r="G321" s="791"/>
      <c r="H321" s="791"/>
      <c r="I321" s="791"/>
      <c r="J321" s="791"/>
      <c r="K321" s="791"/>
      <c r="L321" s="791"/>
      <c r="M321" s="791"/>
      <c r="N321" s="791"/>
      <c r="O321" s="791"/>
      <c r="P321" s="791"/>
      <c r="Q321" s="792"/>
    </row>
    <row r="322" spans="1:17" s="121" customFormat="1" ht="18" customHeight="1" x14ac:dyDescent="0.15">
      <c r="A322" s="218" t="s">
        <v>0</v>
      </c>
      <c r="B322" s="838" t="s">
        <v>1034</v>
      </c>
      <c r="C322" s="839"/>
      <c r="D322" s="839"/>
      <c r="E322" s="839"/>
      <c r="F322" s="839"/>
      <c r="G322" s="839"/>
      <c r="H322" s="839"/>
      <c r="I322" s="839"/>
      <c r="J322" s="839"/>
      <c r="K322" s="839"/>
      <c r="L322" s="839"/>
      <c r="M322" s="839"/>
      <c r="N322" s="839"/>
      <c r="O322" s="216" t="s">
        <v>73</v>
      </c>
      <c r="P322" s="795" t="s">
        <v>193</v>
      </c>
      <c r="Q322" s="796"/>
    </row>
    <row r="323" spans="1:17" x14ac:dyDescent="0.15">
      <c r="A323" s="790"/>
      <c r="B323" s="791"/>
      <c r="C323" s="791"/>
      <c r="D323" s="791"/>
      <c r="E323" s="791"/>
      <c r="F323" s="791"/>
      <c r="G323" s="791"/>
      <c r="H323" s="791"/>
      <c r="I323" s="791"/>
      <c r="J323" s="791"/>
      <c r="K323" s="791"/>
      <c r="L323" s="791"/>
      <c r="M323" s="791"/>
      <c r="N323" s="791"/>
      <c r="O323" s="791"/>
      <c r="P323" s="791"/>
      <c r="Q323" s="792"/>
    </row>
    <row r="324" spans="1:17" s="126" customFormat="1" x14ac:dyDescent="0.15">
      <c r="A324" s="822" t="s">
        <v>150</v>
      </c>
      <c r="B324" s="823" t="s">
        <v>151</v>
      </c>
      <c r="C324" s="823"/>
      <c r="D324" s="832" t="s">
        <v>264</v>
      </c>
      <c r="E324" s="823" t="s">
        <v>152</v>
      </c>
      <c r="F324" s="823"/>
      <c r="G324" s="823"/>
      <c r="H324" s="802" t="s">
        <v>153</v>
      </c>
      <c r="I324" s="802" t="s">
        <v>242</v>
      </c>
      <c r="J324" s="804" t="s">
        <v>73</v>
      </c>
      <c r="K324" s="216" t="s">
        <v>154</v>
      </c>
      <c r="L324" s="123"/>
      <c r="M324" s="124"/>
      <c r="N324" s="124"/>
      <c r="O324" s="124"/>
      <c r="P324" s="124"/>
      <c r="Q324" s="125"/>
    </row>
    <row r="325" spans="1:17" s="130" customFormat="1" x14ac:dyDescent="0.15">
      <c r="A325" s="822"/>
      <c r="B325" s="823"/>
      <c r="C325" s="823"/>
      <c r="D325" s="833"/>
      <c r="E325" s="217" t="s">
        <v>155</v>
      </c>
      <c r="F325" s="217" t="s">
        <v>156</v>
      </c>
      <c r="G325" s="217" t="s">
        <v>157</v>
      </c>
      <c r="H325" s="803"/>
      <c r="I325" s="803"/>
      <c r="J325" s="805"/>
      <c r="K325" s="216" t="s">
        <v>158</v>
      </c>
      <c r="L325" s="127"/>
      <c r="M325" s="128"/>
      <c r="N325" s="128"/>
      <c r="O325" s="128"/>
      <c r="P325" s="128"/>
      <c r="Q325" s="129"/>
    </row>
    <row r="326" spans="1:17" ht="19.5" customHeight="1" x14ac:dyDescent="0.15">
      <c r="A326" s="148"/>
      <c r="B326" s="788" t="s">
        <v>1018</v>
      </c>
      <c r="C326" s="789"/>
      <c r="D326" s="143">
        <v>0</v>
      </c>
      <c r="E326" s="143">
        <v>2.9</v>
      </c>
      <c r="F326" s="143">
        <v>0</v>
      </c>
      <c r="G326" s="143">
        <v>0.1</v>
      </c>
      <c r="H326" s="143">
        <v>2</v>
      </c>
      <c r="I326" s="143">
        <f>E326</f>
        <v>2.9</v>
      </c>
      <c r="J326" s="133" t="s">
        <v>193</v>
      </c>
      <c r="K326" s="143">
        <f t="shared" ref="K326:K329" si="71">(I326*H326)-D326</f>
        <v>5.8</v>
      </c>
      <c r="L326" s="127"/>
      <c r="M326" s="128"/>
      <c r="N326" s="128"/>
      <c r="O326" s="128"/>
      <c r="P326" s="128"/>
      <c r="Q326" s="129"/>
    </row>
    <row r="327" spans="1:17" ht="19.5" customHeight="1" x14ac:dyDescent="0.15">
      <c r="A327" s="148"/>
      <c r="B327" s="815" t="s">
        <v>1000</v>
      </c>
      <c r="C327" s="816"/>
      <c r="D327" s="671">
        <v>0</v>
      </c>
      <c r="E327" s="143">
        <v>15.84</v>
      </c>
      <c r="F327" s="143">
        <v>0</v>
      </c>
      <c r="G327" s="143">
        <v>0.1</v>
      </c>
      <c r="H327" s="143">
        <v>1</v>
      </c>
      <c r="I327" s="143">
        <f>E327</f>
        <v>15.84</v>
      </c>
      <c r="J327" s="133" t="s">
        <v>193</v>
      </c>
      <c r="K327" s="143">
        <f t="shared" si="71"/>
        <v>15.84</v>
      </c>
      <c r="L327" s="127"/>
      <c r="M327" s="128"/>
      <c r="N327" s="128"/>
      <c r="O327" s="128"/>
      <c r="P327" s="128"/>
      <c r="Q327" s="129"/>
    </row>
    <row r="328" spans="1:17" ht="19.5" customHeight="1" x14ac:dyDescent="0.15">
      <c r="A328" s="148"/>
      <c r="B328" s="815" t="s">
        <v>1001</v>
      </c>
      <c r="C328" s="816"/>
      <c r="D328" s="671">
        <v>0</v>
      </c>
      <c r="E328" s="143">
        <v>15.52</v>
      </c>
      <c r="F328" s="143">
        <v>0</v>
      </c>
      <c r="G328" s="143">
        <v>0.1</v>
      </c>
      <c r="H328" s="143">
        <v>1</v>
      </c>
      <c r="I328" s="143">
        <f>E328</f>
        <v>15.52</v>
      </c>
      <c r="J328" s="133" t="s">
        <v>193</v>
      </c>
      <c r="K328" s="143">
        <f t="shared" si="71"/>
        <v>15.52</v>
      </c>
      <c r="L328" s="127"/>
      <c r="M328" s="128"/>
      <c r="N328" s="128"/>
      <c r="O328" s="128"/>
      <c r="P328" s="128"/>
      <c r="Q328" s="129"/>
    </row>
    <row r="329" spans="1:17" ht="27" customHeight="1" x14ac:dyDescent="0.15">
      <c r="A329" s="148"/>
      <c r="B329" s="815" t="s">
        <v>1002</v>
      </c>
      <c r="C329" s="816"/>
      <c r="D329" s="671">
        <v>0</v>
      </c>
      <c r="E329" s="143">
        <v>16.43</v>
      </c>
      <c r="F329" s="143">
        <v>0</v>
      </c>
      <c r="G329" s="143">
        <v>0.1</v>
      </c>
      <c r="H329" s="143">
        <v>1</v>
      </c>
      <c r="I329" s="143">
        <f>E329</f>
        <v>16.43</v>
      </c>
      <c r="J329" s="133" t="s">
        <v>193</v>
      </c>
      <c r="K329" s="143">
        <f t="shared" si="71"/>
        <v>16.43</v>
      </c>
      <c r="L329" s="127"/>
      <c r="M329" s="128"/>
      <c r="N329" s="128"/>
      <c r="O329" s="128"/>
      <c r="P329" s="128"/>
      <c r="Q329" s="129"/>
    </row>
    <row r="330" spans="1:17" ht="14" x14ac:dyDescent="0.15">
      <c r="A330" s="795" t="s">
        <v>149</v>
      </c>
      <c r="B330" s="817"/>
      <c r="C330" s="817"/>
      <c r="D330" s="817"/>
      <c r="E330" s="817"/>
      <c r="F330" s="817"/>
      <c r="G330" s="817"/>
      <c r="H330" s="817"/>
      <c r="I330" s="817"/>
      <c r="J330" s="796"/>
      <c r="K330" s="416">
        <f>SUM(K326:K329)</f>
        <v>53.589999999999996</v>
      </c>
      <c r="L330" s="134"/>
      <c r="M330" s="135"/>
      <c r="N330" s="135"/>
      <c r="O330" s="135"/>
      <c r="P330" s="135"/>
      <c r="Q330" s="136"/>
    </row>
    <row r="331" spans="1:17" x14ac:dyDescent="0.15">
      <c r="A331" s="790"/>
      <c r="B331" s="791"/>
      <c r="C331" s="791"/>
      <c r="D331" s="791"/>
      <c r="E331" s="791"/>
      <c r="F331" s="791"/>
      <c r="G331" s="791"/>
      <c r="H331" s="791"/>
      <c r="I331" s="791"/>
      <c r="J331" s="791"/>
      <c r="K331" s="791"/>
      <c r="L331" s="791"/>
      <c r="M331" s="791"/>
      <c r="N331" s="791"/>
      <c r="O331" s="791"/>
      <c r="P331" s="791"/>
      <c r="Q331" s="792"/>
    </row>
    <row r="332" spans="1:17" s="121" customFormat="1" ht="18" customHeight="1" x14ac:dyDescent="0.15">
      <c r="A332" s="218" t="s">
        <v>0</v>
      </c>
      <c r="B332" s="843" t="s">
        <v>1035</v>
      </c>
      <c r="C332" s="844"/>
      <c r="D332" s="844"/>
      <c r="E332" s="844"/>
      <c r="F332" s="844"/>
      <c r="G332" s="844"/>
      <c r="H332" s="844"/>
      <c r="I332" s="844"/>
      <c r="J332" s="844"/>
      <c r="K332" s="844"/>
      <c r="L332" s="844"/>
      <c r="M332" s="844"/>
      <c r="N332" s="844"/>
      <c r="O332" s="216" t="s">
        <v>73</v>
      </c>
      <c r="P332" s="795" t="s">
        <v>19</v>
      </c>
      <c r="Q332" s="796"/>
    </row>
    <row r="333" spans="1:17" x14ac:dyDescent="0.15">
      <c r="A333" s="790"/>
      <c r="B333" s="791"/>
      <c r="C333" s="791"/>
      <c r="D333" s="791"/>
      <c r="E333" s="791"/>
      <c r="F333" s="791"/>
      <c r="G333" s="791"/>
      <c r="H333" s="791"/>
      <c r="I333" s="791"/>
      <c r="J333" s="791"/>
      <c r="K333" s="791"/>
      <c r="L333" s="791"/>
      <c r="M333" s="791"/>
      <c r="N333" s="791"/>
      <c r="O333" s="791"/>
      <c r="P333" s="791"/>
      <c r="Q333" s="792"/>
    </row>
    <row r="334" spans="1:17" s="126" customFormat="1" x14ac:dyDescent="0.15">
      <c r="A334" s="822" t="s">
        <v>150</v>
      </c>
      <c r="B334" s="823" t="s">
        <v>151</v>
      </c>
      <c r="C334" s="823"/>
      <c r="D334" s="802" t="s">
        <v>165</v>
      </c>
      <c r="E334" s="823" t="s">
        <v>152</v>
      </c>
      <c r="F334" s="823"/>
      <c r="G334" s="823"/>
      <c r="H334" s="802" t="s">
        <v>153</v>
      </c>
      <c r="I334" s="802" t="s">
        <v>479</v>
      </c>
      <c r="J334" s="804" t="s">
        <v>73</v>
      </c>
      <c r="K334" s="216" t="s">
        <v>154</v>
      </c>
      <c r="L334" s="123"/>
      <c r="M334" s="124"/>
      <c r="N334" s="124"/>
      <c r="O334" s="124"/>
      <c r="P334" s="124"/>
      <c r="Q334" s="125"/>
    </row>
    <row r="335" spans="1:17" s="130" customFormat="1" x14ac:dyDescent="0.15">
      <c r="A335" s="822"/>
      <c r="B335" s="823"/>
      <c r="C335" s="823"/>
      <c r="D335" s="803"/>
      <c r="E335" s="217" t="s">
        <v>155</v>
      </c>
      <c r="F335" s="217" t="s">
        <v>156</v>
      </c>
      <c r="G335" s="217" t="s">
        <v>157</v>
      </c>
      <c r="H335" s="803"/>
      <c r="I335" s="803"/>
      <c r="J335" s="805"/>
      <c r="K335" s="216" t="s">
        <v>158</v>
      </c>
      <c r="L335" s="127"/>
      <c r="M335" s="128"/>
      <c r="N335" s="128"/>
      <c r="O335" s="128"/>
      <c r="P335" s="128"/>
      <c r="Q335" s="129"/>
    </row>
    <row r="336" spans="1:17" ht="27.75" customHeight="1" x14ac:dyDescent="0.15">
      <c r="A336" s="148"/>
      <c r="B336" s="788" t="s">
        <v>1028</v>
      </c>
      <c r="C336" s="789"/>
      <c r="D336" s="143" t="s">
        <v>19</v>
      </c>
      <c r="E336" s="143">
        <v>0</v>
      </c>
      <c r="F336" s="143">
        <v>0</v>
      </c>
      <c r="G336" s="143">
        <v>0</v>
      </c>
      <c r="H336" s="143">
        <v>1</v>
      </c>
      <c r="I336" s="143">
        <v>1</v>
      </c>
      <c r="J336" s="133" t="s">
        <v>19</v>
      </c>
      <c r="K336" s="143">
        <f>I336*H336</f>
        <v>1</v>
      </c>
      <c r="L336" s="127"/>
      <c r="M336" s="128"/>
      <c r="N336" s="128"/>
      <c r="O336" s="128"/>
      <c r="P336" s="128"/>
      <c r="Q336" s="129"/>
    </row>
    <row r="337" spans="1:17" ht="14" x14ac:dyDescent="0.15">
      <c r="A337" s="795" t="s">
        <v>149</v>
      </c>
      <c r="B337" s="817"/>
      <c r="C337" s="817"/>
      <c r="D337" s="817"/>
      <c r="E337" s="817"/>
      <c r="F337" s="817"/>
      <c r="G337" s="817"/>
      <c r="H337" s="817"/>
      <c r="I337" s="817"/>
      <c r="J337" s="796"/>
      <c r="K337" s="416">
        <f>SUM(K336:K336)</f>
        <v>1</v>
      </c>
      <c r="L337" s="134"/>
      <c r="M337" s="135"/>
      <c r="N337" s="135"/>
      <c r="O337" s="135"/>
      <c r="P337" s="135"/>
      <c r="Q337" s="136"/>
    </row>
    <row r="338" spans="1:17" x14ac:dyDescent="0.15">
      <c r="A338" s="790"/>
      <c r="B338" s="791"/>
      <c r="C338" s="791"/>
      <c r="D338" s="791"/>
      <c r="E338" s="791"/>
      <c r="F338" s="791"/>
      <c r="G338" s="791"/>
      <c r="H338" s="791"/>
      <c r="I338" s="791"/>
      <c r="J338" s="791"/>
      <c r="K338" s="791"/>
      <c r="L338" s="791"/>
      <c r="M338" s="791"/>
      <c r="N338" s="791"/>
      <c r="O338" s="791"/>
      <c r="P338" s="791"/>
      <c r="Q338" s="792"/>
    </row>
    <row r="339" spans="1:17" s="121" customFormat="1" ht="18" customHeight="1" x14ac:dyDescent="0.15">
      <c r="A339" s="218" t="s">
        <v>0</v>
      </c>
      <c r="B339" s="843" t="s">
        <v>1036</v>
      </c>
      <c r="C339" s="844"/>
      <c r="D339" s="844"/>
      <c r="E339" s="844"/>
      <c r="F339" s="844"/>
      <c r="G339" s="844"/>
      <c r="H339" s="844"/>
      <c r="I339" s="844"/>
      <c r="J339" s="844"/>
      <c r="K339" s="844"/>
      <c r="L339" s="844"/>
      <c r="M339" s="844"/>
      <c r="N339" s="844"/>
      <c r="O339" s="216" t="s">
        <v>73</v>
      </c>
      <c r="P339" s="795" t="s">
        <v>319</v>
      </c>
      <c r="Q339" s="796"/>
    </row>
    <row r="340" spans="1:17" x14ac:dyDescent="0.15">
      <c r="A340" s="790"/>
      <c r="B340" s="791"/>
      <c r="C340" s="791"/>
      <c r="D340" s="791"/>
      <c r="E340" s="791"/>
      <c r="F340" s="791"/>
      <c r="G340" s="791"/>
      <c r="H340" s="791"/>
      <c r="I340" s="791"/>
      <c r="J340" s="791"/>
      <c r="K340" s="791"/>
      <c r="L340" s="791"/>
      <c r="M340" s="791"/>
      <c r="N340" s="791"/>
      <c r="O340" s="791"/>
      <c r="P340" s="791"/>
      <c r="Q340" s="792"/>
    </row>
    <row r="341" spans="1:17" s="126" customFormat="1" ht="12.75" customHeight="1" x14ac:dyDescent="0.15">
      <c r="A341" s="822" t="s">
        <v>150</v>
      </c>
      <c r="B341" s="823" t="s">
        <v>151</v>
      </c>
      <c r="C341" s="823"/>
      <c r="D341" s="802"/>
      <c r="E341" s="823" t="s">
        <v>152</v>
      </c>
      <c r="F341" s="823"/>
      <c r="G341" s="823"/>
      <c r="H341" s="802" t="s">
        <v>153</v>
      </c>
      <c r="I341" s="802" t="s">
        <v>479</v>
      </c>
      <c r="J341" s="804" t="s">
        <v>73</v>
      </c>
      <c r="K341" s="216" t="s">
        <v>154</v>
      </c>
      <c r="L341" s="123"/>
      <c r="M341" s="124"/>
      <c r="N341" s="124"/>
      <c r="O341" s="124"/>
      <c r="P341" s="124"/>
      <c r="Q341" s="125"/>
    </row>
    <row r="342" spans="1:17" s="130" customFormat="1" x14ac:dyDescent="0.15">
      <c r="A342" s="822"/>
      <c r="B342" s="823"/>
      <c r="C342" s="823"/>
      <c r="D342" s="803"/>
      <c r="E342" s="217" t="s">
        <v>155</v>
      </c>
      <c r="F342" s="217" t="s">
        <v>156</v>
      </c>
      <c r="G342" s="217" t="s">
        <v>157</v>
      </c>
      <c r="H342" s="803"/>
      <c r="I342" s="803"/>
      <c r="J342" s="805"/>
      <c r="K342" s="216" t="s">
        <v>158</v>
      </c>
      <c r="L342" s="127"/>
      <c r="M342" s="128"/>
      <c r="N342" s="128"/>
      <c r="O342" s="128"/>
      <c r="P342" s="128"/>
      <c r="Q342" s="129"/>
    </row>
    <row r="343" spans="1:17" ht="21" customHeight="1" x14ac:dyDescent="0.15">
      <c r="A343" s="148"/>
      <c r="B343" s="788" t="s">
        <v>1037</v>
      </c>
      <c r="C343" s="789"/>
      <c r="D343" s="143"/>
      <c r="E343" s="143">
        <v>0</v>
      </c>
      <c r="F343" s="143">
        <v>0</v>
      </c>
      <c r="G343" s="143">
        <v>0</v>
      </c>
      <c r="H343" s="143">
        <v>1</v>
      </c>
      <c r="I343" s="143">
        <v>1</v>
      </c>
      <c r="J343" s="133" t="s">
        <v>319</v>
      </c>
      <c r="K343" s="143">
        <f>I343*H343</f>
        <v>1</v>
      </c>
      <c r="L343" s="127"/>
      <c r="M343" s="128"/>
      <c r="N343" s="128"/>
      <c r="O343" s="128"/>
      <c r="P343" s="128"/>
      <c r="Q343" s="129"/>
    </row>
    <row r="344" spans="1:17" ht="14" x14ac:dyDescent="0.15">
      <c r="A344" s="795" t="s">
        <v>149</v>
      </c>
      <c r="B344" s="817"/>
      <c r="C344" s="817"/>
      <c r="D344" s="817"/>
      <c r="E344" s="817"/>
      <c r="F344" s="817"/>
      <c r="G344" s="817"/>
      <c r="H344" s="817"/>
      <c r="I344" s="817"/>
      <c r="J344" s="796"/>
      <c r="K344" s="416">
        <f>SUM(K343:K343)</f>
        <v>1</v>
      </c>
      <c r="L344" s="134"/>
      <c r="M344" s="135"/>
      <c r="N344" s="135"/>
      <c r="O344" s="135"/>
      <c r="P344" s="135"/>
      <c r="Q344" s="136"/>
    </row>
    <row r="345" spans="1:17" x14ac:dyDescent="0.15">
      <c r="A345" s="790"/>
      <c r="B345" s="791"/>
      <c r="C345" s="791"/>
      <c r="D345" s="791"/>
      <c r="E345" s="791"/>
      <c r="F345" s="791"/>
      <c r="G345" s="791"/>
      <c r="H345" s="791"/>
      <c r="I345" s="791"/>
      <c r="J345" s="791"/>
      <c r="K345" s="791"/>
      <c r="L345" s="791"/>
      <c r="M345" s="791"/>
      <c r="N345" s="791"/>
      <c r="O345" s="791"/>
      <c r="P345" s="791"/>
      <c r="Q345" s="792"/>
    </row>
    <row r="346" spans="1:17" s="121" customFormat="1" ht="18" customHeight="1" x14ac:dyDescent="0.15">
      <c r="A346" s="218" t="s">
        <v>0</v>
      </c>
      <c r="B346" s="843" t="s">
        <v>1039</v>
      </c>
      <c r="C346" s="844"/>
      <c r="D346" s="844"/>
      <c r="E346" s="844"/>
      <c r="F346" s="844"/>
      <c r="G346" s="844"/>
      <c r="H346" s="844"/>
      <c r="I346" s="844"/>
      <c r="J346" s="844"/>
      <c r="K346" s="844"/>
      <c r="L346" s="844"/>
      <c r="M346" s="844"/>
      <c r="N346" s="844"/>
      <c r="O346" s="216" t="s">
        <v>73</v>
      </c>
      <c r="P346" s="795" t="s">
        <v>319</v>
      </c>
      <c r="Q346" s="796"/>
    </row>
    <row r="347" spans="1:17" x14ac:dyDescent="0.15">
      <c r="A347" s="790"/>
      <c r="B347" s="791"/>
      <c r="C347" s="791"/>
      <c r="D347" s="791"/>
      <c r="E347" s="791"/>
      <c r="F347" s="791"/>
      <c r="G347" s="791"/>
      <c r="H347" s="791"/>
      <c r="I347" s="791"/>
      <c r="J347" s="791"/>
      <c r="K347" s="791"/>
      <c r="L347" s="791"/>
      <c r="M347" s="791"/>
      <c r="N347" s="791"/>
      <c r="O347" s="791"/>
      <c r="P347" s="791"/>
      <c r="Q347" s="792"/>
    </row>
    <row r="348" spans="1:17" s="126" customFormat="1" ht="12.75" customHeight="1" x14ac:dyDescent="0.15">
      <c r="A348" s="822" t="s">
        <v>150</v>
      </c>
      <c r="B348" s="823" t="s">
        <v>151</v>
      </c>
      <c r="C348" s="823"/>
      <c r="D348" s="802"/>
      <c r="E348" s="823" t="s">
        <v>152</v>
      </c>
      <c r="F348" s="823"/>
      <c r="G348" s="823"/>
      <c r="H348" s="802" t="s">
        <v>153</v>
      </c>
      <c r="I348" s="802" t="s">
        <v>479</v>
      </c>
      <c r="J348" s="804" t="s">
        <v>73</v>
      </c>
      <c r="K348" s="216" t="s">
        <v>154</v>
      </c>
      <c r="L348" s="123"/>
      <c r="M348" s="124"/>
      <c r="N348" s="124"/>
      <c r="O348" s="124"/>
      <c r="P348" s="124"/>
      <c r="Q348" s="125"/>
    </row>
    <row r="349" spans="1:17" s="130" customFormat="1" x14ac:dyDescent="0.15">
      <c r="A349" s="822"/>
      <c r="B349" s="823"/>
      <c r="C349" s="823"/>
      <c r="D349" s="803"/>
      <c r="E349" s="217" t="s">
        <v>155</v>
      </c>
      <c r="F349" s="217" t="s">
        <v>156</v>
      </c>
      <c r="G349" s="217" t="s">
        <v>157</v>
      </c>
      <c r="H349" s="803"/>
      <c r="I349" s="803"/>
      <c r="J349" s="805"/>
      <c r="K349" s="216" t="s">
        <v>158</v>
      </c>
      <c r="L349" s="127"/>
      <c r="M349" s="128"/>
      <c r="N349" s="128"/>
      <c r="O349" s="128"/>
      <c r="P349" s="128"/>
      <c r="Q349" s="129"/>
    </row>
    <row r="350" spans="1:17" ht="21" customHeight="1" x14ac:dyDescent="0.15">
      <c r="A350" s="148"/>
      <c r="B350" s="788" t="s">
        <v>1038</v>
      </c>
      <c r="C350" s="789"/>
      <c r="D350" s="143"/>
      <c r="E350" s="143">
        <v>0</v>
      </c>
      <c r="F350" s="143">
        <v>0</v>
      </c>
      <c r="G350" s="143">
        <v>0</v>
      </c>
      <c r="H350" s="143">
        <v>1</v>
      </c>
      <c r="I350" s="143">
        <v>1</v>
      </c>
      <c r="J350" s="133" t="s">
        <v>319</v>
      </c>
      <c r="K350" s="143">
        <f>I350*H350</f>
        <v>1</v>
      </c>
      <c r="L350" s="127"/>
      <c r="M350" s="128"/>
      <c r="N350" s="128"/>
      <c r="O350" s="128"/>
      <c r="P350" s="128"/>
      <c r="Q350" s="129"/>
    </row>
    <row r="351" spans="1:17" ht="14" x14ac:dyDescent="0.15">
      <c r="A351" s="795" t="s">
        <v>149</v>
      </c>
      <c r="B351" s="817"/>
      <c r="C351" s="817"/>
      <c r="D351" s="817"/>
      <c r="E351" s="817"/>
      <c r="F351" s="817"/>
      <c r="G351" s="817"/>
      <c r="H351" s="817"/>
      <c r="I351" s="817"/>
      <c r="J351" s="796"/>
      <c r="K351" s="416">
        <f>SUM(K350:K350)</f>
        <v>1</v>
      </c>
      <c r="L351" s="134"/>
      <c r="M351" s="135"/>
      <c r="N351" s="135"/>
      <c r="O351" s="135"/>
      <c r="P351" s="135"/>
      <c r="Q351" s="136"/>
    </row>
    <row r="352" spans="1:17" x14ac:dyDescent="0.15">
      <c r="A352" s="790"/>
      <c r="B352" s="791"/>
      <c r="C352" s="791"/>
      <c r="D352" s="791"/>
      <c r="E352" s="791"/>
      <c r="F352" s="791"/>
      <c r="G352" s="791"/>
      <c r="H352" s="791"/>
      <c r="I352" s="791"/>
      <c r="J352" s="791"/>
      <c r="K352" s="791"/>
      <c r="L352" s="791"/>
      <c r="M352" s="791"/>
      <c r="N352" s="791"/>
      <c r="O352" s="791"/>
      <c r="P352" s="791"/>
      <c r="Q352" s="792"/>
    </row>
    <row r="353" spans="1:17" s="121" customFormat="1" ht="18" customHeight="1" x14ac:dyDescent="0.15">
      <c r="A353" s="218" t="s">
        <v>0</v>
      </c>
      <c r="B353" s="841" t="s">
        <v>1040</v>
      </c>
      <c r="C353" s="842"/>
      <c r="D353" s="842"/>
      <c r="E353" s="842"/>
      <c r="F353" s="842"/>
      <c r="G353" s="842"/>
      <c r="H353" s="842"/>
      <c r="I353" s="842"/>
      <c r="J353" s="842"/>
      <c r="K353" s="842"/>
      <c r="L353" s="842"/>
      <c r="M353" s="842"/>
      <c r="N353" s="842"/>
      <c r="O353" s="216" t="s">
        <v>73</v>
      </c>
      <c r="P353" s="795" t="s">
        <v>19</v>
      </c>
      <c r="Q353" s="796"/>
    </row>
    <row r="354" spans="1:17" x14ac:dyDescent="0.15">
      <c r="A354" s="790"/>
      <c r="B354" s="791"/>
      <c r="C354" s="791"/>
      <c r="D354" s="791"/>
      <c r="E354" s="791"/>
      <c r="F354" s="791"/>
      <c r="G354" s="791"/>
      <c r="H354" s="791"/>
      <c r="I354" s="791"/>
      <c r="J354" s="791"/>
      <c r="K354" s="791"/>
      <c r="L354" s="791"/>
      <c r="M354" s="791"/>
      <c r="N354" s="791"/>
      <c r="O354" s="791"/>
      <c r="P354" s="791"/>
      <c r="Q354" s="792"/>
    </row>
    <row r="355" spans="1:17" s="126" customFormat="1" x14ac:dyDescent="0.15">
      <c r="A355" s="822" t="s">
        <v>150</v>
      </c>
      <c r="B355" s="823" t="s">
        <v>151</v>
      </c>
      <c r="C355" s="823"/>
      <c r="D355" s="802" t="s">
        <v>165</v>
      </c>
      <c r="E355" s="823" t="s">
        <v>152</v>
      </c>
      <c r="F355" s="823"/>
      <c r="G355" s="823"/>
      <c r="H355" s="802" t="s">
        <v>153</v>
      </c>
      <c r="I355" s="802" t="s">
        <v>479</v>
      </c>
      <c r="J355" s="804" t="s">
        <v>73</v>
      </c>
      <c r="K355" s="216" t="s">
        <v>154</v>
      </c>
      <c r="L355" s="123"/>
      <c r="M355" s="124"/>
      <c r="N355" s="124"/>
      <c r="O355" s="124"/>
      <c r="P355" s="124"/>
      <c r="Q355" s="125"/>
    </row>
    <row r="356" spans="1:17" s="130" customFormat="1" x14ac:dyDescent="0.15">
      <c r="A356" s="822"/>
      <c r="B356" s="823"/>
      <c r="C356" s="823"/>
      <c r="D356" s="803"/>
      <c r="E356" s="217" t="s">
        <v>155</v>
      </c>
      <c r="F356" s="217" t="s">
        <v>156</v>
      </c>
      <c r="G356" s="217" t="s">
        <v>157</v>
      </c>
      <c r="H356" s="803"/>
      <c r="I356" s="803"/>
      <c r="J356" s="805"/>
      <c r="K356" s="216" t="s">
        <v>158</v>
      </c>
      <c r="L356" s="127"/>
      <c r="M356" s="128"/>
      <c r="N356" s="128"/>
      <c r="O356" s="128"/>
      <c r="P356" s="128"/>
      <c r="Q356" s="129"/>
    </row>
    <row r="357" spans="1:17" ht="27.75" customHeight="1" x14ac:dyDescent="0.15">
      <c r="A357" s="148"/>
      <c r="B357" s="788" t="s">
        <v>1028</v>
      </c>
      <c r="C357" s="789"/>
      <c r="D357" s="143" t="s">
        <v>19</v>
      </c>
      <c r="E357" s="143">
        <v>0</v>
      </c>
      <c r="F357" s="143">
        <v>0</v>
      </c>
      <c r="G357" s="143">
        <v>0</v>
      </c>
      <c r="H357" s="143">
        <v>1</v>
      </c>
      <c r="I357" s="143">
        <v>1</v>
      </c>
      <c r="J357" s="133" t="s">
        <v>19</v>
      </c>
      <c r="K357" s="143">
        <f>I357*H357</f>
        <v>1</v>
      </c>
      <c r="L357" s="127"/>
      <c r="M357" s="128"/>
      <c r="N357" s="128"/>
      <c r="O357" s="128"/>
      <c r="P357" s="128"/>
      <c r="Q357" s="129"/>
    </row>
    <row r="358" spans="1:17" ht="14" x14ac:dyDescent="0.15">
      <c r="A358" s="795" t="s">
        <v>149</v>
      </c>
      <c r="B358" s="817"/>
      <c r="C358" s="817"/>
      <c r="D358" s="817"/>
      <c r="E358" s="817"/>
      <c r="F358" s="817"/>
      <c r="G358" s="817"/>
      <c r="H358" s="817"/>
      <c r="I358" s="817"/>
      <c r="J358" s="796"/>
      <c r="K358" s="416">
        <f>SUM(K357:K357)</f>
        <v>1</v>
      </c>
      <c r="L358" s="134"/>
      <c r="M358" s="135"/>
      <c r="N358" s="135"/>
      <c r="O358" s="135"/>
      <c r="P358" s="135"/>
      <c r="Q358" s="136"/>
    </row>
    <row r="359" spans="1:17" x14ac:dyDescent="0.15">
      <c r="A359" s="790"/>
      <c r="B359" s="791"/>
      <c r="C359" s="791"/>
      <c r="D359" s="791"/>
      <c r="E359" s="791"/>
      <c r="F359" s="791"/>
      <c r="G359" s="791"/>
      <c r="H359" s="791"/>
      <c r="I359" s="791"/>
      <c r="J359" s="791"/>
      <c r="K359" s="791"/>
      <c r="L359" s="791"/>
      <c r="M359" s="791"/>
      <c r="N359" s="791"/>
      <c r="O359" s="791"/>
      <c r="P359" s="791"/>
      <c r="Q359" s="792"/>
    </row>
    <row r="360" spans="1:17" s="121" customFormat="1" ht="18" customHeight="1" x14ac:dyDescent="0.15">
      <c r="A360" s="218" t="s">
        <v>0</v>
      </c>
      <c r="B360" s="841" t="s">
        <v>1041</v>
      </c>
      <c r="C360" s="842"/>
      <c r="D360" s="842"/>
      <c r="E360" s="842"/>
      <c r="F360" s="842"/>
      <c r="G360" s="842"/>
      <c r="H360" s="842"/>
      <c r="I360" s="842"/>
      <c r="J360" s="842"/>
      <c r="K360" s="842"/>
      <c r="L360" s="842"/>
      <c r="M360" s="842"/>
      <c r="N360" s="842"/>
      <c r="O360" s="216" t="s">
        <v>73</v>
      </c>
      <c r="P360" s="795" t="s">
        <v>319</v>
      </c>
      <c r="Q360" s="796"/>
    </row>
    <row r="361" spans="1:17" x14ac:dyDescent="0.15">
      <c r="A361" s="790"/>
      <c r="B361" s="791"/>
      <c r="C361" s="791"/>
      <c r="D361" s="791"/>
      <c r="E361" s="791"/>
      <c r="F361" s="791"/>
      <c r="G361" s="791"/>
      <c r="H361" s="791"/>
      <c r="I361" s="791"/>
      <c r="J361" s="791"/>
      <c r="K361" s="791"/>
      <c r="L361" s="791"/>
      <c r="M361" s="791"/>
      <c r="N361" s="791"/>
      <c r="O361" s="791"/>
      <c r="P361" s="791"/>
      <c r="Q361" s="792"/>
    </row>
    <row r="362" spans="1:17" s="126" customFormat="1" ht="12.75" customHeight="1" x14ac:dyDescent="0.15">
      <c r="A362" s="822" t="s">
        <v>150</v>
      </c>
      <c r="B362" s="823" t="s">
        <v>151</v>
      </c>
      <c r="C362" s="823"/>
      <c r="D362" s="802"/>
      <c r="E362" s="823" t="s">
        <v>152</v>
      </c>
      <c r="F362" s="823"/>
      <c r="G362" s="823"/>
      <c r="H362" s="802" t="s">
        <v>153</v>
      </c>
      <c r="I362" s="802" t="s">
        <v>479</v>
      </c>
      <c r="J362" s="804" t="s">
        <v>73</v>
      </c>
      <c r="K362" s="216" t="s">
        <v>154</v>
      </c>
      <c r="L362" s="123"/>
      <c r="M362" s="124"/>
      <c r="N362" s="124"/>
      <c r="O362" s="124"/>
      <c r="P362" s="124"/>
      <c r="Q362" s="125"/>
    </row>
    <row r="363" spans="1:17" s="130" customFormat="1" x14ac:dyDescent="0.15">
      <c r="A363" s="822"/>
      <c r="B363" s="823"/>
      <c r="C363" s="823"/>
      <c r="D363" s="803"/>
      <c r="E363" s="217" t="s">
        <v>155</v>
      </c>
      <c r="F363" s="217" t="s">
        <v>156</v>
      </c>
      <c r="G363" s="217" t="s">
        <v>157</v>
      </c>
      <c r="H363" s="803"/>
      <c r="I363" s="803"/>
      <c r="J363" s="805"/>
      <c r="K363" s="216" t="s">
        <v>158</v>
      </c>
      <c r="L363" s="127"/>
      <c r="M363" s="128"/>
      <c r="N363" s="128"/>
      <c r="O363" s="128"/>
      <c r="P363" s="128"/>
      <c r="Q363" s="129"/>
    </row>
    <row r="364" spans="1:17" ht="28.5" customHeight="1" x14ac:dyDescent="0.15">
      <c r="A364" s="148"/>
      <c r="B364" s="788" t="s">
        <v>1042</v>
      </c>
      <c r="C364" s="789"/>
      <c r="D364" s="143"/>
      <c r="E364" s="143">
        <v>0</v>
      </c>
      <c r="F364" s="143">
        <v>0</v>
      </c>
      <c r="G364" s="143">
        <v>0</v>
      </c>
      <c r="H364" s="143">
        <v>1</v>
      </c>
      <c r="I364" s="143">
        <v>1</v>
      </c>
      <c r="J364" s="133" t="s">
        <v>319</v>
      </c>
      <c r="K364" s="143">
        <f>I364*H364</f>
        <v>1</v>
      </c>
      <c r="L364" s="127"/>
      <c r="M364" s="128"/>
      <c r="N364" s="128"/>
      <c r="O364" s="128"/>
      <c r="P364" s="128"/>
      <c r="Q364" s="129"/>
    </row>
    <row r="365" spans="1:17" ht="14" x14ac:dyDescent="0.15">
      <c r="A365" s="795" t="s">
        <v>149</v>
      </c>
      <c r="B365" s="817"/>
      <c r="C365" s="817"/>
      <c r="D365" s="817"/>
      <c r="E365" s="817"/>
      <c r="F365" s="817"/>
      <c r="G365" s="817"/>
      <c r="H365" s="817"/>
      <c r="I365" s="817"/>
      <c r="J365" s="796"/>
      <c r="K365" s="416">
        <f>SUM(K364:K364)</f>
        <v>1</v>
      </c>
      <c r="L365" s="134"/>
      <c r="M365" s="135"/>
      <c r="N365" s="135"/>
      <c r="O365" s="135"/>
      <c r="P365" s="135"/>
      <c r="Q365" s="136"/>
    </row>
    <row r="366" spans="1:17" x14ac:dyDescent="0.15">
      <c r="A366" s="790"/>
      <c r="B366" s="791"/>
      <c r="C366" s="791"/>
      <c r="D366" s="791"/>
      <c r="E366" s="791"/>
      <c r="F366" s="791"/>
      <c r="G366" s="791"/>
      <c r="H366" s="791"/>
      <c r="I366" s="791"/>
      <c r="J366" s="791"/>
      <c r="K366" s="791"/>
      <c r="L366" s="791"/>
      <c r="M366" s="791"/>
      <c r="N366" s="791"/>
      <c r="O366" s="791"/>
      <c r="P366" s="791"/>
      <c r="Q366" s="792"/>
    </row>
    <row r="367" spans="1:17" s="121" customFormat="1" ht="18" customHeight="1" x14ac:dyDescent="0.15">
      <c r="A367" s="218" t="s">
        <v>0</v>
      </c>
      <c r="B367" s="841" t="s">
        <v>1043</v>
      </c>
      <c r="C367" s="842"/>
      <c r="D367" s="842"/>
      <c r="E367" s="842"/>
      <c r="F367" s="842"/>
      <c r="G367" s="842"/>
      <c r="H367" s="842"/>
      <c r="I367" s="842"/>
      <c r="J367" s="842"/>
      <c r="K367" s="842"/>
      <c r="L367" s="842"/>
      <c r="M367" s="842"/>
      <c r="N367" s="842"/>
      <c r="O367" s="216" t="s">
        <v>73</v>
      </c>
      <c r="P367" s="795" t="s">
        <v>319</v>
      </c>
      <c r="Q367" s="796"/>
    </row>
    <row r="368" spans="1:17" x14ac:dyDescent="0.15">
      <c r="A368" s="790"/>
      <c r="B368" s="791"/>
      <c r="C368" s="791"/>
      <c r="D368" s="791"/>
      <c r="E368" s="791"/>
      <c r="F368" s="791"/>
      <c r="G368" s="791"/>
      <c r="H368" s="791"/>
      <c r="I368" s="791"/>
      <c r="J368" s="791"/>
      <c r="K368" s="791"/>
      <c r="L368" s="791"/>
      <c r="M368" s="791"/>
      <c r="N368" s="791"/>
      <c r="O368" s="791"/>
      <c r="P368" s="791"/>
      <c r="Q368" s="792"/>
    </row>
    <row r="369" spans="1:17" s="126" customFormat="1" ht="12.75" customHeight="1" x14ac:dyDescent="0.15">
      <c r="A369" s="822" t="s">
        <v>150</v>
      </c>
      <c r="B369" s="823" t="s">
        <v>151</v>
      </c>
      <c r="C369" s="823"/>
      <c r="D369" s="802"/>
      <c r="E369" s="823" t="s">
        <v>152</v>
      </c>
      <c r="F369" s="823"/>
      <c r="G369" s="823"/>
      <c r="H369" s="802" t="s">
        <v>153</v>
      </c>
      <c r="I369" s="802" t="s">
        <v>479</v>
      </c>
      <c r="J369" s="804" t="s">
        <v>73</v>
      </c>
      <c r="K369" s="216" t="s">
        <v>154</v>
      </c>
      <c r="L369" s="123"/>
      <c r="M369" s="124"/>
      <c r="N369" s="124"/>
      <c r="O369" s="124"/>
      <c r="P369" s="124"/>
      <c r="Q369" s="125"/>
    </row>
    <row r="370" spans="1:17" s="130" customFormat="1" x14ac:dyDescent="0.15">
      <c r="A370" s="822"/>
      <c r="B370" s="823"/>
      <c r="C370" s="823"/>
      <c r="D370" s="803"/>
      <c r="E370" s="217" t="s">
        <v>155</v>
      </c>
      <c r="F370" s="217" t="s">
        <v>156</v>
      </c>
      <c r="G370" s="217" t="s">
        <v>157</v>
      </c>
      <c r="H370" s="803"/>
      <c r="I370" s="803"/>
      <c r="J370" s="805"/>
      <c r="K370" s="216" t="s">
        <v>158</v>
      </c>
      <c r="L370" s="127"/>
      <c r="M370" s="128"/>
      <c r="N370" s="128"/>
      <c r="O370" s="128"/>
      <c r="P370" s="128"/>
      <c r="Q370" s="129"/>
    </row>
    <row r="371" spans="1:17" ht="21" customHeight="1" x14ac:dyDescent="0.15">
      <c r="A371" s="148"/>
      <c r="B371" s="788" t="s">
        <v>1044</v>
      </c>
      <c r="C371" s="789"/>
      <c r="D371" s="143"/>
      <c r="E371" s="143">
        <v>2.2999999999999998</v>
      </c>
      <c r="F371" s="143">
        <v>1.25</v>
      </c>
      <c r="G371" s="143">
        <v>1.1499999999999999</v>
      </c>
      <c r="H371" s="143">
        <v>1</v>
      </c>
      <c r="I371" s="143">
        <v>1</v>
      </c>
      <c r="J371" s="133" t="s">
        <v>319</v>
      </c>
      <c r="K371" s="143">
        <f>I371*H371</f>
        <v>1</v>
      </c>
      <c r="L371" s="127"/>
      <c r="M371" s="128"/>
      <c r="N371" s="128"/>
      <c r="O371" s="128"/>
      <c r="P371" s="128"/>
      <c r="Q371" s="129"/>
    </row>
    <row r="372" spans="1:17" ht="14" x14ac:dyDescent="0.15">
      <c r="A372" s="795" t="s">
        <v>149</v>
      </c>
      <c r="B372" s="817"/>
      <c r="C372" s="817"/>
      <c r="D372" s="817"/>
      <c r="E372" s="817"/>
      <c r="F372" s="817"/>
      <c r="G372" s="817"/>
      <c r="H372" s="817"/>
      <c r="I372" s="817"/>
      <c r="J372" s="796"/>
      <c r="K372" s="416">
        <f>SUM(K371:K371)</f>
        <v>1</v>
      </c>
      <c r="L372" s="134"/>
      <c r="M372" s="135"/>
      <c r="N372" s="135"/>
      <c r="O372" s="135"/>
      <c r="P372" s="135"/>
      <c r="Q372" s="136"/>
    </row>
    <row r="373" spans="1:17" x14ac:dyDescent="0.15">
      <c r="A373" s="790"/>
      <c r="B373" s="791"/>
      <c r="C373" s="791"/>
      <c r="D373" s="791"/>
      <c r="E373" s="791"/>
      <c r="F373" s="791"/>
      <c r="G373" s="791"/>
      <c r="H373" s="791"/>
      <c r="I373" s="791"/>
      <c r="J373" s="791"/>
      <c r="K373" s="791"/>
      <c r="L373" s="791"/>
      <c r="M373" s="791"/>
      <c r="N373" s="791"/>
      <c r="O373" s="791"/>
      <c r="P373" s="791"/>
      <c r="Q373" s="792"/>
    </row>
    <row r="374" spans="1:17" s="121" customFormat="1" ht="21.75" customHeight="1" x14ac:dyDescent="0.15">
      <c r="A374" s="218" t="s">
        <v>0</v>
      </c>
      <c r="B374" s="845" t="s">
        <v>1045</v>
      </c>
      <c r="C374" s="846"/>
      <c r="D374" s="846"/>
      <c r="E374" s="846"/>
      <c r="F374" s="846"/>
      <c r="G374" s="846"/>
      <c r="H374" s="846"/>
      <c r="I374" s="846"/>
      <c r="J374" s="846"/>
      <c r="K374" s="846"/>
      <c r="L374" s="846"/>
      <c r="M374" s="846"/>
      <c r="N374" s="847"/>
      <c r="O374" s="216" t="s">
        <v>73</v>
      </c>
      <c r="P374" s="795" t="s">
        <v>193</v>
      </c>
      <c r="Q374" s="796"/>
    </row>
    <row r="375" spans="1:17" x14ac:dyDescent="0.15">
      <c r="A375" s="790"/>
      <c r="B375" s="791"/>
      <c r="C375" s="791"/>
      <c r="D375" s="791"/>
      <c r="E375" s="791"/>
      <c r="F375" s="791"/>
      <c r="G375" s="791"/>
      <c r="H375" s="791"/>
      <c r="I375" s="791"/>
      <c r="J375" s="791"/>
      <c r="K375" s="791"/>
      <c r="L375" s="791"/>
      <c r="M375" s="791"/>
      <c r="N375" s="791"/>
      <c r="O375" s="791"/>
      <c r="P375" s="791"/>
      <c r="Q375" s="792"/>
    </row>
    <row r="376" spans="1:17" s="126" customFormat="1" x14ac:dyDescent="0.15">
      <c r="A376" s="822" t="s">
        <v>150</v>
      </c>
      <c r="B376" s="823" t="s">
        <v>151</v>
      </c>
      <c r="C376" s="823"/>
      <c r="D376" s="802"/>
      <c r="E376" s="823" t="s">
        <v>152</v>
      </c>
      <c r="F376" s="823"/>
      <c r="G376" s="823"/>
      <c r="H376" s="802" t="s">
        <v>153</v>
      </c>
      <c r="I376" s="802" t="s">
        <v>242</v>
      </c>
      <c r="J376" s="804" t="s">
        <v>73</v>
      </c>
      <c r="K376" s="216" t="s">
        <v>154</v>
      </c>
      <c r="L376" s="123"/>
      <c r="M376" s="124"/>
      <c r="N376" s="124"/>
      <c r="O376" s="124"/>
      <c r="P376" s="124"/>
      <c r="Q376" s="125"/>
    </row>
    <row r="377" spans="1:17" s="130" customFormat="1" x14ac:dyDescent="0.15">
      <c r="A377" s="822"/>
      <c r="B377" s="823"/>
      <c r="C377" s="823"/>
      <c r="D377" s="803"/>
      <c r="E377" s="217" t="s">
        <v>155</v>
      </c>
      <c r="F377" s="217" t="s">
        <v>156</v>
      </c>
      <c r="G377" s="217" t="s">
        <v>157</v>
      </c>
      <c r="H377" s="803"/>
      <c r="I377" s="803"/>
      <c r="J377" s="805"/>
      <c r="K377" s="216" t="s">
        <v>158</v>
      </c>
      <c r="L377" s="127"/>
      <c r="M377" s="128"/>
      <c r="N377" s="128"/>
      <c r="O377" s="128"/>
      <c r="P377" s="128"/>
      <c r="Q377" s="129"/>
    </row>
    <row r="378" spans="1:17" ht="43.5" customHeight="1" x14ac:dyDescent="0.15">
      <c r="A378" s="148"/>
      <c r="B378" s="788" t="s">
        <v>1028</v>
      </c>
      <c r="C378" s="789"/>
      <c r="D378" s="149"/>
      <c r="E378" s="143">
        <v>80</v>
      </c>
      <c r="F378" s="143">
        <v>0</v>
      </c>
      <c r="G378" s="143">
        <v>0</v>
      </c>
      <c r="H378" s="143">
        <v>1</v>
      </c>
      <c r="I378" s="143">
        <f>E378</f>
        <v>80</v>
      </c>
      <c r="J378" s="133" t="s">
        <v>193</v>
      </c>
      <c r="K378" s="143">
        <f>I378*H378</f>
        <v>80</v>
      </c>
      <c r="L378" s="127"/>
      <c r="M378" s="128"/>
      <c r="N378" s="128"/>
      <c r="O378" s="128"/>
      <c r="P378" s="128"/>
      <c r="Q378" s="129"/>
    </row>
    <row r="379" spans="1:17" ht="14" x14ac:dyDescent="0.15">
      <c r="A379" s="795" t="s">
        <v>149</v>
      </c>
      <c r="B379" s="817"/>
      <c r="C379" s="817"/>
      <c r="D379" s="817"/>
      <c r="E379" s="817"/>
      <c r="F379" s="817"/>
      <c r="G379" s="817"/>
      <c r="H379" s="817"/>
      <c r="I379" s="817"/>
      <c r="J379" s="796"/>
      <c r="K379" s="416">
        <f>SUM(K378:K378)</f>
        <v>80</v>
      </c>
      <c r="L379" s="134"/>
      <c r="M379" s="135"/>
      <c r="N379" s="135"/>
      <c r="O379" s="135"/>
      <c r="P379" s="135"/>
      <c r="Q379" s="136"/>
    </row>
    <row r="380" spans="1:17" x14ac:dyDescent="0.15">
      <c r="A380" s="790"/>
      <c r="B380" s="791"/>
      <c r="C380" s="791"/>
      <c r="D380" s="791"/>
      <c r="E380" s="791"/>
      <c r="F380" s="791"/>
      <c r="G380" s="791"/>
      <c r="H380" s="791"/>
      <c r="I380" s="791"/>
      <c r="J380" s="791"/>
      <c r="K380" s="791"/>
      <c r="L380" s="791"/>
      <c r="M380" s="791"/>
      <c r="N380" s="791"/>
      <c r="O380" s="791"/>
      <c r="P380" s="791"/>
      <c r="Q380" s="792"/>
    </row>
    <row r="381" spans="1:17" s="121" customFormat="1" ht="18" customHeight="1" x14ac:dyDescent="0.15">
      <c r="A381" s="218" t="s">
        <v>0</v>
      </c>
      <c r="B381" s="843" t="s">
        <v>1046</v>
      </c>
      <c r="C381" s="844"/>
      <c r="D381" s="844"/>
      <c r="E381" s="844"/>
      <c r="F381" s="844"/>
      <c r="G381" s="844"/>
      <c r="H381" s="844"/>
      <c r="I381" s="844"/>
      <c r="J381" s="844"/>
      <c r="K381" s="844"/>
      <c r="L381" s="844"/>
      <c r="M381" s="844"/>
      <c r="N381" s="844"/>
      <c r="O381" s="216" t="s">
        <v>73</v>
      </c>
      <c r="P381" s="795" t="s">
        <v>319</v>
      </c>
      <c r="Q381" s="796"/>
    </row>
    <row r="382" spans="1:17" x14ac:dyDescent="0.15">
      <c r="A382" s="790"/>
      <c r="B382" s="791"/>
      <c r="C382" s="791"/>
      <c r="D382" s="791"/>
      <c r="E382" s="791"/>
      <c r="F382" s="791"/>
      <c r="G382" s="791"/>
      <c r="H382" s="791"/>
      <c r="I382" s="791"/>
      <c r="J382" s="791"/>
      <c r="K382" s="791"/>
      <c r="L382" s="791"/>
      <c r="M382" s="791"/>
      <c r="N382" s="791"/>
      <c r="O382" s="791"/>
      <c r="P382" s="791"/>
      <c r="Q382" s="792"/>
    </row>
    <row r="383" spans="1:17" s="126" customFormat="1" x14ac:dyDescent="0.15">
      <c r="A383" s="822" t="s">
        <v>150</v>
      </c>
      <c r="B383" s="823" t="s">
        <v>151</v>
      </c>
      <c r="C383" s="823"/>
      <c r="D383" s="802"/>
      <c r="E383" s="823" t="s">
        <v>152</v>
      </c>
      <c r="F383" s="823"/>
      <c r="G383" s="823"/>
      <c r="H383" s="802" t="s">
        <v>153</v>
      </c>
      <c r="I383" s="802" t="s">
        <v>479</v>
      </c>
      <c r="J383" s="804" t="s">
        <v>73</v>
      </c>
      <c r="K383" s="216" t="s">
        <v>154</v>
      </c>
      <c r="L383" s="123"/>
      <c r="M383" s="124"/>
      <c r="N383" s="124"/>
      <c r="O383" s="124"/>
      <c r="P383" s="124"/>
      <c r="Q383" s="125"/>
    </row>
    <row r="384" spans="1:17" s="130" customFormat="1" x14ac:dyDescent="0.15">
      <c r="A384" s="822"/>
      <c r="B384" s="823"/>
      <c r="C384" s="823"/>
      <c r="D384" s="803"/>
      <c r="E384" s="217" t="s">
        <v>155</v>
      </c>
      <c r="F384" s="217" t="s">
        <v>156</v>
      </c>
      <c r="G384" s="217" t="s">
        <v>157</v>
      </c>
      <c r="H384" s="803"/>
      <c r="I384" s="803"/>
      <c r="J384" s="805"/>
      <c r="K384" s="216" t="s">
        <v>158</v>
      </c>
      <c r="L384" s="127"/>
      <c r="M384" s="128"/>
      <c r="N384" s="128"/>
      <c r="O384" s="128"/>
      <c r="P384" s="128"/>
      <c r="Q384" s="129"/>
    </row>
    <row r="385" spans="1:17" ht="30" customHeight="1" x14ac:dyDescent="0.15">
      <c r="A385" s="148"/>
      <c r="B385" s="788" t="s">
        <v>1047</v>
      </c>
      <c r="C385" s="789"/>
      <c r="D385" s="149"/>
      <c r="E385" s="143">
        <v>0</v>
      </c>
      <c r="F385" s="143">
        <v>0</v>
      </c>
      <c r="G385" s="143">
        <v>0</v>
      </c>
      <c r="H385" s="143">
        <v>1</v>
      </c>
      <c r="I385" s="143">
        <v>1</v>
      </c>
      <c r="J385" s="133" t="s">
        <v>319</v>
      </c>
      <c r="K385" s="143">
        <f>I385*H385</f>
        <v>1</v>
      </c>
      <c r="L385" s="127"/>
      <c r="M385" s="128"/>
      <c r="N385" s="128"/>
      <c r="O385" s="128"/>
      <c r="P385" s="128"/>
      <c r="Q385" s="129"/>
    </row>
    <row r="386" spans="1:17" ht="14" x14ac:dyDescent="0.15">
      <c r="A386" s="795" t="s">
        <v>149</v>
      </c>
      <c r="B386" s="817"/>
      <c r="C386" s="817"/>
      <c r="D386" s="817"/>
      <c r="E386" s="817"/>
      <c r="F386" s="817"/>
      <c r="G386" s="817"/>
      <c r="H386" s="817"/>
      <c r="I386" s="817"/>
      <c r="J386" s="796"/>
      <c r="K386" s="416">
        <f>SUM(K385:K385)</f>
        <v>1</v>
      </c>
      <c r="L386" s="134"/>
      <c r="M386" s="135"/>
      <c r="N386" s="135"/>
      <c r="O386" s="135"/>
      <c r="P386" s="135"/>
      <c r="Q386" s="136"/>
    </row>
    <row r="387" spans="1:17" x14ac:dyDescent="0.15">
      <c r="A387" s="790"/>
      <c r="B387" s="791"/>
      <c r="C387" s="791"/>
      <c r="D387" s="791"/>
      <c r="E387" s="791"/>
      <c r="F387" s="791"/>
      <c r="G387" s="791"/>
      <c r="H387" s="791"/>
      <c r="I387" s="791"/>
      <c r="J387" s="791"/>
      <c r="K387" s="791"/>
      <c r="L387" s="791"/>
      <c r="M387" s="791"/>
      <c r="N387" s="791"/>
      <c r="O387" s="791"/>
      <c r="P387" s="791"/>
      <c r="Q387" s="792"/>
    </row>
    <row r="388" spans="1:17" s="121" customFormat="1" ht="18" customHeight="1" x14ac:dyDescent="0.15">
      <c r="A388" s="218" t="s">
        <v>0</v>
      </c>
      <c r="B388" s="845" t="s">
        <v>1048</v>
      </c>
      <c r="C388" s="846"/>
      <c r="D388" s="846"/>
      <c r="E388" s="846"/>
      <c r="F388" s="846"/>
      <c r="G388" s="846"/>
      <c r="H388" s="846"/>
      <c r="I388" s="846"/>
      <c r="J388" s="846"/>
      <c r="K388" s="846"/>
      <c r="L388" s="846"/>
      <c r="M388" s="846"/>
      <c r="N388" s="847"/>
      <c r="O388" s="216" t="s">
        <v>73</v>
      </c>
      <c r="P388" s="795" t="s">
        <v>319</v>
      </c>
      <c r="Q388" s="796"/>
    </row>
    <row r="389" spans="1:17" x14ac:dyDescent="0.15">
      <c r="A389" s="790"/>
      <c r="B389" s="791"/>
      <c r="C389" s="791"/>
      <c r="D389" s="791"/>
      <c r="E389" s="791"/>
      <c r="F389" s="791"/>
      <c r="G389" s="791"/>
      <c r="H389" s="791"/>
      <c r="I389" s="791"/>
      <c r="J389" s="791"/>
      <c r="K389" s="791"/>
      <c r="L389" s="791"/>
      <c r="M389" s="791"/>
      <c r="N389" s="791"/>
      <c r="O389" s="791"/>
      <c r="P389" s="791"/>
      <c r="Q389" s="792"/>
    </row>
    <row r="390" spans="1:17" s="126" customFormat="1" x14ac:dyDescent="0.15">
      <c r="A390" s="822" t="s">
        <v>150</v>
      </c>
      <c r="B390" s="823" t="s">
        <v>151</v>
      </c>
      <c r="C390" s="823"/>
      <c r="D390" s="802"/>
      <c r="E390" s="823" t="s">
        <v>152</v>
      </c>
      <c r="F390" s="823"/>
      <c r="G390" s="823"/>
      <c r="H390" s="802" t="s">
        <v>153</v>
      </c>
      <c r="I390" s="802" t="s">
        <v>479</v>
      </c>
      <c r="J390" s="804" t="s">
        <v>73</v>
      </c>
      <c r="K390" s="216" t="s">
        <v>154</v>
      </c>
      <c r="L390" s="123"/>
      <c r="M390" s="124"/>
      <c r="N390" s="124"/>
      <c r="O390" s="124"/>
      <c r="P390" s="124"/>
      <c r="Q390" s="125"/>
    </row>
    <row r="391" spans="1:17" s="130" customFormat="1" x14ac:dyDescent="0.15">
      <c r="A391" s="822"/>
      <c r="B391" s="823"/>
      <c r="C391" s="823"/>
      <c r="D391" s="803"/>
      <c r="E391" s="217" t="s">
        <v>155</v>
      </c>
      <c r="F391" s="217" t="s">
        <v>156</v>
      </c>
      <c r="G391" s="217" t="s">
        <v>157</v>
      </c>
      <c r="H391" s="803"/>
      <c r="I391" s="803"/>
      <c r="J391" s="805"/>
      <c r="K391" s="216" t="s">
        <v>158</v>
      </c>
      <c r="L391" s="127"/>
      <c r="M391" s="128"/>
      <c r="N391" s="128"/>
      <c r="O391" s="128"/>
      <c r="P391" s="128"/>
      <c r="Q391" s="129"/>
    </row>
    <row r="392" spans="1:17" ht="24" customHeight="1" x14ac:dyDescent="0.15">
      <c r="A392" s="148"/>
      <c r="B392" s="788" t="s">
        <v>1049</v>
      </c>
      <c r="C392" s="789"/>
      <c r="D392" s="149"/>
      <c r="E392" s="143">
        <v>0</v>
      </c>
      <c r="F392" s="143">
        <v>0</v>
      </c>
      <c r="G392" s="143">
        <v>0</v>
      </c>
      <c r="H392" s="143">
        <v>25</v>
      </c>
      <c r="I392" s="143">
        <f t="shared" ref="I392:I393" si="72">H392</f>
        <v>25</v>
      </c>
      <c r="J392" s="133" t="s">
        <v>319</v>
      </c>
      <c r="K392" s="143">
        <f t="shared" ref="K392:K393" si="73">I392</f>
        <v>25</v>
      </c>
      <c r="L392" s="127"/>
      <c r="M392" s="128"/>
      <c r="N392" s="128"/>
      <c r="O392" s="128"/>
      <c r="P392" s="128"/>
      <c r="Q392" s="129"/>
    </row>
    <row r="393" spans="1:17" ht="24" customHeight="1" x14ac:dyDescent="0.15">
      <c r="A393" s="148"/>
      <c r="B393" s="788" t="s">
        <v>1050</v>
      </c>
      <c r="C393" s="789"/>
      <c r="D393" s="149"/>
      <c r="E393" s="143">
        <v>0</v>
      </c>
      <c r="F393" s="143">
        <v>0</v>
      </c>
      <c r="G393" s="143">
        <v>0</v>
      </c>
      <c r="H393" s="143">
        <v>15</v>
      </c>
      <c r="I393" s="143">
        <f t="shared" si="72"/>
        <v>15</v>
      </c>
      <c r="J393" s="133" t="s">
        <v>319</v>
      </c>
      <c r="K393" s="143">
        <f t="shared" si="73"/>
        <v>15</v>
      </c>
      <c r="L393" s="127"/>
      <c r="M393" s="128"/>
      <c r="N393" s="128"/>
      <c r="O393" s="128"/>
      <c r="P393" s="128"/>
      <c r="Q393" s="129"/>
    </row>
    <row r="394" spans="1:17" ht="24" customHeight="1" x14ac:dyDescent="0.15">
      <c r="A394" s="148"/>
      <c r="B394" s="788" t="s">
        <v>1051</v>
      </c>
      <c r="C394" s="789"/>
      <c r="D394" s="149"/>
      <c r="E394" s="143">
        <v>0</v>
      </c>
      <c r="F394" s="143">
        <v>0</v>
      </c>
      <c r="G394" s="143">
        <v>0</v>
      </c>
      <c r="H394" s="143">
        <v>23</v>
      </c>
      <c r="I394" s="143">
        <f t="shared" ref="I394" si="74">H394</f>
        <v>23</v>
      </c>
      <c r="J394" s="133" t="s">
        <v>319</v>
      </c>
      <c r="K394" s="143">
        <f t="shared" ref="K394" si="75">I394</f>
        <v>23</v>
      </c>
      <c r="L394" s="127"/>
      <c r="M394" s="128"/>
      <c r="N394" s="128"/>
      <c r="O394" s="128"/>
      <c r="P394" s="128"/>
      <c r="Q394" s="129"/>
    </row>
    <row r="395" spans="1:17" ht="14" x14ac:dyDescent="0.15">
      <c r="A395" s="795" t="s">
        <v>149</v>
      </c>
      <c r="B395" s="817"/>
      <c r="C395" s="817"/>
      <c r="D395" s="817"/>
      <c r="E395" s="817"/>
      <c r="F395" s="817"/>
      <c r="G395" s="817"/>
      <c r="H395" s="817"/>
      <c r="I395" s="817"/>
      <c r="J395" s="796"/>
      <c r="K395" s="416">
        <f>SUM(K392:K394)</f>
        <v>63</v>
      </c>
      <c r="L395" s="134"/>
      <c r="M395" s="135"/>
      <c r="N395" s="135"/>
      <c r="O395" s="135"/>
      <c r="P395" s="135"/>
      <c r="Q395" s="136"/>
    </row>
    <row r="396" spans="1:17" x14ac:dyDescent="0.15">
      <c r="A396" s="790"/>
      <c r="B396" s="791"/>
      <c r="C396" s="791"/>
      <c r="D396" s="791"/>
      <c r="E396" s="791"/>
      <c r="F396" s="791"/>
      <c r="G396" s="791"/>
      <c r="H396" s="791"/>
      <c r="I396" s="791"/>
      <c r="J396" s="791"/>
      <c r="K396" s="791"/>
      <c r="L396" s="791"/>
      <c r="M396" s="791"/>
      <c r="N396" s="791"/>
      <c r="O396" s="791"/>
      <c r="P396" s="791"/>
      <c r="Q396" s="792"/>
    </row>
    <row r="397" spans="1:17" s="121" customFormat="1" ht="18" customHeight="1" x14ac:dyDescent="0.15">
      <c r="A397" s="218" t="s">
        <v>0</v>
      </c>
      <c r="B397" s="845" t="s">
        <v>1052</v>
      </c>
      <c r="C397" s="846"/>
      <c r="D397" s="846"/>
      <c r="E397" s="846"/>
      <c r="F397" s="846"/>
      <c r="G397" s="846"/>
      <c r="H397" s="846"/>
      <c r="I397" s="846"/>
      <c r="J397" s="846"/>
      <c r="K397" s="846"/>
      <c r="L397" s="846"/>
      <c r="M397" s="846"/>
      <c r="N397" s="847"/>
      <c r="O397" s="216" t="s">
        <v>73</v>
      </c>
      <c r="P397" s="795" t="s">
        <v>319</v>
      </c>
      <c r="Q397" s="796"/>
    </row>
    <row r="398" spans="1:17" x14ac:dyDescent="0.15">
      <c r="A398" s="790"/>
      <c r="B398" s="791"/>
      <c r="C398" s="791"/>
      <c r="D398" s="791"/>
      <c r="E398" s="791"/>
      <c r="F398" s="791"/>
      <c r="G398" s="791"/>
      <c r="H398" s="791"/>
      <c r="I398" s="791"/>
      <c r="J398" s="791"/>
      <c r="K398" s="791"/>
      <c r="L398" s="791"/>
      <c r="M398" s="791"/>
      <c r="N398" s="791"/>
      <c r="O398" s="791"/>
      <c r="P398" s="791"/>
      <c r="Q398" s="792"/>
    </row>
    <row r="399" spans="1:17" s="126" customFormat="1" x14ac:dyDescent="0.15">
      <c r="A399" s="822" t="s">
        <v>150</v>
      </c>
      <c r="B399" s="823" t="s">
        <v>151</v>
      </c>
      <c r="C399" s="823"/>
      <c r="D399" s="802"/>
      <c r="E399" s="823" t="s">
        <v>152</v>
      </c>
      <c r="F399" s="823"/>
      <c r="G399" s="823"/>
      <c r="H399" s="802" t="s">
        <v>153</v>
      </c>
      <c r="I399" s="802" t="s">
        <v>479</v>
      </c>
      <c r="J399" s="804" t="s">
        <v>73</v>
      </c>
      <c r="K399" s="216" t="s">
        <v>154</v>
      </c>
      <c r="L399" s="123"/>
      <c r="M399" s="124"/>
      <c r="N399" s="124"/>
      <c r="O399" s="124"/>
      <c r="P399" s="124"/>
      <c r="Q399" s="125"/>
    </row>
    <row r="400" spans="1:17" s="130" customFormat="1" x14ac:dyDescent="0.15">
      <c r="A400" s="822"/>
      <c r="B400" s="823"/>
      <c r="C400" s="823"/>
      <c r="D400" s="803"/>
      <c r="E400" s="217" t="s">
        <v>155</v>
      </c>
      <c r="F400" s="217" t="s">
        <v>156</v>
      </c>
      <c r="G400" s="217" t="s">
        <v>157</v>
      </c>
      <c r="H400" s="803"/>
      <c r="I400" s="803"/>
      <c r="J400" s="805"/>
      <c r="K400" s="216" t="s">
        <v>158</v>
      </c>
      <c r="L400" s="127"/>
      <c r="M400" s="128"/>
      <c r="N400" s="128"/>
      <c r="O400" s="128"/>
      <c r="P400" s="128"/>
      <c r="Q400" s="129"/>
    </row>
    <row r="401" spans="1:17" ht="28.5" customHeight="1" x14ac:dyDescent="0.15">
      <c r="A401" s="148"/>
      <c r="B401" s="788" t="s">
        <v>1049</v>
      </c>
      <c r="C401" s="789"/>
      <c r="D401" s="149"/>
      <c r="E401" s="143">
        <v>0</v>
      </c>
      <c r="F401" s="143">
        <v>0</v>
      </c>
      <c r="G401" s="143">
        <v>0</v>
      </c>
      <c r="H401" s="143">
        <v>25</v>
      </c>
      <c r="I401" s="143">
        <f t="shared" ref="I401" si="76">H401</f>
        <v>25</v>
      </c>
      <c r="J401" s="133" t="s">
        <v>319</v>
      </c>
      <c r="K401" s="143">
        <f t="shared" ref="K401" si="77">I401</f>
        <v>25</v>
      </c>
      <c r="L401" s="127"/>
      <c r="M401" s="128"/>
      <c r="N401" s="128"/>
      <c r="O401" s="128"/>
      <c r="P401" s="128"/>
      <c r="Q401" s="129"/>
    </row>
    <row r="402" spans="1:17" ht="14" x14ac:dyDescent="0.15">
      <c r="A402" s="795" t="s">
        <v>149</v>
      </c>
      <c r="B402" s="817"/>
      <c r="C402" s="817"/>
      <c r="D402" s="817"/>
      <c r="E402" s="817"/>
      <c r="F402" s="817"/>
      <c r="G402" s="817"/>
      <c r="H402" s="817"/>
      <c r="I402" s="817"/>
      <c r="J402" s="796"/>
      <c r="K402" s="416">
        <f>SUM(K401:K401)</f>
        <v>25</v>
      </c>
      <c r="L402" s="134"/>
      <c r="M402" s="135"/>
      <c r="N402" s="135"/>
      <c r="O402" s="135"/>
      <c r="P402" s="135"/>
      <c r="Q402" s="136"/>
    </row>
    <row r="403" spans="1:17" x14ac:dyDescent="0.15">
      <c r="A403" s="790"/>
      <c r="B403" s="791"/>
      <c r="C403" s="791"/>
      <c r="D403" s="791"/>
      <c r="E403" s="791"/>
      <c r="F403" s="791"/>
      <c r="G403" s="791"/>
      <c r="H403" s="791"/>
      <c r="I403" s="791"/>
      <c r="J403" s="791"/>
      <c r="K403" s="791"/>
      <c r="L403" s="791"/>
      <c r="M403" s="791"/>
      <c r="N403" s="791"/>
      <c r="O403" s="791"/>
      <c r="P403" s="791"/>
      <c r="Q403" s="792"/>
    </row>
    <row r="404" spans="1:17" s="121" customFormat="1" ht="18" customHeight="1" x14ac:dyDescent="0.15">
      <c r="A404" s="218" t="s">
        <v>0</v>
      </c>
      <c r="B404" s="845" t="s">
        <v>1053</v>
      </c>
      <c r="C404" s="846"/>
      <c r="D404" s="846"/>
      <c r="E404" s="846"/>
      <c r="F404" s="846"/>
      <c r="G404" s="846"/>
      <c r="H404" s="846"/>
      <c r="I404" s="846"/>
      <c r="J404" s="846"/>
      <c r="K404" s="846"/>
      <c r="L404" s="846"/>
      <c r="M404" s="846"/>
      <c r="N404" s="847"/>
      <c r="O404" s="216" t="s">
        <v>73</v>
      </c>
      <c r="P404" s="795" t="s">
        <v>319</v>
      </c>
      <c r="Q404" s="796"/>
    </row>
    <row r="405" spans="1:17" x14ac:dyDescent="0.15">
      <c r="A405" s="790"/>
      <c r="B405" s="791"/>
      <c r="C405" s="791"/>
      <c r="D405" s="791"/>
      <c r="E405" s="791"/>
      <c r="F405" s="791"/>
      <c r="G405" s="791"/>
      <c r="H405" s="791"/>
      <c r="I405" s="791"/>
      <c r="J405" s="791"/>
      <c r="K405" s="791"/>
      <c r="L405" s="791"/>
      <c r="M405" s="791"/>
      <c r="N405" s="791"/>
      <c r="O405" s="791"/>
      <c r="P405" s="791"/>
      <c r="Q405" s="792"/>
    </row>
    <row r="406" spans="1:17" s="126" customFormat="1" x14ac:dyDescent="0.15">
      <c r="A406" s="822" t="s">
        <v>150</v>
      </c>
      <c r="B406" s="823" t="s">
        <v>151</v>
      </c>
      <c r="C406" s="823"/>
      <c r="D406" s="802"/>
      <c r="E406" s="823" t="s">
        <v>152</v>
      </c>
      <c r="F406" s="823"/>
      <c r="G406" s="823"/>
      <c r="H406" s="802" t="s">
        <v>153</v>
      </c>
      <c r="I406" s="802" t="s">
        <v>479</v>
      </c>
      <c r="J406" s="804" t="s">
        <v>73</v>
      </c>
      <c r="K406" s="216" t="s">
        <v>154</v>
      </c>
      <c r="L406" s="123"/>
      <c r="M406" s="124"/>
      <c r="N406" s="124"/>
      <c r="O406" s="124"/>
      <c r="P406" s="124"/>
      <c r="Q406" s="125"/>
    </row>
    <row r="407" spans="1:17" s="130" customFormat="1" x14ac:dyDescent="0.15">
      <c r="A407" s="822"/>
      <c r="B407" s="823"/>
      <c r="C407" s="823"/>
      <c r="D407" s="803"/>
      <c r="E407" s="217" t="s">
        <v>155</v>
      </c>
      <c r="F407" s="217" t="s">
        <v>156</v>
      </c>
      <c r="G407" s="217" t="s">
        <v>157</v>
      </c>
      <c r="H407" s="803"/>
      <c r="I407" s="803"/>
      <c r="J407" s="805"/>
      <c r="K407" s="216" t="s">
        <v>158</v>
      </c>
      <c r="L407" s="127"/>
      <c r="M407" s="128"/>
      <c r="N407" s="128"/>
      <c r="O407" s="128"/>
      <c r="P407" s="128"/>
      <c r="Q407" s="129"/>
    </row>
    <row r="408" spans="1:17" ht="24" customHeight="1" x14ac:dyDescent="0.15">
      <c r="A408" s="148"/>
      <c r="B408" s="788" t="s">
        <v>943</v>
      </c>
      <c r="C408" s="789"/>
      <c r="D408" s="149"/>
      <c r="E408" s="143">
        <v>0</v>
      </c>
      <c r="F408" s="143">
        <v>0</v>
      </c>
      <c r="G408" s="143">
        <v>0</v>
      </c>
      <c r="H408" s="143">
        <v>15</v>
      </c>
      <c r="I408" s="143">
        <f>H408</f>
        <v>15</v>
      </c>
      <c r="J408" s="133" t="s">
        <v>319</v>
      </c>
      <c r="K408" s="143">
        <f>I408</f>
        <v>15</v>
      </c>
      <c r="L408" s="127"/>
      <c r="M408" s="128"/>
      <c r="N408" s="128"/>
      <c r="O408" s="128"/>
      <c r="P408" s="128"/>
      <c r="Q408" s="129"/>
    </row>
    <row r="409" spans="1:17" ht="14" x14ac:dyDescent="0.15">
      <c r="A409" s="795" t="s">
        <v>149</v>
      </c>
      <c r="B409" s="817"/>
      <c r="C409" s="817"/>
      <c r="D409" s="817"/>
      <c r="E409" s="817"/>
      <c r="F409" s="817"/>
      <c r="G409" s="817"/>
      <c r="H409" s="817"/>
      <c r="I409" s="817"/>
      <c r="J409" s="796"/>
      <c r="K409" s="416">
        <f>SUM(K408:K408)</f>
        <v>15</v>
      </c>
      <c r="L409" s="134"/>
      <c r="M409" s="135"/>
      <c r="N409" s="135"/>
      <c r="O409" s="135"/>
      <c r="P409" s="135"/>
      <c r="Q409" s="136"/>
    </row>
    <row r="410" spans="1:17" x14ac:dyDescent="0.15">
      <c r="A410" s="790"/>
      <c r="B410" s="791"/>
      <c r="C410" s="791"/>
      <c r="D410" s="791"/>
      <c r="E410" s="791"/>
      <c r="F410" s="791"/>
      <c r="G410" s="791"/>
      <c r="H410" s="791"/>
      <c r="I410" s="791"/>
      <c r="J410" s="791"/>
      <c r="K410" s="791"/>
      <c r="L410" s="791"/>
      <c r="M410" s="791"/>
      <c r="N410" s="791"/>
      <c r="O410" s="791"/>
      <c r="P410" s="791"/>
      <c r="Q410" s="792"/>
    </row>
    <row r="411" spans="1:17" s="121" customFormat="1" ht="18" customHeight="1" x14ac:dyDescent="0.15">
      <c r="A411" s="218" t="s">
        <v>0</v>
      </c>
      <c r="B411" s="845" t="s">
        <v>1054</v>
      </c>
      <c r="C411" s="846"/>
      <c r="D411" s="846"/>
      <c r="E411" s="846"/>
      <c r="F411" s="846"/>
      <c r="G411" s="846"/>
      <c r="H411" s="846"/>
      <c r="I411" s="846"/>
      <c r="J411" s="846"/>
      <c r="K411" s="846"/>
      <c r="L411" s="846"/>
      <c r="M411" s="846"/>
      <c r="N411" s="847"/>
      <c r="O411" s="216" t="s">
        <v>73</v>
      </c>
      <c r="P411" s="795" t="s">
        <v>319</v>
      </c>
      <c r="Q411" s="796"/>
    </row>
    <row r="412" spans="1:17" x14ac:dyDescent="0.15">
      <c r="A412" s="790"/>
      <c r="B412" s="791"/>
      <c r="C412" s="791"/>
      <c r="D412" s="791"/>
      <c r="E412" s="791"/>
      <c r="F412" s="791"/>
      <c r="G412" s="791"/>
      <c r="H412" s="791"/>
      <c r="I412" s="791"/>
      <c r="J412" s="791"/>
      <c r="K412" s="791"/>
      <c r="L412" s="791"/>
      <c r="M412" s="791"/>
      <c r="N412" s="791"/>
      <c r="O412" s="791"/>
      <c r="P412" s="791"/>
      <c r="Q412" s="792"/>
    </row>
    <row r="413" spans="1:17" s="126" customFormat="1" x14ac:dyDescent="0.15">
      <c r="A413" s="822" t="s">
        <v>150</v>
      </c>
      <c r="B413" s="823" t="s">
        <v>151</v>
      </c>
      <c r="C413" s="823"/>
      <c r="D413" s="802"/>
      <c r="E413" s="823" t="s">
        <v>152</v>
      </c>
      <c r="F413" s="823"/>
      <c r="G413" s="823"/>
      <c r="H413" s="802" t="s">
        <v>153</v>
      </c>
      <c r="I413" s="802" t="s">
        <v>479</v>
      </c>
      <c r="J413" s="804" t="s">
        <v>73</v>
      </c>
      <c r="K413" s="216" t="s">
        <v>154</v>
      </c>
      <c r="L413" s="123"/>
      <c r="M413" s="124"/>
      <c r="N413" s="124"/>
      <c r="O413" s="124"/>
      <c r="P413" s="124"/>
      <c r="Q413" s="125"/>
    </row>
    <row r="414" spans="1:17" s="130" customFormat="1" x14ac:dyDescent="0.15">
      <c r="A414" s="822"/>
      <c r="B414" s="823"/>
      <c r="C414" s="823"/>
      <c r="D414" s="803"/>
      <c r="E414" s="217" t="s">
        <v>155</v>
      </c>
      <c r="F414" s="217" t="s">
        <v>156</v>
      </c>
      <c r="G414" s="217" t="s">
        <v>157</v>
      </c>
      <c r="H414" s="803"/>
      <c r="I414" s="803"/>
      <c r="J414" s="805"/>
      <c r="K414" s="216" t="s">
        <v>158</v>
      </c>
      <c r="L414" s="127"/>
      <c r="M414" s="128"/>
      <c r="N414" s="128"/>
      <c r="O414" s="128"/>
      <c r="P414" s="128"/>
      <c r="Q414" s="129"/>
    </row>
    <row r="415" spans="1:17" ht="30" customHeight="1" x14ac:dyDescent="0.15">
      <c r="A415" s="148"/>
      <c r="B415" s="788" t="s">
        <v>1051</v>
      </c>
      <c r="C415" s="789"/>
      <c r="D415" s="149"/>
      <c r="E415" s="143">
        <v>0</v>
      </c>
      <c r="F415" s="143">
        <v>0</v>
      </c>
      <c r="G415" s="143">
        <v>0</v>
      </c>
      <c r="H415" s="143">
        <v>23</v>
      </c>
      <c r="I415" s="143">
        <f t="shared" ref="I415" si="78">H415</f>
        <v>23</v>
      </c>
      <c r="J415" s="133" t="s">
        <v>319</v>
      </c>
      <c r="K415" s="143">
        <f t="shared" ref="K415" si="79">I415</f>
        <v>23</v>
      </c>
      <c r="L415" s="127"/>
      <c r="M415" s="128"/>
      <c r="N415" s="128"/>
      <c r="O415" s="128"/>
      <c r="P415" s="128"/>
      <c r="Q415" s="129"/>
    </row>
    <row r="416" spans="1:17" ht="14" x14ac:dyDescent="0.15">
      <c r="A416" s="795" t="s">
        <v>149</v>
      </c>
      <c r="B416" s="817"/>
      <c r="C416" s="817"/>
      <c r="D416" s="817"/>
      <c r="E416" s="817"/>
      <c r="F416" s="817"/>
      <c r="G416" s="817"/>
      <c r="H416" s="817"/>
      <c r="I416" s="817"/>
      <c r="J416" s="796"/>
      <c r="K416" s="416">
        <f>SUM(K415:K415)</f>
        <v>23</v>
      </c>
      <c r="L416" s="134"/>
      <c r="M416" s="135"/>
      <c r="N416" s="135"/>
      <c r="O416" s="135"/>
      <c r="P416" s="135"/>
      <c r="Q416" s="136"/>
    </row>
    <row r="417" spans="1:17" x14ac:dyDescent="0.15">
      <c r="A417" s="790"/>
      <c r="B417" s="791"/>
      <c r="C417" s="791"/>
      <c r="D417" s="791"/>
      <c r="E417" s="791"/>
      <c r="F417" s="791"/>
      <c r="G417" s="791"/>
      <c r="H417" s="791"/>
      <c r="I417" s="791"/>
      <c r="J417" s="791"/>
      <c r="K417" s="791"/>
      <c r="L417" s="791"/>
      <c r="M417" s="791"/>
      <c r="N417" s="791"/>
      <c r="O417" s="791"/>
      <c r="P417" s="791"/>
      <c r="Q417" s="792"/>
    </row>
    <row r="418" spans="1:17" s="121" customFormat="1" ht="18" customHeight="1" x14ac:dyDescent="0.15">
      <c r="A418" s="218" t="s">
        <v>0</v>
      </c>
      <c r="B418" s="845" t="s">
        <v>1055</v>
      </c>
      <c r="C418" s="846"/>
      <c r="D418" s="846"/>
      <c r="E418" s="846"/>
      <c r="F418" s="846"/>
      <c r="G418" s="846"/>
      <c r="H418" s="846"/>
      <c r="I418" s="846"/>
      <c r="J418" s="846"/>
      <c r="K418" s="846"/>
      <c r="L418" s="846"/>
      <c r="M418" s="846"/>
      <c r="N418" s="847"/>
      <c r="O418" s="216" t="s">
        <v>73</v>
      </c>
      <c r="P418" s="795" t="s">
        <v>319</v>
      </c>
      <c r="Q418" s="796"/>
    </row>
    <row r="419" spans="1:17" x14ac:dyDescent="0.15">
      <c r="A419" s="790"/>
      <c r="B419" s="791"/>
      <c r="C419" s="791"/>
      <c r="D419" s="791"/>
      <c r="E419" s="791"/>
      <c r="F419" s="791"/>
      <c r="G419" s="791"/>
      <c r="H419" s="791"/>
      <c r="I419" s="791"/>
      <c r="J419" s="791"/>
      <c r="K419" s="791"/>
      <c r="L419" s="791"/>
      <c r="M419" s="791"/>
      <c r="N419" s="791"/>
      <c r="O419" s="791"/>
      <c r="P419" s="791"/>
      <c r="Q419" s="792"/>
    </row>
    <row r="420" spans="1:17" s="126" customFormat="1" x14ac:dyDescent="0.15">
      <c r="A420" s="822" t="s">
        <v>150</v>
      </c>
      <c r="B420" s="823" t="s">
        <v>151</v>
      </c>
      <c r="C420" s="823"/>
      <c r="D420" s="802"/>
      <c r="E420" s="823" t="s">
        <v>152</v>
      </c>
      <c r="F420" s="823"/>
      <c r="G420" s="823"/>
      <c r="H420" s="802" t="s">
        <v>153</v>
      </c>
      <c r="I420" s="802" t="s">
        <v>479</v>
      </c>
      <c r="J420" s="804" t="s">
        <v>73</v>
      </c>
      <c r="K420" s="216" t="s">
        <v>154</v>
      </c>
      <c r="L420" s="123"/>
      <c r="M420" s="124"/>
      <c r="N420" s="124"/>
      <c r="O420" s="124"/>
      <c r="P420" s="124"/>
      <c r="Q420" s="125"/>
    </row>
    <row r="421" spans="1:17" s="130" customFormat="1" x14ac:dyDescent="0.15">
      <c r="A421" s="822"/>
      <c r="B421" s="823"/>
      <c r="C421" s="823"/>
      <c r="D421" s="803"/>
      <c r="E421" s="217" t="s">
        <v>155</v>
      </c>
      <c r="F421" s="217" t="s">
        <v>156</v>
      </c>
      <c r="G421" s="217" t="s">
        <v>157</v>
      </c>
      <c r="H421" s="803"/>
      <c r="I421" s="803"/>
      <c r="J421" s="805"/>
      <c r="K421" s="216" t="s">
        <v>158</v>
      </c>
      <c r="L421" s="127"/>
      <c r="M421" s="128"/>
      <c r="N421" s="128"/>
      <c r="O421" s="128"/>
      <c r="P421" s="128"/>
      <c r="Q421" s="129"/>
    </row>
    <row r="422" spans="1:17" ht="30" customHeight="1" x14ac:dyDescent="0.15">
      <c r="A422" s="148"/>
      <c r="B422" s="788" t="s">
        <v>947</v>
      </c>
      <c r="C422" s="789"/>
      <c r="D422" s="149"/>
      <c r="E422" s="143">
        <v>0</v>
      </c>
      <c r="F422" s="143">
        <v>0</v>
      </c>
      <c r="G422" s="143">
        <v>0</v>
      </c>
      <c r="H422" s="143">
        <v>12</v>
      </c>
      <c r="I422" s="143">
        <f t="shared" ref="I422" si="80">H422</f>
        <v>12</v>
      </c>
      <c r="J422" s="133" t="s">
        <v>319</v>
      </c>
      <c r="K422" s="143">
        <f t="shared" ref="K422" si="81">I422</f>
        <v>12</v>
      </c>
      <c r="L422" s="127"/>
      <c r="M422" s="128"/>
      <c r="N422" s="128"/>
      <c r="O422" s="128"/>
      <c r="P422" s="128"/>
      <c r="Q422" s="129"/>
    </row>
    <row r="423" spans="1:17" ht="14" x14ac:dyDescent="0.15">
      <c r="A423" s="795" t="s">
        <v>149</v>
      </c>
      <c r="B423" s="817"/>
      <c r="C423" s="817"/>
      <c r="D423" s="817"/>
      <c r="E423" s="817"/>
      <c r="F423" s="817"/>
      <c r="G423" s="817"/>
      <c r="H423" s="817"/>
      <c r="I423" s="817"/>
      <c r="J423" s="796"/>
      <c r="K423" s="416">
        <f>SUM(K422:K422)</f>
        <v>12</v>
      </c>
      <c r="L423" s="134"/>
      <c r="M423" s="135"/>
      <c r="N423" s="135"/>
      <c r="O423" s="135"/>
      <c r="P423" s="135"/>
      <c r="Q423" s="136"/>
    </row>
    <row r="424" spans="1:17" x14ac:dyDescent="0.15">
      <c r="A424" s="790"/>
      <c r="B424" s="791"/>
      <c r="C424" s="791"/>
      <c r="D424" s="791"/>
      <c r="E424" s="791"/>
      <c r="F424" s="791"/>
      <c r="G424" s="791"/>
      <c r="H424" s="791"/>
      <c r="I424" s="791"/>
      <c r="J424" s="791"/>
      <c r="K424" s="791"/>
      <c r="L424" s="791"/>
      <c r="M424" s="791"/>
      <c r="N424" s="791"/>
      <c r="O424" s="791"/>
      <c r="P424" s="791"/>
      <c r="Q424" s="792"/>
    </row>
    <row r="425" spans="1:17" s="121" customFormat="1" ht="19.5" customHeight="1" x14ac:dyDescent="0.15">
      <c r="A425" s="218" t="s">
        <v>0</v>
      </c>
      <c r="B425" s="793" t="s">
        <v>1056</v>
      </c>
      <c r="C425" s="794"/>
      <c r="D425" s="794"/>
      <c r="E425" s="794"/>
      <c r="F425" s="794"/>
      <c r="G425" s="794"/>
      <c r="H425" s="794"/>
      <c r="I425" s="794"/>
      <c r="J425" s="794"/>
      <c r="K425" s="794"/>
      <c r="L425" s="794"/>
      <c r="M425" s="794"/>
      <c r="N425" s="821"/>
      <c r="O425" s="216" t="s">
        <v>73</v>
      </c>
      <c r="P425" s="795" t="s">
        <v>193</v>
      </c>
      <c r="Q425" s="796"/>
    </row>
    <row r="426" spans="1:17" x14ac:dyDescent="0.15">
      <c r="A426" s="790"/>
      <c r="B426" s="791"/>
      <c r="C426" s="791"/>
      <c r="D426" s="791"/>
      <c r="E426" s="791"/>
      <c r="F426" s="791"/>
      <c r="G426" s="791"/>
      <c r="H426" s="791"/>
      <c r="I426" s="791"/>
      <c r="J426" s="791"/>
      <c r="K426" s="791"/>
      <c r="L426" s="791"/>
      <c r="M426" s="791"/>
      <c r="N426" s="791"/>
      <c r="O426" s="791"/>
      <c r="P426" s="791"/>
      <c r="Q426" s="792"/>
    </row>
    <row r="427" spans="1:17" s="126" customFormat="1" ht="12.75" customHeight="1" x14ac:dyDescent="0.15">
      <c r="A427" s="822" t="s">
        <v>150</v>
      </c>
      <c r="B427" s="823" t="s">
        <v>151</v>
      </c>
      <c r="C427" s="823"/>
      <c r="D427" s="825" t="s">
        <v>152</v>
      </c>
      <c r="E427" s="826"/>
      <c r="F427" s="826"/>
      <c r="G427" s="834"/>
      <c r="H427" s="802" t="s">
        <v>153</v>
      </c>
      <c r="I427" s="802" t="s">
        <v>242</v>
      </c>
      <c r="J427" s="804" t="s">
        <v>73</v>
      </c>
      <c r="K427" s="216" t="s">
        <v>154</v>
      </c>
      <c r="L427" s="123"/>
      <c r="M427" s="124"/>
      <c r="N427" s="124"/>
      <c r="O427" s="124"/>
      <c r="P427" s="124"/>
      <c r="Q427" s="125"/>
    </row>
    <row r="428" spans="1:17" s="130" customFormat="1" x14ac:dyDescent="0.15">
      <c r="A428" s="822"/>
      <c r="B428" s="823"/>
      <c r="C428" s="823"/>
      <c r="D428" s="220"/>
      <c r="E428" s="217" t="s">
        <v>155</v>
      </c>
      <c r="F428" s="217" t="s">
        <v>156</v>
      </c>
      <c r="G428" s="217" t="s">
        <v>269</v>
      </c>
      <c r="H428" s="803"/>
      <c r="I428" s="803"/>
      <c r="J428" s="805"/>
      <c r="K428" s="216" t="s">
        <v>158</v>
      </c>
      <c r="L428" s="127"/>
      <c r="M428" s="128"/>
      <c r="N428" s="128"/>
      <c r="O428" s="128"/>
      <c r="P428" s="128"/>
      <c r="Q428" s="129"/>
    </row>
    <row r="429" spans="1:17" ht="21" customHeight="1" x14ac:dyDescent="0.15">
      <c r="A429" s="148"/>
      <c r="B429" s="815" t="s">
        <v>974</v>
      </c>
      <c r="C429" s="816"/>
      <c r="D429" s="219">
        <v>0</v>
      </c>
      <c r="E429" s="132">
        <v>28.66666</v>
      </c>
      <c r="F429" s="144">
        <v>0</v>
      </c>
      <c r="G429" s="144">
        <v>0</v>
      </c>
      <c r="H429" s="132">
        <v>6</v>
      </c>
      <c r="I429" s="143">
        <f>E429</f>
        <v>28.66666</v>
      </c>
      <c r="J429" s="133" t="s">
        <v>193</v>
      </c>
      <c r="K429" s="143">
        <f>I429*H429</f>
        <v>171.99995999999999</v>
      </c>
      <c r="L429" s="127"/>
      <c r="M429" s="128"/>
      <c r="N429" s="128"/>
      <c r="O429" s="128"/>
      <c r="P429" s="128"/>
      <c r="Q429" s="129"/>
    </row>
    <row r="430" spans="1:17" ht="14" x14ac:dyDescent="0.15">
      <c r="A430" s="795" t="s">
        <v>149</v>
      </c>
      <c r="B430" s="817"/>
      <c r="C430" s="817"/>
      <c r="D430" s="817"/>
      <c r="E430" s="817"/>
      <c r="F430" s="817"/>
      <c r="G430" s="817"/>
      <c r="H430" s="817"/>
      <c r="I430" s="817"/>
      <c r="J430" s="796"/>
      <c r="K430" s="416">
        <f>SUM(K429:K429)</f>
        <v>171.99995999999999</v>
      </c>
      <c r="L430" s="134"/>
      <c r="M430" s="135"/>
      <c r="N430" s="135"/>
      <c r="O430" s="135"/>
      <c r="P430" s="135"/>
      <c r="Q430" s="136"/>
    </row>
    <row r="431" spans="1:17" x14ac:dyDescent="0.15">
      <c r="A431" s="790"/>
      <c r="B431" s="791"/>
      <c r="C431" s="791"/>
      <c r="D431" s="791"/>
      <c r="E431" s="791"/>
      <c r="F431" s="791"/>
      <c r="G431" s="791"/>
      <c r="H431" s="791"/>
      <c r="I431" s="791"/>
      <c r="J431" s="791"/>
      <c r="K431" s="791"/>
      <c r="L431" s="791"/>
      <c r="M431" s="791"/>
      <c r="N431" s="791"/>
      <c r="O431" s="791"/>
      <c r="P431" s="791"/>
      <c r="Q431" s="792"/>
    </row>
    <row r="432" spans="1:17" s="121" customFormat="1" ht="19.5" customHeight="1" x14ac:dyDescent="0.15">
      <c r="A432" s="218" t="s">
        <v>0</v>
      </c>
      <c r="B432" s="793" t="s">
        <v>1057</v>
      </c>
      <c r="C432" s="794"/>
      <c r="D432" s="794"/>
      <c r="E432" s="794"/>
      <c r="F432" s="794"/>
      <c r="G432" s="794"/>
      <c r="H432" s="794"/>
      <c r="I432" s="794"/>
      <c r="J432" s="794"/>
      <c r="K432" s="794"/>
      <c r="L432" s="794"/>
      <c r="M432" s="794"/>
      <c r="N432" s="821"/>
      <c r="O432" s="216" t="s">
        <v>73</v>
      </c>
      <c r="P432" s="795" t="s">
        <v>193</v>
      </c>
      <c r="Q432" s="796"/>
    </row>
    <row r="433" spans="1:17" x14ac:dyDescent="0.15">
      <c r="A433" s="790"/>
      <c r="B433" s="791"/>
      <c r="C433" s="791"/>
      <c r="D433" s="791"/>
      <c r="E433" s="791"/>
      <c r="F433" s="791"/>
      <c r="G433" s="791"/>
      <c r="H433" s="791"/>
      <c r="I433" s="791"/>
      <c r="J433" s="791"/>
      <c r="K433" s="791"/>
      <c r="L433" s="791"/>
      <c r="M433" s="791"/>
      <c r="N433" s="791"/>
      <c r="O433" s="791"/>
      <c r="P433" s="791"/>
      <c r="Q433" s="792"/>
    </row>
    <row r="434" spans="1:17" s="126" customFormat="1" ht="12.75" customHeight="1" x14ac:dyDescent="0.15">
      <c r="A434" s="822" t="s">
        <v>150</v>
      </c>
      <c r="B434" s="823" t="s">
        <v>151</v>
      </c>
      <c r="C434" s="823"/>
      <c r="D434" s="825" t="s">
        <v>152</v>
      </c>
      <c r="E434" s="826"/>
      <c r="F434" s="826"/>
      <c r="G434" s="834"/>
      <c r="H434" s="802" t="s">
        <v>153</v>
      </c>
      <c r="I434" s="802" t="s">
        <v>242</v>
      </c>
      <c r="J434" s="804" t="s">
        <v>73</v>
      </c>
      <c r="K434" s="216" t="s">
        <v>154</v>
      </c>
      <c r="L434" s="123"/>
      <c r="M434" s="124"/>
      <c r="N434" s="124"/>
      <c r="O434" s="124"/>
      <c r="P434" s="124"/>
      <c r="Q434" s="125"/>
    </row>
    <row r="435" spans="1:17" s="130" customFormat="1" x14ac:dyDescent="0.15">
      <c r="A435" s="822"/>
      <c r="B435" s="823"/>
      <c r="C435" s="823"/>
      <c r="D435" s="220"/>
      <c r="E435" s="217" t="s">
        <v>155</v>
      </c>
      <c r="F435" s="217" t="s">
        <v>156</v>
      </c>
      <c r="G435" s="217" t="s">
        <v>269</v>
      </c>
      <c r="H435" s="803"/>
      <c r="I435" s="803"/>
      <c r="J435" s="805"/>
      <c r="K435" s="216" t="s">
        <v>158</v>
      </c>
      <c r="L435" s="127"/>
      <c r="M435" s="128"/>
      <c r="N435" s="128"/>
      <c r="O435" s="128"/>
      <c r="P435" s="128"/>
      <c r="Q435" s="129"/>
    </row>
    <row r="436" spans="1:17" ht="21" customHeight="1" x14ac:dyDescent="0.15">
      <c r="A436" s="148"/>
      <c r="B436" s="815" t="s">
        <v>974</v>
      </c>
      <c r="C436" s="816"/>
      <c r="D436" s="219">
        <v>0</v>
      </c>
      <c r="E436" s="132">
        <v>28.66666</v>
      </c>
      <c r="F436" s="144">
        <v>0</v>
      </c>
      <c r="G436" s="144">
        <v>0</v>
      </c>
      <c r="H436" s="132">
        <v>6</v>
      </c>
      <c r="I436" s="143">
        <f>E436</f>
        <v>28.66666</v>
      </c>
      <c r="J436" s="133" t="s">
        <v>193</v>
      </c>
      <c r="K436" s="143">
        <f>I436*H436</f>
        <v>171.99995999999999</v>
      </c>
      <c r="L436" s="127"/>
      <c r="M436" s="128"/>
      <c r="N436" s="128"/>
      <c r="O436" s="128"/>
      <c r="P436" s="128"/>
      <c r="Q436" s="129"/>
    </row>
    <row r="437" spans="1:17" ht="14" x14ac:dyDescent="0.15">
      <c r="A437" s="795" t="s">
        <v>149</v>
      </c>
      <c r="B437" s="817"/>
      <c r="C437" s="817"/>
      <c r="D437" s="817"/>
      <c r="E437" s="817"/>
      <c r="F437" s="817"/>
      <c r="G437" s="817"/>
      <c r="H437" s="817"/>
      <c r="I437" s="817"/>
      <c r="J437" s="796"/>
      <c r="K437" s="416">
        <f>SUM(K436:K436)</f>
        <v>171.99995999999999</v>
      </c>
      <c r="L437" s="134"/>
      <c r="M437" s="135"/>
      <c r="N437" s="135"/>
      <c r="O437" s="135"/>
      <c r="P437" s="135"/>
      <c r="Q437" s="136"/>
    </row>
    <row r="438" spans="1:17" x14ac:dyDescent="0.15">
      <c r="A438" s="790"/>
      <c r="B438" s="791"/>
      <c r="C438" s="791"/>
      <c r="D438" s="791"/>
      <c r="E438" s="791"/>
      <c r="F438" s="791"/>
      <c r="G438" s="791"/>
      <c r="H438" s="791"/>
      <c r="I438" s="791"/>
      <c r="J438" s="791"/>
      <c r="K438" s="791"/>
      <c r="L438" s="791"/>
      <c r="M438" s="791"/>
      <c r="N438" s="791"/>
      <c r="O438" s="791"/>
      <c r="P438" s="791"/>
      <c r="Q438" s="792"/>
    </row>
    <row r="439" spans="1:17" s="121" customFormat="1" ht="18" customHeight="1" x14ac:dyDescent="0.15">
      <c r="A439" s="218" t="s">
        <v>0</v>
      </c>
      <c r="B439" s="793" t="s">
        <v>1058</v>
      </c>
      <c r="C439" s="794"/>
      <c r="D439" s="794"/>
      <c r="E439" s="794"/>
      <c r="F439" s="794"/>
      <c r="G439" s="794"/>
      <c r="H439" s="794"/>
      <c r="I439" s="794"/>
      <c r="J439" s="794"/>
      <c r="K439" s="794"/>
      <c r="L439" s="794"/>
      <c r="M439" s="794"/>
      <c r="N439" s="821"/>
      <c r="O439" s="216" t="s">
        <v>73</v>
      </c>
      <c r="P439" s="795" t="s">
        <v>5</v>
      </c>
      <c r="Q439" s="796"/>
    </row>
    <row r="440" spans="1:17" x14ac:dyDescent="0.15">
      <c r="A440" s="790"/>
      <c r="B440" s="791"/>
      <c r="C440" s="791"/>
      <c r="D440" s="791"/>
      <c r="E440" s="791"/>
      <c r="F440" s="791"/>
      <c r="G440" s="791"/>
      <c r="H440" s="791"/>
      <c r="I440" s="791"/>
      <c r="J440" s="791"/>
      <c r="K440" s="791"/>
      <c r="L440" s="791"/>
      <c r="M440" s="791"/>
      <c r="N440" s="791"/>
      <c r="O440" s="791"/>
      <c r="P440" s="791"/>
      <c r="Q440" s="122"/>
    </row>
    <row r="441" spans="1:17" s="126" customFormat="1" ht="12.75" customHeight="1" x14ac:dyDescent="0.15">
      <c r="A441" s="822" t="s">
        <v>150</v>
      </c>
      <c r="B441" s="823" t="s">
        <v>151</v>
      </c>
      <c r="C441" s="823"/>
      <c r="D441" s="802"/>
      <c r="E441" s="823" t="s">
        <v>152</v>
      </c>
      <c r="F441" s="823"/>
      <c r="G441" s="823"/>
      <c r="H441" s="802" t="s">
        <v>153</v>
      </c>
      <c r="I441" s="802" t="s">
        <v>159</v>
      </c>
      <c r="J441" s="804" t="s">
        <v>73</v>
      </c>
      <c r="K441" s="216" t="s">
        <v>154</v>
      </c>
      <c r="L441" s="123"/>
      <c r="M441" s="124"/>
      <c r="N441" s="124"/>
      <c r="O441" s="124"/>
      <c r="P441" s="124"/>
      <c r="Q441" s="125"/>
    </row>
    <row r="442" spans="1:17" s="130" customFormat="1" ht="14" x14ac:dyDescent="0.15">
      <c r="A442" s="822"/>
      <c r="B442" s="823"/>
      <c r="C442" s="823"/>
      <c r="D442" s="803"/>
      <c r="E442" s="217" t="s">
        <v>155</v>
      </c>
      <c r="F442" s="220" t="s">
        <v>572</v>
      </c>
      <c r="G442" s="217" t="s">
        <v>157</v>
      </c>
      <c r="H442" s="803"/>
      <c r="I442" s="803"/>
      <c r="J442" s="805"/>
      <c r="K442" s="216" t="s">
        <v>158</v>
      </c>
      <c r="L442" s="127"/>
      <c r="M442" s="128"/>
      <c r="N442" s="128"/>
      <c r="O442" s="128"/>
      <c r="P442" s="128"/>
      <c r="Q442" s="129"/>
    </row>
    <row r="443" spans="1:17" ht="18" customHeight="1" x14ac:dyDescent="0.15">
      <c r="A443" s="148"/>
      <c r="B443" s="815" t="s">
        <v>1059</v>
      </c>
      <c r="C443" s="816"/>
      <c r="D443" s="219">
        <v>0</v>
      </c>
      <c r="E443" s="132">
        <v>28</v>
      </c>
      <c r="F443" s="144">
        <v>9</v>
      </c>
      <c r="G443" s="144">
        <v>0</v>
      </c>
      <c r="H443" s="132">
        <v>1</v>
      </c>
      <c r="I443" s="132">
        <f>E443*F443</f>
        <v>252</v>
      </c>
      <c r="J443" s="133" t="s">
        <v>5</v>
      </c>
      <c r="K443" s="143">
        <f>I443*H443</f>
        <v>252</v>
      </c>
      <c r="L443" s="127"/>
      <c r="M443" s="128"/>
      <c r="N443" s="128"/>
      <c r="O443" s="128"/>
      <c r="P443" s="128"/>
      <c r="Q443" s="129"/>
    </row>
    <row r="444" spans="1:17" ht="14" x14ac:dyDescent="0.15">
      <c r="A444" s="795" t="s">
        <v>149</v>
      </c>
      <c r="B444" s="817"/>
      <c r="C444" s="817"/>
      <c r="D444" s="817"/>
      <c r="E444" s="817"/>
      <c r="F444" s="817"/>
      <c r="G444" s="817"/>
      <c r="H444" s="817"/>
      <c r="I444" s="817"/>
      <c r="J444" s="796"/>
      <c r="K444" s="416">
        <f>SUM(K443:K443)</f>
        <v>252</v>
      </c>
      <c r="L444" s="134"/>
      <c r="M444" s="135"/>
      <c r="N444" s="135"/>
      <c r="O444" s="135"/>
      <c r="P444" s="135"/>
      <c r="Q444" s="136"/>
    </row>
    <row r="445" spans="1:17" x14ac:dyDescent="0.15">
      <c r="A445" s="790"/>
      <c r="B445" s="791"/>
      <c r="C445" s="791"/>
      <c r="D445" s="791"/>
      <c r="E445" s="791"/>
      <c r="F445" s="791"/>
      <c r="G445" s="791"/>
      <c r="H445" s="791"/>
      <c r="I445" s="791"/>
      <c r="J445" s="791"/>
      <c r="K445" s="791"/>
      <c r="L445" s="791"/>
      <c r="M445" s="791"/>
      <c r="N445" s="791"/>
      <c r="O445" s="791"/>
      <c r="P445" s="791"/>
      <c r="Q445" s="792"/>
    </row>
    <row r="446" spans="1:17" s="121" customFormat="1" ht="18" customHeight="1" x14ac:dyDescent="0.15">
      <c r="A446" s="218" t="s">
        <v>0</v>
      </c>
      <c r="B446" s="838" t="s">
        <v>1060</v>
      </c>
      <c r="C446" s="839"/>
      <c r="D446" s="839"/>
      <c r="E446" s="839"/>
      <c r="F446" s="839"/>
      <c r="G446" s="839"/>
      <c r="H446" s="839"/>
      <c r="I446" s="839"/>
      <c r="J446" s="839"/>
      <c r="K446" s="839"/>
      <c r="L446" s="839"/>
      <c r="M446" s="839"/>
      <c r="N446" s="839"/>
      <c r="O446" s="216" t="s">
        <v>73</v>
      </c>
      <c r="P446" s="795" t="s">
        <v>5</v>
      </c>
      <c r="Q446" s="796"/>
    </row>
    <row r="447" spans="1:17" x14ac:dyDescent="0.15">
      <c r="A447" s="790"/>
      <c r="B447" s="791"/>
      <c r="C447" s="791"/>
      <c r="D447" s="791"/>
      <c r="E447" s="791"/>
      <c r="F447" s="791"/>
      <c r="G447" s="791"/>
      <c r="H447" s="791"/>
      <c r="I447" s="791"/>
      <c r="J447" s="791"/>
      <c r="K447" s="791"/>
      <c r="L447" s="791"/>
      <c r="M447" s="791"/>
      <c r="N447" s="791"/>
      <c r="O447" s="791"/>
      <c r="P447" s="791"/>
      <c r="Q447" s="792"/>
    </row>
    <row r="448" spans="1:17" s="126" customFormat="1" x14ac:dyDescent="0.15">
      <c r="A448" s="822" t="s">
        <v>150</v>
      </c>
      <c r="B448" s="823" t="s">
        <v>151</v>
      </c>
      <c r="C448" s="823"/>
      <c r="D448" s="832" t="s">
        <v>246</v>
      </c>
      <c r="E448" s="823" t="s">
        <v>152</v>
      </c>
      <c r="F448" s="823"/>
      <c r="G448" s="823"/>
      <c r="H448" s="802" t="s">
        <v>153</v>
      </c>
      <c r="I448" s="802" t="s">
        <v>159</v>
      </c>
      <c r="J448" s="804" t="s">
        <v>73</v>
      </c>
      <c r="K448" s="216" t="s">
        <v>154</v>
      </c>
      <c r="L448" s="123"/>
      <c r="M448" s="124"/>
      <c r="N448" s="124"/>
      <c r="O448" s="124"/>
      <c r="P448" s="124"/>
      <c r="Q448" s="125"/>
    </row>
    <row r="449" spans="1:17" s="130" customFormat="1" x14ac:dyDescent="0.15">
      <c r="A449" s="822"/>
      <c r="B449" s="823"/>
      <c r="C449" s="823"/>
      <c r="D449" s="833"/>
      <c r="E449" s="217" t="s">
        <v>155</v>
      </c>
      <c r="F449" s="217" t="s">
        <v>156</v>
      </c>
      <c r="G449" s="217" t="s">
        <v>157</v>
      </c>
      <c r="H449" s="803"/>
      <c r="I449" s="803"/>
      <c r="J449" s="805"/>
      <c r="K449" s="216" t="s">
        <v>158</v>
      </c>
      <c r="L449" s="127"/>
      <c r="M449" s="128"/>
      <c r="N449" s="128"/>
      <c r="O449" s="128"/>
      <c r="P449" s="128"/>
      <c r="Q449" s="129"/>
    </row>
    <row r="450" spans="1:17" ht="27.75" customHeight="1" x14ac:dyDescent="0.15">
      <c r="A450" s="148"/>
      <c r="B450" s="815" t="s">
        <v>981</v>
      </c>
      <c r="C450" s="816"/>
      <c r="D450" s="219">
        <v>0</v>
      </c>
      <c r="E450" s="132">
        <v>11.87</v>
      </c>
      <c r="F450" s="144">
        <v>2.5</v>
      </c>
      <c r="G450" s="144">
        <v>0</v>
      </c>
      <c r="H450" s="132">
        <v>1</v>
      </c>
      <c r="I450" s="143">
        <f>F450*E450</f>
        <v>29.674999999999997</v>
      </c>
      <c r="J450" s="133" t="s">
        <v>5</v>
      </c>
      <c r="K450" s="143">
        <f t="shared" ref="K450" si="82">(I450*H450)-D450</f>
        <v>29.674999999999997</v>
      </c>
      <c r="L450" s="127"/>
      <c r="M450" s="128"/>
      <c r="N450" s="128"/>
      <c r="O450" s="128"/>
      <c r="P450" s="128"/>
      <c r="Q450" s="129"/>
    </row>
    <row r="451" spans="1:17" ht="14" x14ac:dyDescent="0.15">
      <c r="A451" s="795" t="s">
        <v>149</v>
      </c>
      <c r="B451" s="817"/>
      <c r="C451" s="817"/>
      <c r="D451" s="817"/>
      <c r="E451" s="817"/>
      <c r="F451" s="817"/>
      <c r="G451" s="817"/>
      <c r="H451" s="817"/>
      <c r="I451" s="817"/>
      <c r="J451" s="796"/>
      <c r="K451" s="416">
        <f>SUM(K450)</f>
        <v>29.674999999999997</v>
      </c>
      <c r="L451" s="134"/>
      <c r="M451" s="135"/>
      <c r="N451" s="135"/>
      <c r="O451" s="135"/>
      <c r="P451" s="135"/>
      <c r="Q451" s="136"/>
    </row>
    <row r="452" spans="1:17" x14ac:dyDescent="0.15">
      <c r="A452" s="790"/>
      <c r="B452" s="791"/>
      <c r="C452" s="791"/>
      <c r="D452" s="791"/>
      <c r="E452" s="791"/>
      <c r="F452" s="791"/>
      <c r="G452" s="791"/>
      <c r="H452" s="791"/>
      <c r="I452" s="791"/>
      <c r="J452" s="791"/>
      <c r="K452" s="791"/>
      <c r="L452" s="791"/>
      <c r="M452" s="791"/>
      <c r="N452" s="791"/>
      <c r="O452" s="791"/>
      <c r="P452" s="791"/>
      <c r="Q452" s="792"/>
    </row>
    <row r="453" spans="1:17" s="121" customFormat="1" ht="18" customHeight="1" x14ac:dyDescent="0.15">
      <c r="A453" s="218" t="s">
        <v>0</v>
      </c>
      <c r="B453" s="838" t="s">
        <v>1061</v>
      </c>
      <c r="C453" s="839"/>
      <c r="D453" s="839"/>
      <c r="E453" s="839"/>
      <c r="F453" s="839"/>
      <c r="G453" s="839"/>
      <c r="H453" s="839"/>
      <c r="I453" s="839"/>
      <c r="J453" s="839"/>
      <c r="K453" s="839"/>
      <c r="L453" s="839"/>
      <c r="M453" s="839"/>
      <c r="N453" s="839"/>
      <c r="O453" s="216" t="s">
        <v>73</v>
      </c>
      <c r="P453" s="795" t="s">
        <v>5</v>
      </c>
      <c r="Q453" s="796"/>
    </row>
    <row r="454" spans="1:17" x14ac:dyDescent="0.15">
      <c r="A454" s="790"/>
      <c r="B454" s="791"/>
      <c r="C454" s="791"/>
      <c r="D454" s="791"/>
      <c r="E454" s="791"/>
      <c r="F454" s="791"/>
      <c r="G454" s="791"/>
      <c r="H454" s="791"/>
      <c r="I454" s="791"/>
      <c r="J454" s="791"/>
      <c r="K454" s="791"/>
      <c r="L454" s="791"/>
      <c r="M454" s="791"/>
      <c r="N454" s="791"/>
      <c r="O454" s="791"/>
      <c r="P454" s="791"/>
      <c r="Q454" s="792"/>
    </row>
    <row r="455" spans="1:17" s="126" customFormat="1" x14ac:dyDescent="0.15">
      <c r="A455" s="822" t="s">
        <v>150</v>
      </c>
      <c r="B455" s="823" t="s">
        <v>151</v>
      </c>
      <c r="C455" s="823"/>
      <c r="D455" s="832" t="s">
        <v>246</v>
      </c>
      <c r="E455" s="823" t="s">
        <v>152</v>
      </c>
      <c r="F455" s="823"/>
      <c r="G455" s="823"/>
      <c r="H455" s="802" t="s">
        <v>153</v>
      </c>
      <c r="I455" s="802" t="s">
        <v>159</v>
      </c>
      <c r="J455" s="804" t="s">
        <v>73</v>
      </c>
      <c r="K455" s="216" t="s">
        <v>154</v>
      </c>
      <c r="L455" s="123"/>
      <c r="M455" s="124"/>
      <c r="N455" s="124"/>
      <c r="O455" s="124"/>
      <c r="P455" s="124"/>
      <c r="Q455" s="125"/>
    </row>
    <row r="456" spans="1:17" s="130" customFormat="1" x14ac:dyDescent="0.15">
      <c r="A456" s="822"/>
      <c r="B456" s="823"/>
      <c r="C456" s="823"/>
      <c r="D456" s="833"/>
      <c r="E456" s="217" t="s">
        <v>155</v>
      </c>
      <c r="F456" s="217" t="s">
        <v>156</v>
      </c>
      <c r="G456" s="217" t="s">
        <v>157</v>
      </c>
      <c r="H456" s="803"/>
      <c r="I456" s="803"/>
      <c r="J456" s="805"/>
      <c r="K456" s="216" t="s">
        <v>158</v>
      </c>
      <c r="L456" s="127"/>
      <c r="M456" s="128"/>
      <c r="N456" s="128"/>
      <c r="O456" s="128"/>
      <c r="P456" s="128"/>
      <c r="Q456" s="129"/>
    </row>
    <row r="457" spans="1:17" ht="27.75" customHeight="1" x14ac:dyDescent="0.15">
      <c r="A457" s="148"/>
      <c r="B457" s="815" t="s">
        <v>981</v>
      </c>
      <c r="C457" s="816"/>
      <c r="D457" s="219">
        <v>0</v>
      </c>
      <c r="E457" s="132">
        <v>11.87</v>
      </c>
      <c r="F457" s="144">
        <v>2.5</v>
      </c>
      <c r="G457" s="144">
        <v>0</v>
      </c>
      <c r="H457" s="132">
        <v>1</v>
      </c>
      <c r="I457" s="143">
        <f>F457*E457</f>
        <v>29.674999999999997</v>
      </c>
      <c r="J457" s="133" t="s">
        <v>5</v>
      </c>
      <c r="K457" s="143">
        <f t="shared" ref="K457" si="83">(I457*H457)-D457</f>
        <v>29.674999999999997</v>
      </c>
      <c r="L457" s="127"/>
      <c r="M457" s="128"/>
      <c r="N457" s="128"/>
      <c r="O457" s="128"/>
      <c r="P457" s="128"/>
      <c r="Q457" s="129"/>
    </row>
    <row r="458" spans="1:17" ht="14" x14ac:dyDescent="0.15">
      <c r="A458" s="795" t="s">
        <v>149</v>
      </c>
      <c r="B458" s="817"/>
      <c r="C458" s="817"/>
      <c r="D458" s="817"/>
      <c r="E458" s="817"/>
      <c r="F458" s="817"/>
      <c r="G458" s="817"/>
      <c r="H458" s="817"/>
      <c r="I458" s="817"/>
      <c r="J458" s="796"/>
      <c r="K458" s="416">
        <f>SUM(K457)</f>
        <v>29.674999999999997</v>
      </c>
      <c r="L458" s="134"/>
      <c r="M458" s="135"/>
      <c r="N458" s="135"/>
      <c r="O458" s="135"/>
      <c r="P458" s="135"/>
      <c r="Q458" s="136"/>
    </row>
    <row r="459" spans="1:17" x14ac:dyDescent="0.15">
      <c r="A459" s="790"/>
      <c r="B459" s="791"/>
      <c r="C459" s="791"/>
      <c r="D459" s="791"/>
      <c r="E459" s="791"/>
      <c r="F459" s="791"/>
      <c r="G459" s="791"/>
      <c r="H459" s="791"/>
      <c r="I459" s="791"/>
      <c r="J459" s="791"/>
      <c r="K459" s="791"/>
      <c r="L459" s="791"/>
      <c r="M459" s="791"/>
      <c r="N459" s="791"/>
      <c r="O459" s="791"/>
      <c r="P459" s="791"/>
      <c r="Q459" s="792"/>
    </row>
    <row r="460" spans="1:17" s="121" customFormat="1" ht="18" customHeight="1" x14ac:dyDescent="0.15">
      <c r="A460" s="218" t="s">
        <v>0</v>
      </c>
      <c r="B460" s="838" t="s">
        <v>1062</v>
      </c>
      <c r="C460" s="839"/>
      <c r="D460" s="839"/>
      <c r="E460" s="839"/>
      <c r="F460" s="839"/>
      <c r="G460" s="839"/>
      <c r="H460" s="839"/>
      <c r="I460" s="839"/>
      <c r="J460" s="839"/>
      <c r="K460" s="839"/>
      <c r="L460" s="839"/>
      <c r="M460" s="839"/>
      <c r="N460" s="839"/>
      <c r="O460" s="216" t="s">
        <v>73</v>
      </c>
      <c r="P460" s="795" t="s">
        <v>5</v>
      </c>
      <c r="Q460" s="796"/>
    </row>
    <row r="461" spans="1:17" x14ac:dyDescent="0.15">
      <c r="A461" s="790"/>
      <c r="B461" s="791"/>
      <c r="C461" s="791"/>
      <c r="D461" s="791"/>
      <c r="E461" s="791"/>
      <c r="F461" s="791"/>
      <c r="G461" s="791"/>
      <c r="H461" s="791"/>
      <c r="I461" s="791"/>
      <c r="J461" s="791"/>
      <c r="K461" s="791"/>
      <c r="L461" s="791"/>
      <c r="M461" s="791"/>
      <c r="N461" s="791"/>
      <c r="O461" s="791"/>
      <c r="P461" s="791"/>
      <c r="Q461" s="792"/>
    </row>
    <row r="462" spans="1:17" s="126" customFormat="1" ht="12.75" customHeight="1" x14ac:dyDescent="0.15">
      <c r="A462" s="802" t="s">
        <v>150</v>
      </c>
      <c r="B462" s="848" t="s">
        <v>151</v>
      </c>
      <c r="C462" s="849"/>
      <c r="D462" s="802"/>
      <c r="E462" s="825" t="s">
        <v>152</v>
      </c>
      <c r="F462" s="826"/>
      <c r="G462" s="834"/>
      <c r="H462" s="802" t="s">
        <v>153</v>
      </c>
      <c r="I462" s="802" t="s">
        <v>159</v>
      </c>
      <c r="J462" s="804" t="s">
        <v>73</v>
      </c>
      <c r="K462" s="216" t="s">
        <v>154</v>
      </c>
      <c r="L462" s="123"/>
      <c r="M462" s="124"/>
      <c r="N462" s="124"/>
      <c r="O462" s="124"/>
      <c r="P462" s="124"/>
      <c r="Q462" s="125"/>
    </row>
    <row r="463" spans="1:17" s="130" customFormat="1" x14ac:dyDescent="0.15">
      <c r="A463" s="803"/>
      <c r="B463" s="850"/>
      <c r="C463" s="851"/>
      <c r="D463" s="803"/>
      <c r="E463" s="217" t="s">
        <v>155</v>
      </c>
      <c r="F463" s="217" t="s">
        <v>156</v>
      </c>
      <c r="G463" s="217" t="s">
        <v>157</v>
      </c>
      <c r="H463" s="803"/>
      <c r="I463" s="803"/>
      <c r="J463" s="805"/>
      <c r="K463" s="216" t="s">
        <v>158</v>
      </c>
      <c r="L463" s="127"/>
      <c r="M463" s="128"/>
      <c r="N463" s="128"/>
      <c r="O463" s="128"/>
      <c r="P463" s="128"/>
      <c r="Q463" s="129"/>
    </row>
    <row r="464" spans="1:17" ht="17.25" customHeight="1" x14ac:dyDescent="0.15">
      <c r="A464" s="148"/>
      <c r="B464" s="788" t="s">
        <v>957</v>
      </c>
      <c r="C464" s="789"/>
      <c r="D464" s="149"/>
      <c r="E464" s="143">
        <v>0.95</v>
      </c>
      <c r="F464" s="143">
        <v>0</v>
      </c>
      <c r="G464" s="143">
        <v>2</v>
      </c>
      <c r="H464" s="143">
        <v>6</v>
      </c>
      <c r="I464" s="143">
        <f>E464*G464</f>
        <v>1.9</v>
      </c>
      <c r="J464" s="133" t="s">
        <v>5</v>
      </c>
      <c r="K464" s="143">
        <f>I464*H464</f>
        <v>11.399999999999999</v>
      </c>
      <c r="L464" s="127"/>
      <c r="M464" s="128"/>
      <c r="N464" s="128"/>
      <c r="O464" s="128"/>
      <c r="P464" s="128"/>
      <c r="Q464" s="129"/>
    </row>
    <row r="465" spans="1:17" ht="14" x14ac:dyDescent="0.15">
      <c r="A465" s="795" t="s">
        <v>149</v>
      </c>
      <c r="B465" s="817"/>
      <c r="C465" s="817"/>
      <c r="D465" s="817"/>
      <c r="E465" s="817"/>
      <c r="F465" s="817"/>
      <c r="G465" s="817"/>
      <c r="H465" s="817"/>
      <c r="I465" s="817"/>
      <c r="J465" s="796"/>
      <c r="K465" s="416">
        <f>SUM(K464:K464)</f>
        <v>11.399999999999999</v>
      </c>
      <c r="L465" s="134"/>
      <c r="M465" s="135"/>
      <c r="N465" s="135"/>
      <c r="O465" s="135"/>
      <c r="P465" s="135"/>
      <c r="Q465" s="136"/>
    </row>
    <row r="466" spans="1:17" x14ac:dyDescent="0.15">
      <c r="A466" s="790"/>
      <c r="B466" s="791"/>
      <c r="C466" s="791"/>
      <c r="D466" s="791"/>
      <c r="E466" s="791"/>
      <c r="F466" s="791"/>
      <c r="G466" s="791"/>
      <c r="H466" s="791"/>
      <c r="I466" s="791"/>
      <c r="J466" s="791"/>
      <c r="K466" s="791"/>
      <c r="L466" s="791"/>
      <c r="M466" s="791"/>
      <c r="N466" s="791"/>
      <c r="O466" s="791"/>
      <c r="P466" s="791"/>
      <c r="Q466" s="792"/>
    </row>
    <row r="467" spans="1:17" s="121" customFormat="1" ht="18" customHeight="1" x14ac:dyDescent="0.15">
      <c r="A467" s="218" t="s">
        <v>0</v>
      </c>
      <c r="B467" s="830" t="s">
        <v>1063</v>
      </c>
      <c r="C467" s="831"/>
      <c r="D467" s="831"/>
      <c r="E467" s="831"/>
      <c r="F467" s="831"/>
      <c r="G467" s="831"/>
      <c r="H467" s="831"/>
      <c r="I467" s="831"/>
      <c r="J467" s="831"/>
      <c r="K467" s="831"/>
      <c r="L467" s="831"/>
      <c r="M467" s="831"/>
      <c r="N467" s="831"/>
      <c r="O467" s="216" t="s">
        <v>73</v>
      </c>
      <c r="P467" s="795" t="s">
        <v>319</v>
      </c>
      <c r="Q467" s="796"/>
    </row>
    <row r="468" spans="1:17" x14ac:dyDescent="0.15">
      <c r="A468" s="790"/>
      <c r="B468" s="791"/>
      <c r="C468" s="791"/>
      <c r="D468" s="791"/>
      <c r="E468" s="791"/>
      <c r="F468" s="791"/>
      <c r="G468" s="791"/>
      <c r="H468" s="791"/>
      <c r="I468" s="791"/>
      <c r="J468" s="791"/>
      <c r="K468" s="791"/>
      <c r="L468" s="791"/>
      <c r="M468" s="791"/>
      <c r="N468" s="791"/>
      <c r="O468" s="791"/>
      <c r="P468" s="791"/>
      <c r="Q468" s="792"/>
    </row>
    <row r="469" spans="1:17" s="126" customFormat="1" x14ac:dyDescent="0.15">
      <c r="A469" s="822" t="s">
        <v>150</v>
      </c>
      <c r="B469" s="823" t="s">
        <v>151</v>
      </c>
      <c r="C469" s="823"/>
      <c r="D469" s="802"/>
      <c r="E469" s="823" t="s">
        <v>152</v>
      </c>
      <c r="F469" s="823"/>
      <c r="G469" s="823"/>
      <c r="H469" s="802" t="s">
        <v>153</v>
      </c>
      <c r="I469" s="802" t="s">
        <v>479</v>
      </c>
      <c r="J469" s="804" t="s">
        <v>73</v>
      </c>
      <c r="K469" s="216" t="s">
        <v>154</v>
      </c>
      <c r="L469" s="123"/>
      <c r="M469" s="124"/>
      <c r="N469" s="124"/>
      <c r="O469" s="124"/>
      <c r="P469" s="124"/>
      <c r="Q469" s="125"/>
    </row>
    <row r="470" spans="1:17" s="130" customFormat="1" x14ac:dyDescent="0.15">
      <c r="A470" s="822"/>
      <c r="B470" s="823"/>
      <c r="C470" s="823"/>
      <c r="D470" s="803"/>
      <c r="E470" s="217" t="s">
        <v>155</v>
      </c>
      <c r="F470" s="217" t="s">
        <v>156</v>
      </c>
      <c r="G470" s="217" t="s">
        <v>157</v>
      </c>
      <c r="H470" s="803"/>
      <c r="I470" s="803"/>
      <c r="J470" s="805"/>
      <c r="K470" s="216" t="s">
        <v>158</v>
      </c>
      <c r="L470" s="127"/>
      <c r="M470" s="128"/>
      <c r="N470" s="128"/>
      <c r="O470" s="128"/>
      <c r="P470" s="128"/>
      <c r="Q470" s="129"/>
    </row>
    <row r="471" spans="1:17" ht="26.25" customHeight="1" x14ac:dyDescent="0.15">
      <c r="A471" s="148"/>
      <c r="B471" s="788" t="s">
        <v>1064</v>
      </c>
      <c r="C471" s="789"/>
      <c r="D471" s="143"/>
      <c r="E471" s="143">
        <v>0</v>
      </c>
      <c r="F471" s="143">
        <v>0</v>
      </c>
      <c r="G471" s="143">
        <v>0</v>
      </c>
      <c r="H471" s="143">
        <v>5</v>
      </c>
      <c r="I471" s="143">
        <v>5</v>
      </c>
      <c r="J471" s="133" t="s">
        <v>319</v>
      </c>
      <c r="K471" s="143">
        <f>I471</f>
        <v>5</v>
      </c>
      <c r="L471" s="127"/>
      <c r="M471" s="128"/>
      <c r="N471" s="128"/>
      <c r="O471" s="128"/>
      <c r="P471" s="128"/>
      <c r="Q471" s="129"/>
    </row>
    <row r="472" spans="1:17" ht="14" x14ac:dyDescent="0.15">
      <c r="A472" s="795" t="s">
        <v>149</v>
      </c>
      <c r="B472" s="817"/>
      <c r="C472" s="817"/>
      <c r="D472" s="817"/>
      <c r="E472" s="817"/>
      <c r="F472" s="817"/>
      <c r="G472" s="817"/>
      <c r="H472" s="817"/>
      <c r="I472" s="817"/>
      <c r="J472" s="796"/>
      <c r="K472" s="416">
        <f>SUM(K471:K471)</f>
        <v>5</v>
      </c>
      <c r="L472" s="134"/>
      <c r="M472" s="135"/>
      <c r="N472" s="135"/>
      <c r="O472" s="135"/>
      <c r="P472" s="135"/>
      <c r="Q472" s="136"/>
    </row>
    <row r="473" spans="1:17" x14ac:dyDescent="0.15">
      <c r="A473" s="790"/>
      <c r="B473" s="791"/>
      <c r="C473" s="791"/>
      <c r="D473" s="791"/>
      <c r="E473" s="791"/>
      <c r="F473" s="791"/>
      <c r="G473" s="791"/>
      <c r="H473" s="791"/>
      <c r="I473" s="791"/>
      <c r="J473" s="791"/>
      <c r="K473" s="791"/>
      <c r="L473" s="791"/>
      <c r="M473" s="791"/>
      <c r="N473" s="791"/>
      <c r="O473" s="791"/>
      <c r="P473" s="791"/>
      <c r="Q473" s="792"/>
    </row>
    <row r="474" spans="1:17" s="121" customFormat="1" ht="18" customHeight="1" x14ac:dyDescent="0.15">
      <c r="A474" s="218" t="s">
        <v>0</v>
      </c>
      <c r="B474" s="830" t="s">
        <v>1136</v>
      </c>
      <c r="C474" s="831"/>
      <c r="D474" s="831"/>
      <c r="E474" s="831"/>
      <c r="F474" s="831"/>
      <c r="G474" s="831"/>
      <c r="H474" s="831"/>
      <c r="I474" s="831"/>
      <c r="J474" s="831"/>
      <c r="K474" s="831"/>
      <c r="L474" s="831"/>
      <c r="M474" s="831"/>
      <c r="N474" s="831"/>
      <c r="O474" s="216" t="s">
        <v>73</v>
      </c>
      <c r="P474" s="795" t="s">
        <v>5</v>
      </c>
      <c r="Q474" s="796"/>
    </row>
    <row r="475" spans="1:17" x14ac:dyDescent="0.15">
      <c r="A475" s="790"/>
      <c r="B475" s="791"/>
      <c r="C475" s="791"/>
      <c r="D475" s="791"/>
      <c r="E475" s="791"/>
      <c r="F475" s="791"/>
      <c r="G475" s="791"/>
      <c r="H475" s="791"/>
      <c r="I475" s="791"/>
      <c r="J475" s="791"/>
      <c r="K475" s="791"/>
      <c r="L475" s="791"/>
      <c r="M475" s="791"/>
      <c r="N475" s="791"/>
      <c r="O475" s="791"/>
      <c r="P475" s="791"/>
      <c r="Q475" s="792"/>
    </row>
    <row r="476" spans="1:17" s="126" customFormat="1" x14ac:dyDescent="0.15">
      <c r="A476" s="822" t="s">
        <v>150</v>
      </c>
      <c r="B476" s="823" t="s">
        <v>151</v>
      </c>
      <c r="C476" s="823"/>
      <c r="D476" s="832" t="s">
        <v>246</v>
      </c>
      <c r="E476" s="823" t="s">
        <v>152</v>
      </c>
      <c r="F476" s="823"/>
      <c r="G476" s="823"/>
      <c r="H476" s="802" t="s">
        <v>153</v>
      </c>
      <c r="I476" s="802" t="s">
        <v>159</v>
      </c>
      <c r="J476" s="804" t="s">
        <v>73</v>
      </c>
      <c r="K476" s="216" t="s">
        <v>154</v>
      </c>
      <c r="L476" s="123"/>
      <c r="M476" s="124"/>
      <c r="N476" s="124"/>
      <c r="O476" s="124"/>
      <c r="P476" s="124"/>
      <c r="Q476" s="125"/>
    </row>
    <row r="477" spans="1:17" s="130" customFormat="1" x14ac:dyDescent="0.15">
      <c r="A477" s="822"/>
      <c r="B477" s="823"/>
      <c r="C477" s="823"/>
      <c r="D477" s="833"/>
      <c r="E477" s="217" t="s">
        <v>155</v>
      </c>
      <c r="F477" s="217" t="s">
        <v>156</v>
      </c>
      <c r="G477" s="217" t="s">
        <v>157</v>
      </c>
      <c r="H477" s="803"/>
      <c r="I477" s="803"/>
      <c r="J477" s="805"/>
      <c r="K477" s="216" t="s">
        <v>158</v>
      </c>
      <c r="L477" s="127"/>
      <c r="M477" s="128"/>
      <c r="N477" s="128"/>
      <c r="O477" s="128"/>
      <c r="P477" s="128"/>
      <c r="Q477" s="129"/>
    </row>
    <row r="478" spans="1:17" ht="21.75" customHeight="1" x14ac:dyDescent="0.15">
      <c r="A478" s="148"/>
      <c r="B478" s="788" t="s">
        <v>1183</v>
      </c>
      <c r="C478" s="789"/>
      <c r="D478" s="149"/>
      <c r="E478" s="143">
        <v>1.5</v>
      </c>
      <c r="F478" s="143">
        <v>0</v>
      </c>
      <c r="G478" s="143">
        <v>1.2</v>
      </c>
      <c r="H478" s="143">
        <v>7</v>
      </c>
      <c r="I478" s="143">
        <f>E478*G478</f>
        <v>1.7999999999999998</v>
      </c>
      <c r="J478" s="133" t="s">
        <v>5</v>
      </c>
      <c r="K478" s="143">
        <f>I478*H478</f>
        <v>12.599999999999998</v>
      </c>
      <c r="L478" s="127"/>
      <c r="M478" s="128"/>
      <c r="N478" s="128"/>
      <c r="O478" s="128"/>
      <c r="P478" s="128"/>
      <c r="Q478" s="129"/>
    </row>
    <row r="479" spans="1:17" ht="21.75" customHeight="1" x14ac:dyDescent="0.15">
      <c r="A479" s="148"/>
      <c r="B479" s="788" t="s">
        <v>1223</v>
      </c>
      <c r="C479" s="789"/>
      <c r="D479" s="149"/>
      <c r="E479" s="143">
        <v>1.2</v>
      </c>
      <c r="F479" s="143">
        <v>0</v>
      </c>
      <c r="G479" s="143">
        <v>1.2</v>
      </c>
      <c r="H479" s="143">
        <v>2</v>
      </c>
      <c r="I479" s="143">
        <f t="shared" ref="I479" si="84">E479*G479</f>
        <v>1.44</v>
      </c>
      <c r="J479" s="133" t="s">
        <v>5</v>
      </c>
      <c r="K479" s="143">
        <f>I479*H479</f>
        <v>2.88</v>
      </c>
      <c r="L479" s="127"/>
      <c r="M479" s="128"/>
      <c r="N479" s="128"/>
      <c r="O479" s="128"/>
      <c r="P479" s="128"/>
      <c r="Q479" s="129"/>
    </row>
    <row r="480" spans="1:17" ht="14" x14ac:dyDescent="0.15">
      <c r="A480" s="795" t="s">
        <v>149</v>
      </c>
      <c r="B480" s="817"/>
      <c r="C480" s="817"/>
      <c r="D480" s="817"/>
      <c r="E480" s="817"/>
      <c r="F480" s="817"/>
      <c r="G480" s="817"/>
      <c r="H480" s="817"/>
      <c r="I480" s="817"/>
      <c r="J480" s="796"/>
      <c r="K480" s="416">
        <f>SUM(K478:K479)</f>
        <v>15.479999999999997</v>
      </c>
      <c r="L480" s="134"/>
      <c r="M480" s="135"/>
      <c r="N480" s="135"/>
      <c r="O480" s="135"/>
      <c r="P480" s="135"/>
      <c r="Q480" s="136"/>
    </row>
    <row r="481" spans="1:18" s="140" customFormat="1" ht="6.75" customHeight="1" x14ac:dyDescent="0.15">
      <c r="A481" s="861"/>
      <c r="B481" s="861"/>
      <c r="C481" s="861"/>
      <c r="D481" s="861"/>
      <c r="E481" s="861"/>
      <c r="F481" s="861"/>
      <c r="G481" s="861"/>
      <c r="H481" s="861"/>
      <c r="I481" s="861"/>
      <c r="J481" s="861"/>
      <c r="K481" s="861"/>
      <c r="L481" s="861"/>
      <c r="M481" s="861"/>
      <c r="N481" s="861"/>
      <c r="O481" s="861"/>
      <c r="P481" s="861"/>
      <c r="Q481" s="861"/>
      <c r="R481" s="120"/>
    </row>
    <row r="482" spans="1:18" x14ac:dyDescent="0.15">
      <c r="A482" s="790"/>
      <c r="B482" s="791"/>
      <c r="C482" s="791"/>
      <c r="D482" s="791"/>
      <c r="E482" s="791"/>
      <c r="F482" s="791"/>
      <c r="G482" s="791"/>
      <c r="H482" s="791"/>
      <c r="I482" s="791"/>
      <c r="J482" s="791"/>
      <c r="K482" s="791"/>
      <c r="L482" s="791"/>
      <c r="M482" s="791"/>
      <c r="N482" s="791"/>
      <c r="O482" s="791"/>
      <c r="P482" s="791"/>
      <c r="Q482" s="792"/>
    </row>
    <row r="483" spans="1:18" s="121" customFormat="1" ht="18" customHeight="1" x14ac:dyDescent="0.15">
      <c r="A483" s="218" t="s">
        <v>0</v>
      </c>
      <c r="B483" s="841" t="s">
        <v>1065</v>
      </c>
      <c r="C483" s="842"/>
      <c r="D483" s="842"/>
      <c r="E483" s="842"/>
      <c r="F483" s="842"/>
      <c r="G483" s="842"/>
      <c r="H483" s="842"/>
      <c r="I483" s="842"/>
      <c r="J483" s="842"/>
      <c r="K483" s="842"/>
      <c r="L483" s="842"/>
      <c r="M483" s="842"/>
      <c r="N483" s="842"/>
      <c r="O483" s="216" t="s">
        <v>73</v>
      </c>
      <c r="P483" s="795" t="s">
        <v>19</v>
      </c>
      <c r="Q483" s="796"/>
    </row>
    <row r="484" spans="1:18" x14ac:dyDescent="0.15">
      <c r="A484" s="790"/>
      <c r="B484" s="791"/>
      <c r="C484" s="791"/>
      <c r="D484" s="791"/>
      <c r="E484" s="791"/>
      <c r="F484" s="791"/>
      <c r="G484" s="791"/>
      <c r="H484" s="791"/>
      <c r="I484" s="791"/>
      <c r="J484" s="791"/>
      <c r="K484" s="791"/>
      <c r="L484" s="791"/>
      <c r="M484" s="791"/>
      <c r="N484" s="791"/>
      <c r="O484" s="791"/>
      <c r="P484" s="791"/>
      <c r="Q484" s="792"/>
    </row>
    <row r="485" spans="1:18" s="126" customFormat="1" x14ac:dyDescent="0.15">
      <c r="A485" s="822" t="s">
        <v>150</v>
      </c>
      <c r="B485" s="823" t="s">
        <v>151</v>
      </c>
      <c r="C485" s="823"/>
      <c r="D485" s="802" t="s">
        <v>165</v>
      </c>
      <c r="E485" s="823" t="s">
        <v>152</v>
      </c>
      <c r="F485" s="823"/>
      <c r="G485" s="823"/>
      <c r="H485" s="802" t="s">
        <v>153</v>
      </c>
      <c r="I485" s="802" t="s">
        <v>479</v>
      </c>
      <c r="J485" s="804" t="s">
        <v>73</v>
      </c>
      <c r="K485" s="216" t="s">
        <v>154</v>
      </c>
      <c r="L485" s="123"/>
      <c r="M485" s="124"/>
      <c r="N485" s="124"/>
      <c r="O485" s="124"/>
      <c r="P485" s="124"/>
      <c r="Q485" s="125"/>
    </row>
    <row r="486" spans="1:18" s="130" customFormat="1" x14ac:dyDescent="0.15">
      <c r="A486" s="822"/>
      <c r="B486" s="823"/>
      <c r="C486" s="823"/>
      <c r="D486" s="803"/>
      <c r="E486" s="217" t="s">
        <v>155</v>
      </c>
      <c r="F486" s="217" t="s">
        <v>156</v>
      </c>
      <c r="G486" s="217" t="s">
        <v>157</v>
      </c>
      <c r="H486" s="803"/>
      <c r="I486" s="803"/>
      <c r="J486" s="805"/>
      <c r="K486" s="216" t="s">
        <v>158</v>
      </c>
      <c r="L486" s="127"/>
      <c r="M486" s="128"/>
      <c r="N486" s="128"/>
      <c r="O486" s="128"/>
      <c r="P486" s="128"/>
      <c r="Q486" s="129"/>
    </row>
    <row r="487" spans="1:18" ht="27.75" customHeight="1" x14ac:dyDescent="0.15">
      <c r="A487" s="148"/>
      <c r="B487" s="788" t="s">
        <v>1028</v>
      </c>
      <c r="C487" s="789"/>
      <c r="D487" s="143" t="s">
        <v>19</v>
      </c>
      <c r="E487" s="143">
        <v>0</v>
      </c>
      <c r="F487" s="143">
        <v>0</v>
      </c>
      <c r="G487" s="143">
        <v>0</v>
      </c>
      <c r="H487" s="143">
        <v>1</v>
      </c>
      <c r="I487" s="143">
        <v>1</v>
      </c>
      <c r="J487" s="133" t="s">
        <v>19</v>
      </c>
      <c r="K487" s="143">
        <f>I487*H487</f>
        <v>1</v>
      </c>
      <c r="L487" s="127"/>
      <c r="M487" s="128"/>
      <c r="N487" s="128"/>
      <c r="O487" s="128"/>
      <c r="P487" s="128"/>
      <c r="Q487" s="129"/>
    </row>
    <row r="488" spans="1:18" ht="14" x14ac:dyDescent="0.15">
      <c r="A488" s="795" t="s">
        <v>149</v>
      </c>
      <c r="B488" s="817"/>
      <c r="C488" s="817"/>
      <c r="D488" s="817"/>
      <c r="E488" s="817"/>
      <c r="F488" s="817"/>
      <c r="G488" s="817"/>
      <c r="H488" s="817"/>
      <c r="I488" s="817"/>
      <c r="J488" s="796"/>
      <c r="K488" s="416">
        <f>SUM(K487:K487)</f>
        <v>1</v>
      </c>
      <c r="L488" s="134"/>
      <c r="M488" s="135"/>
      <c r="N488" s="135"/>
      <c r="O488" s="135"/>
      <c r="P488" s="135"/>
      <c r="Q488" s="136"/>
    </row>
    <row r="489" spans="1:18" x14ac:dyDescent="0.15">
      <c r="A489" s="790"/>
      <c r="B489" s="791"/>
      <c r="C489" s="791"/>
      <c r="D489" s="791"/>
      <c r="E489" s="791"/>
      <c r="F489" s="791"/>
      <c r="G489" s="791"/>
      <c r="H489" s="791"/>
      <c r="I489" s="791"/>
      <c r="J489" s="791"/>
      <c r="K489" s="791"/>
      <c r="L489" s="791"/>
      <c r="M489" s="791"/>
      <c r="N489" s="791"/>
      <c r="O489" s="791"/>
      <c r="P489" s="791"/>
      <c r="Q489" s="792"/>
    </row>
    <row r="490" spans="1:18" s="121" customFormat="1" ht="18" customHeight="1" x14ac:dyDescent="0.15">
      <c r="A490" s="218" t="s">
        <v>0</v>
      </c>
      <c r="B490" s="841" t="s">
        <v>1066</v>
      </c>
      <c r="C490" s="842"/>
      <c r="D490" s="842"/>
      <c r="E490" s="842"/>
      <c r="F490" s="842"/>
      <c r="G490" s="842"/>
      <c r="H490" s="842"/>
      <c r="I490" s="842"/>
      <c r="J490" s="842"/>
      <c r="K490" s="842"/>
      <c r="L490" s="842"/>
      <c r="M490" s="842"/>
      <c r="N490" s="842"/>
      <c r="O490" s="216" t="s">
        <v>73</v>
      </c>
      <c r="P490" s="795" t="s">
        <v>19</v>
      </c>
      <c r="Q490" s="796"/>
    </row>
    <row r="491" spans="1:18" x14ac:dyDescent="0.15">
      <c r="A491" s="790"/>
      <c r="B491" s="791"/>
      <c r="C491" s="791"/>
      <c r="D491" s="791"/>
      <c r="E491" s="791"/>
      <c r="F491" s="791"/>
      <c r="G491" s="791"/>
      <c r="H491" s="791"/>
      <c r="I491" s="791"/>
      <c r="J491" s="791"/>
      <c r="K491" s="791"/>
      <c r="L491" s="791"/>
      <c r="M491" s="791"/>
      <c r="N491" s="791"/>
      <c r="O491" s="791"/>
      <c r="P491" s="791"/>
      <c r="Q491" s="792"/>
    </row>
    <row r="492" spans="1:18" s="126" customFormat="1" x14ac:dyDescent="0.15">
      <c r="A492" s="822" t="s">
        <v>150</v>
      </c>
      <c r="B492" s="823" t="s">
        <v>151</v>
      </c>
      <c r="C492" s="823"/>
      <c r="D492" s="802" t="s">
        <v>165</v>
      </c>
      <c r="E492" s="823" t="s">
        <v>152</v>
      </c>
      <c r="F492" s="823"/>
      <c r="G492" s="823"/>
      <c r="H492" s="802" t="s">
        <v>153</v>
      </c>
      <c r="I492" s="802" t="s">
        <v>479</v>
      </c>
      <c r="J492" s="804" t="s">
        <v>73</v>
      </c>
      <c r="K492" s="216" t="s">
        <v>154</v>
      </c>
      <c r="L492" s="123"/>
      <c r="M492" s="124"/>
      <c r="N492" s="124"/>
      <c r="O492" s="124"/>
      <c r="P492" s="124"/>
      <c r="Q492" s="125"/>
    </row>
    <row r="493" spans="1:18" s="130" customFormat="1" x14ac:dyDescent="0.15">
      <c r="A493" s="822"/>
      <c r="B493" s="823"/>
      <c r="C493" s="823"/>
      <c r="D493" s="803"/>
      <c r="E493" s="217" t="s">
        <v>155</v>
      </c>
      <c r="F493" s="217" t="s">
        <v>156</v>
      </c>
      <c r="G493" s="217" t="s">
        <v>157</v>
      </c>
      <c r="H493" s="803"/>
      <c r="I493" s="803"/>
      <c r="J493" s="805"/>
      <c r="K493" s="216" t="s">
        <v>158</v>
      </c>
      <c r="L493" s="127"/>
      <c r="M493" s="128"/>
      <c r="N493" s="128"/>
      <c r="O493" s="128"/>
      <c r="P493" s="128"/>
      <c r="Q493" s="129"/>
    </row>
    <row r="494" spans="1:18" ht="27.75" customHeight="1" x14ac:dyDescent="0.15">
      <c r="A494" s="148"/>
      <c r="B494" s="788" t="s">
        <v>1028</v>
      </c>
      <c r="C494" s="789"/>
      <c r="D494" s="143" t="s">
        <v>19</v>
      </c>
      <c r="E494" s="143">
        <v>0</v>
      </c>
      <c r="F494" s="143">
        <v>0</v>
      </c>
      <c r="G494" s="143">
        <v>0</v>
      </c>
      <c r="H494" s="143">
        <v>1</v>
      </c>
      <c r="I494" s="143">
        <v>1</v>
      </c>
      <c r="J494" s="133" t="s">
        <v>19</v>
      </c>
      <c r="K494" s="143">
        <f>I494*H494</f>
        <v>1</v>
      </c>
      <c r="L494" s="127"/>
      <c r="M494" s="128"/>
      <c r="N494" s="128"/>
      <c r="O494" s="128"/>
      <c r="P494" s="128"/>
      <c r="Q494" s="129"/>
    </row>
    <row r="495" spans="1:18" ht="14" x14ac:dyDescent="0.15">
      <c r="A495" s="795" t="s">
        <v>149</v>
      </c>
      <c r="B495" s="817"/>
      <c r="C495" s="817"/>
      <c r="D495" s="817"/>
      <c r="E495" s="817"/>
      <c r="F495" s="817"/>
      <c r="G495" s="817"/>
      <c r="H495" s="817"/>
      <c r="I495" s="817"/>
      <c r="J495" s="796"/>
      <c r="K495" s="416">
        <f>SUM(K494:K494)</f>
        <v>1</v>
      </c>
      <c r="L495" s="134"/>
      <c r="M495" s="135"/>
      <c r="N495" s="135"/>
      <c r="O495" s="135"/>
      <c r="P495" s="135"/>
      <c r="Q495" s="136"/>
    </row>
    <row r="496" spans="1:18" s="140" customFormat="1" x14ac:dyDescent="0.15">
      <c r="A496" s="855"/>
      <c r="B496" s="855"/>
      <c r="C496" s="855"/>
      <c r="D496" s="855"/>
      <c r="E496" s="855"/>
      <c r="F496" s="855"/>
      <c r="G496" s="855"/>
      <c r="H496" s="855"/>
      <c r="I496" s="855"/>
      <c r="J496" s="855"/>
      <c r="K496" s="855"/>
      <c r="L496" s="855"/>
      <c r="M496" s="855"/>
      <c r="N496" s="855"/>
      <c r="O496" s="855"/>
      <c r="P496" s="855"/>
      <c r="Q496" s="855"/>
      <c r="R496" s="120"/>
    </row>
    <row r="497" spans="1:18" s="140" customFormat="1" x14ac:dyDescent="0.15">
      <c r="A497" s="178"/>
      <c r="B497" s="178"/>
      <c r="C497" s="137"/>
      <c r="D497" s="137"/>
      <c r="E497" s="138"/>
      <c r="F497" s="139"/>
      <c r="J497" s="141"/>
      <c r="K497" s="138"/>
      <c r="L497" s="142"/>
      <c r="M497" s="142"/>
      <c r="N497" s="142"/>
      <c r="O497" s="142"/>
      <c r="P497" s="138"/>
      <c r="Q497" s="120"/>
      <c r="R497" s="120"/>
    </row>
    <row r="498" spans="1:18" x14ac:dyDescent="0.15">
      <c r="I498" s="120"/>
      <c r="J498" s="120"/>
    </row>
    <row r="499" spans="1:18" x14ac:dyDescent="0.15">
      <c r="I499" s="120"/>
      <c r="J499" s="120"/>
    </row>
    <row r="500" spans="1:18" x14ac:dyDescent="0.15">
      <c r="I500" s="120"/>
      <c r="J500" s="120"/>
    </row>
    <row r="501" spans="1:18" ht="14" x14ac:dyDescent="0.15">
      <c r="B501" s="102"/>
      <c r="I501" s="120"/>
      <c r="J501" s="120"/>
    </row>
    <row r="502" spans="1:18" ht="14" x14ac:dyDescent="0.15">
      <c r="B502" s="83"/>
      <c r="I502" s="120"/>
      <c r="J502" s="120"/>
    </row>
    <row r="503" spans="1:18" ht="18" x14ac:dyDescent="0.2">
      <c r="C503" s="150"/>
      <c r="D503" s="151"/>
      <c r="E503" s="150"/>
      <c r="I503" s="120"/>
      <c r="J503" s="120"/>
    </row>
    <row r="504" spans="1:18" ht="18" x14ac:dyDescent="0.2">
      <c r="C504" s="152"/>
      <c r="D504" s="153"/>
      <c r="E504" s="152"/>
      <c r="I504" s="120"/>
      <c r="J504" s="120"/>
    </row>
    <row r="505" spans="1:18" ht="18" x14ac:dyDescent="0.2">
      <c r="B505" s="83"/>
      <c r="C505" s="154"/>
      <c r="D505" s="154"/>
      <c r="E505" s="154"/>
      <c r="I505" s="120"/>
      <c r="J505" s="120"/>
    </row>
    <row r="506" spans="1:18" x14ac:dyDescent="0.15">
      <c r="I506" s="120"/>
      <c r="J506" s="120"/>
    </row>
    <row r="507" spans="1:18" x14ac:dyDescent="0.15">
      <c r="I507" s="120"/>
      <c r="J507" s="120"/>
    </row>
    <row r="508" spans="1:18" x14ac:dyDescent="0.15">
      <c r="I508" s="120"/>
      <c r="J508" s="120"/>
    </row>
    <row r="509" spans="1:18" x14ac:dyDescent="0.15">
      <c r="I509" s="120"/>
      <c r="J509" s="120"/>
    </row>
    <row r="510" spans="1:18" x14ac:dyDescent="0.15">
      <c r="I510" s="120"/>
      <c r="J510" s="120"/>
    </row>
    <row r="511" spans="1:18" x14ac:dyDescent="0.15">
      <c r="I511" s="120"/>
      <c r="J511" s="120"/>
    </row>
    <row r="512" spans="1:18" x14ac:dyDescent="0.15">
      <c r="I512" s="120"/>
      <c r="J512" s="120"/>
    </row>
    <row r="513" s="120" customFormat="1" x14ac:dyDescent="0.15"/>
    <row r="514" s="120" customFormat="1" x14ac:dyDescent="0.15"/>
    <row r="515" s="120" customFormat="1" x14ac:dyDescent="0.15"/>
    <row r="516" s="120" customFormat="1" x14ac:dyDescent="0.15"/>
    <row r="517" s="120" customFormat="1" x14ac:dyDescent="0.15"/>
    <row r="518" s="120" customFormat="1" x14ac:dyDescent="0.15"/>
    <row r="519" s="120" customFormat="1" x14ac:dyDescent="0.15"/>
    <row r="520" s="120" customFormat="1" x14ac:dyDescent="0.15"/>
    <row r="521" s="120" customFormat="1" x14ac:dyDescent="0.15"/>
    <row r="522" s="120" customFormat="1" x14ac:dyDescent="0.15"/>
    <row r="523" s="120" customFormat="1" x14ac:dyDescent="0.15"/>
    <row r="524" s="120" customFormat="1" x14ac:dyDescent="0.15"/>
    <row r="525" s="120" customFormat="1" x14ac:dyDescent="0.15"/>
    <row r="526" s="120" customFormat="1" x14ac:dyDescent="0.15"/>
    <row r="527" s="120" customFormat="1" x14ac:dyDescent="0.15"/>
    <row r="528" s="120" customFormat="1" x14ac:dyDescent="0.15"/>
    <row r="529" s="120" customFormat="1" x14ac:dyDescent="0.15"/>
    <row r="530" s="120" customFormat="1" x14ac:dyDescent="0.15"/>
    <row r="531" s="120" customFormat="1" x14ac:dyDescent="0.15"/>
    <row r="532" s="120" customFormat="1" x14ac:dyDescent="0.15"/>
    <row r="533" s="120" customFormat="1" x14ac:dyDescent="0.15"/>
    <row r="534" s="120" customFormat="1" x14ac:dyDescent="0.15"/>
    <row r="535" s="120" customFormat="1" x14ac:dyDescent="0.15"/>
    <row r="536" s="120" customFormat="1" x14ac:dyDescent="0.15"/>
    <row r="537" s="120" customFormat="1" x14ac:dyDescent="0.15"/>
    <row r="538" s="120" customFormat="1" x14ac:dyDescent="0.15"/>
    <row r="539" s="120" customFormat="1" x14ac:dyDescent="0.15"/>
    <row r="540" s="120" customFormat="1" x14ac:dyDescent="0.15"/>
    <row r="541" s="120" customFormat="1" x14ac:dyDescent="0.15"/>
    <row r="542" s="120" customFormat="1" x14ac:dyDescent="0.15"/>
    <row r="543" s="120" customFormat="1" x14ac:dyDescent="0.15"/>
    <row r="544" s="120" customFormat="1" x14ac:dyDescent="0.15"/>
    <row r="545" s="120" customFormat="1" x14ac:dyDescent="0.15"/>
    <row r="546" s="120" customFormat="1" x14ac:dyDescent="0.15"/>
    <row r="547" s="120" customFormat="1" x14ac:dyDescent="0.15"/>
    <row r="548" s="120" customFormat="1" x14ac:dyDescent="0.15"/>
    <row r="549" s="120" customFormat="1" x14ac:dyDescent="0.15"/>
    <row r="550" s="120" customFormat="1" x14ac:dyDescent="0.15"/>
    <row r="551" s="120" customFormat="1" x14ac:dyDescent="0.15"/>
    <row r="552" s="120" customFormat="1" x14ac:dyDescent="0.15"/>
    <row r="553" s="120" customFormat="1" x14ac:dyDescent="0.15"/>
    <row r="554" s="120" customFormat="1" x14ac:dyDescent="0.15"/>
    <row r="555" s="120" customFormat="1" x14ac:dyDescent="0.15"/>
    <row r="556" s="120" customFormat="1" x14ac:dyDescent="0.15"/>
    <row r="557" s="120" customFormat="1" x14ac:dyDescent="0.15"/>
    <row r="558" s="120" customFormat="1" x14ac:dyDescent="0.15"/>
    <row r="559" s="120" customFormat="1" x14ac:dyDescent="0.15"/>
    <row r="560" s="120" customFormat="1" x14ac:dyDescent="0.15"/>
    <row r="561" s="120" customFormat="1" x14ac:dyDescent="0.15"/>
    <row r="562" s="120" customFormat="1" x14ac:dyDescent="0.15"/>
    <row r="563" s="120" customFormat="1" x14ac:dyDescent="0.15"/>
    <row r="564" s="120" customFormat="1" x14ac:dyDescent="0.15"/>
    <row r="565" s="120" customFormat="1" x14ac:dyDescent="0.15"/>
    <row r="566" s="120" customFormat="1" x14ac:dyDescent="0.15"/>
    <row r="567" s="120" customFormat="1" x14ac:dyDescent="0.15"/>
    <row r="568" s="120" customFormat="1" x14ac:dyDescent="0.15"/>
    <row r="569" s="120" customFormat="1" x14ac:dyDescent="0.15"/>
    <row r="570" s="120" customFormat="1" x14ac:dyDescent="0.15"/>
    <row r="571" s="120" customFormat="1" x14ac:dyDescent="0.15"/>
    <row r="572" s="120" customFormat="1" x14ac:dyDescent="0.15"/>
    <row r="573" s="120" customFormat="1" x14ac:dyDescent="0.15"/>
    <row r="574" s="120" customFormat="1" x14ac:dyDescent="0.15"/>
    <row r="575" s="120" customFormat="1" x14ac:dyDescent="0.15"/>
    <row r="576" s="120" customFormat="1" x14ac:dyDescent="0.15"/>
    <row r="577" s="120" customFormat="1" x14ac:dyDescent="0.15"/>
    <row r="578" s="120" customFormat="1" x14ac:dyDescent="0.15"/>
    <row r="579" s="120" customFormat="1" x14ac:dyDescent="0.15"/>
    <row r="580" s="120" customFormat="1" x14ac:dyDescent="0.15"/>
    <row r="581" s="120" customFormat="1" x14ac:dyDescent="0.15"/>
    <row r="582" s="120" customFormat="1" x14ac:dyDescent="0.15"/>
    <row r="583" s="120" customFormat="1" x14ac:dyDescent="0.15"/>
    <row r="584" s="120" customFormat="1" x14ac:dyDescent="0.15"/>
    <row r="585" s="120" customFormat="1" x14ac:dyDescent="0.15"/>
    <row r="586" s="120" customFormat="1" x14ac:dyDescent="0.15"/>
    <row r="587" s="120" customFormat="1" x14ac:dyDescent="0.15"/>
    <row r="588" s="120" customFormat="1" x14ac:dyDescent="0.15"/>
    <row r="589" s="120" customFormat="1" x14ac:dyDescent="0.15"/>
    <row r="590" s="120" customFormat="1" x14ac:dyDescent="0.15"/>
    <row r="591" s="120" customFormat="1" x14ac:dyDescent="0.15"/>
    <row r="592" s="120" customFormat="1" x14ac:dyDescent="0.15"/>
    <row r="593" s="120" customFormat="1" x14ac:dyDescent="0.15"/>
    <row r="594" s="120" customFormat="1" x14ac:dyDescent="0.15"/>
    <row r="595" s="120" customFormat="1" x14ac:dyDescent="0.15"/>
    <row r="596" s="120" customFormat="1" x14ac:dyDescent="0.15"/>
    <row r="597" s="120" customFormat="1" x14ac:dyDescent="0.15"/>
    <row r="598" s="120" customFormat="1" x14ac:dyDescent="0.15"/>
    <row r="599" s="120" customFormat="1" x14ac:dyDescent="0.15"/>
    <row r="600" s="120" customFormat="1" x14ac:dyDescent="0.15"/>
    <row r="601" s="120" customFormat="1" x14ac:dyDescent="0.15"/>
    <row r="602" s="120" customFormat="1" x14ac:dyDescent="0.15"/>
    <row r="603" s="120" customFormat="1" x14ac:dyDescent="0.15"/>
    <row r="604" s="120" customFormat="1" x14ac:dyDescent="0.15"/>
    <row r="605" s="120" customFormat="1" x14ac:dyDescent="0.15"/>
    <row r="606" s="120" customFormat="1" x14ac:dyDescent="0.15"/>
    <row r="607" s="120" customFormat="1" x14ac:dyDescent="0.15"/>
    <row r="608" s="120" customFormat="1" x14ac:dyDescent="0.15"/>
    <row r="609" s="120" customFormat="1" x14ac:dyDescent="0.15"/>
    <row r="610" s="120" customFormat="1" x14ac:dyDescent="0.15"/>
    <row r="611" s="120" customFormat="1" x14ac:dyDescent="0.15"/>
    <row r="612" s="120" customFormat="1" x14ac:dyDescent="0.15"/>
    <row r="613" s="120" customFormat="1" x14ac:dyDescent="0.15"/>
    <row r="614" s="120" customFormat="1" x14ac:dyDescent="0.15"/>
    <row r="615" s="120" customFormat="1" x14ac:dyDescent="0.15"/>
    <row r="616" s="120" customFormat="1" x14ac:dyDescent="0.15"/>
    <row r="617" s="120" customFormat="1" x14ac:dyDescent="0.15"/>
    <row r="618" s="120" customFormat="1" x14ac:dyDescent="0.15"/>
    <row r="619" s="120" customFormat="1" x14ac:dyDescent="0.15"/>
    <row r="620" s="120" customFormat="1" x14ac:dyDescent="0.15"/>
    <row r="621" s="120" customFormat="1" x14ac:dyDescent="0.15"/>
    <row r="622" s="120" customFormat="1" x14ac:dyDescent="0.15"/>
    <row r="623" s="120" customFormat="1" x14ac:dyDescent="0.15"/>
    <row r="624" s="120" customFormat="1" x14ac:dyDescent="0.15"/>
    <row r="625" s="120" customFormat="1" x14ac:dyDescent="0.15"/>
    <row r="626" s="120" customFormat="1" x14ac:dyDescent="0.15"/>
    <row r="627" s="120" customFormat="1" x14ac:dyDescent="0.15"/>
    <row r="628" s="120" customFormat="1" x14ac:dyDescent="0.15"/>
    <row r="629" s="120" customFormat="1" x14ac:dyDescent="0.15"/>
    <row r="630" s="120" customFormat="1" x14ac:dyDescent="0.15"/>
    <row r="631" s="120" customFormat="1" x14ac:dyDescent="0.15"/>
    <row r="632" s="120" customFormat="1" x14ac:dyDescent="0.15"/>
    <row r="633" s="120" customFormat="1" x14ac:dyDescent="0.15"/>
    <row r="634" s="120" customFormat="1" x14ac:dyDescent="0.15"/>
    <row r="635" s="120" customFormat="1" x14ac:dyDescent="0.15"/>
    <row r="636" s="120" customFormat="1" x14ac:dyDescent="0.15"/>
    <row r="637" s="120" customFormat="1" x14ac:dyDescent="0.15"/>
    <row r="638" s="120" customFormat="1" x14ac:dyDescent="0.15"/>
    <row r="639" s="120" customFormat="1" x14ac:dyDescent="0.15"/>
    <row r="640" s="120" customFormat="1" x14ac:dyDescent="0.15"/>
    <row r="641" s="120" customFormat="1" x14ac:dyDescent="0.15"/>
    <row r="642" s="120" customFormat="1" x14ac:dyDescent="0.15"/>
    <row r="643" s="120" customFormat="1" x14ac:dyDescent="0.15"/>
    <row r="644" s="120" customFormat="1" x14ac:dyDescent="0.15"/>
    <row r="645" s="120" customFormat="1" x14ac:dyDescent="0.15"/>
    <row r="646" s="120" customFormat="1" x14ac:dyDescent="0.15"/>
    <row r="647" s="120" customFormat="1" x14ac:dyDescent="0.15"/>
    <row r="648" s="120" customFormat="1" x14ac:dyDescent="0.15"/>
    <row r="649" s="120" customFormat="1" x14ac:dyDescent="0.15"/>
    <row r="650" s="120" customFormat="1" x14ac:dyDescent="0.15"/>
    <row r="651" s="120" customFormat="1" x14ac:dyDescent="0.15"/>
    <row r="652" s="120" customFormat="1" x14ac:dyDescent="0.15"/>
    <row r="653" s="120" customFormat="1" x14ac:dyDescent="0.15"/>
    <row r="654" s="120" customFormat="1" x14ac:dyDescent="0.15"/>
    <row r="655" s="120" customFormat="1" x14ac:dyDescent="0.15"/>
    <row r="656" s="120" customFormat="1" x14ac:dyDescent="0.15"/>
    <row r="657" s="120" customFormat="1" x14ac:dyDescent="0.15"/>
    <row r="658" s="120" customFormat="1" x14ac:dyDescent="0.15"/>
    <row r="659" s="120" customFormat="1" x14ac:dyDescent="0.15"/>
    <row r="660" s="120" customFormat="1" x14ac:dyDescent="0.15"/>
    <row r="661" s="120" customFormat="1" x14ac:dyDescent="0.15"/>
    <row r="662" s="120" customFormat="1" x14ac:dyDescent="0.15"/>
    <row r="663" s="120" customFormat="1" x14ac:dyDescent="0.15"/>
    <row r="664" s="120" customFormat="1" x14ac:dyDescent="0.15"/>
    <row r="665" s="120" customFormat="1" x14ac:dyDescent="0.15"/>
    <row r="666" s="120" customFormat="1" x14ac:dyDescent="0.15"/>
    <row r="667" s="120" customFormat="1" x14ac:dyDescent="0.15"/>
    <row r="668" s="120" customFormat="1" x14ac:dyDescent="0.15"/>
    <row r="669" s="120" customFormat="1" x14ac:dyDescent="0.15"/>
    <row r="670" s="120" customFormat="1" x14ac:dyDescent="0.15"/>
    <row r="671" s="120" customFormat="1" x14ac:dyDescent="0.15"/>
    <row r="672" s="120" customFormat="1" x14ac:dyDescent="0.15"/>
    <row r="673" s="120" customFormat="1" x14ac:dyDescent="0.15"/>
    <row r="674" s="120" customFormat="1" x14ac:dyDescent="0.15"/>
    <row r="675" s="120" customFormat="1" x14ac:dyDescent="0.15"/>
    <row r="676" s="120" customFormat="1" x14ac:dyDescent="0.15"/>
    <row r="677" s="120" customFormat="1" x14ac:dyDescent="0.15"/>
    <row r="678" s="120" customFormat="1" x14ac:dyDescent="0.15"/>
    <row r="679" s="120" customFormat="1" x14ac:dyDescent="0.15"/>
    <row r="680" s="120" customFormat="1" x14ac:dyDescent="0.15"/>
    <row r="681" s="120" customFormat="1" x14ac:dyDescent="0.15"/>
    <row r="682" s="120" customFormat="1" x14ac:dyDescent="0.15"/>
    <row r="683" s="120" customFormat="1" x14ac:dyDescent="0.15"/>
    <row r="684" s="120" customFormat="1" x14ac:dyDescent="0.15"/>
    <row r="685" s="120" customFormat="1" x14ac:dyDescent="0.15"/>
    <row r="686" s="120" customFormat="1" x14ac:dyDescent="0.15"/>
    <row r="687" s="120" customFormat="1" x14ac:dyDescent="0.15"/>
    <row r="688" s="120" customFormat="1" x14ac:dyDescent="0.15"/>
    <row r="689" s="120" customFormat="1" x14ac:dyDescent="0.15"/>
    <row r="690" s="120" customFormat="1" x14ac:dyDescent="0.15"/>
    <row r="691" s="120" customFormat="1" x14ac:dyDescent="0.15"/>
    <row r="692" s="120" customFormat="1" x14ac:dyDescent="0.15"/>
    <row r="693" s="120" customFormat="1" x14ac:dyDescent="0.15"/>
    <row r="694" s="120" customFormat="1" x14ac:dyDescent="0.15"/>
    <row r="695" s="120" customFormat="1" x14ac:dyDescent="0.15"/>
    <row r="696" s="120" customFormat="1" x14ac:dyDescent="0.15"/>
    <row r="697" s="120" customFormat="1" x14ac:dyDescent="0.15"/>
    <row r="698" s="120" customFormat="1" x14ac:dyDescent="0.15"/>
    <row r="699" s="120" customFormat="1" x14ac:dyDescent="0.15"/>
    <row r="700" s="120" customFormat="1" x14ac:dyDescent="0.15"/>
    <row r="701" s="120" customFormat="1" x14ac:dyDescent="0.15"/>
    <row r="702" s="120" customFormat="1" x14ac:dyDescent="0.15"/>
    <row r="703" s="120" customFormat="1" x14ac:dyDescent="0.15"/>
    <row r="704" s="120" customFormat="1" x14ac:dyDescent="0.15"/>
    <row r="705" s="120" customFormat="1" x14ac:dyDescent="0.15"/>
    <row r="706" s="120" customFormat="1" x14ac:dyDescent="0.15"/>
    <row r="707" s="120" customFormat="1" x14ac:dyDescent="0.15"/>
    <row r="708" s="120" customFormat="1" x14ac:dyDescent="0.15"/>
    <row r="709" s="120" customFormat="1" x14ac:dyDescent="0.15"/>
    <row r="710" s="120" customFormat="1" x14ac:dyDescent="0.15"/>
    <row r="711" s="120" customFormat="1" x14ac:dyDescent="0.15"/>
    <row r="712" s="120" customFormat="1" x14ac:dyDescent="0.15"/>
    <row r="713" s="120" customFormat="1" x14ac:dyDescent="0.15"/>
    <row r="714" s="120" customFormat="1" x14ac:dyDescent="0.15"/>
    <row r="715" s="120" customFormat="1" x14ac:dyDescent="0.15"/>
    <row r="716" s="120" customFormat="1" x14ac:dyDescent="0.15"/>
    <row r="717" s="120" customFormat="1" x14ac:dyDescent="0.15"/>
    <row r="718" s="120" customFormat="1" x14ac:dyDescent="0.15"/>
    <row r="719" s="120" customFormat="1" x14ac:dyDescent="0.15"/>
    <row r="720" s="120" customFormat="1" x14ac:dyDescent="0.15"/>
    <row r="721" s="120" customFormat="1" x14ac:dyDescent="0.15"/>
    <row r="722" s="120" customFormat="1" x14ac:dyDescent="0.15"/>
    <row r="723" s="120" customFormat="1" x14ac:dyDescent="0.15"/>
    <row r="724" s="120" customFormat="1" x14ac:dyDescent="0.15"/>
    <row r="725" s="120" customFormat="1" x14ac:dyDescent="0.15"/>
    <row r="726" s="120" customFormat="1" x14ac:dyDescent="0.15"/>
    <row r="727" s="120" customFormat="1" x14ac:dyDescent="0.15"/>
    <row r="728" s="120" customFormat="1" x14ac:dyDescent="0.15"/>
    <row r="729" s="120" customFormat="1" x14ac:dyDescent="0.15"/>
    <row r="730" s="120" customFormat="1" x14ac:dyDescent="0.15"/>
    <row r="731" s="120" customFormat="1" x14ac:dyDescent="0.15"/>
    <row r="732" s="120" customFormat="1" x14ac:dyDescent="0.15"/>
    <row r="733" s="120" customFormat="1" x14ac:dyDescent="0.15"/>
    <row r="734" s="120" customFormat="1" x14ac:dyDescent="0.15"/>
    <row r="735" s="120" customFormat="1" x14ac:dyDescent="0.15"/>
    <row r="736" s="120" customFormat="1" x14ac:dyDescent="0.15"/>
    <row r="737" s="120" customFormat="1" x14ac:dyDescent="0.15"/>
    <row r="738" s="120" customFormat="1" x14ac:dyDescent="0.15"/>
    <row r="739" s="120" customFormat="1" x14ac:dyDescent="0.15"/>
    <row r="740" s="120" customFormat="1" x14ac:dyDescent="0.15"/>
    <row r="741" s="120" customFormat="1" x14ac:dyDescent="0.15"/>
    <row r="742" s="120" customFormat="1" x14ac:dyDescent="0.15"/>
    <row r="743" s="120" customFormat="1" x14ac:dyDescent="0.15"/>
    <row r="744" s="120" customFormat="1" x14ac:dyDescent="0.15"/>
    <row r="745" s="120" customFormat="1" x14ac:dyDescent="0.15"/>
    <row r="746" s="120" customFormat="1" x14ac:dyDescent="0.15"/>
    <row r="747" s="120" customFormat="1" x14ac:dyDescent="0.15"/>
    <row r="748" s="120" customFormat="1" x14ac:dyDescent="0.15"/>
    <row r="749" s="120" customFormat="1" x14ac:dyDescent="0.15"/>
    <row r="750" s="120" customFormat="1" x14ac:dyDescent="0.15"/>
    <row r="751" s="120" customFormat="1" x14ac:dyDescent="0.15"/>
    <row r="752" s="120" customFormat="1" x14ac:dyDescent="0.15"/>
    <row r="753" s="120" customFormat="1" x14ac:dyDescent="0.15"/>
    <row r="754" s="120" customFormat="1" x14ac:dyDescent="0.15"/>
    <row r="755" s="120" customFormat="1" x14ac:dyDescent="0.15"/>
    <row r="756" s="120" customFormat="1" x14ac:dyDescent="0.15"/>
    <row r="757" s="120" customFormat="1" x14ac:dyDescent="0.15"/>
    <row r="758" s="120" customFormat="1" x14ac:dyDescent="0.15"/>
    <row r="759" s="120" customFormat="1" x14ac:dyDescent="0.15"/>
    <row r="760" s="120" customFormat="1" x14ac:dyDescent="0.15"/>
    <row r="761" s="120" customFormat="1" x14ac:dyDescent="0.15"/>
    <row r="762" s="120" customFormat="1" x14ac:dyDescent="0.15"/>
    <row r="763" s="120" customFormat="1" x14ac:dyDescent="0.15"/>
    <row r="764" s="120" customFormat="1" x14ac:dyDescent="0.15"/>
    <row r="765" s="120" customFormat="1" x14ac:dyDescent="0.15"/>
    <row r="766" s="120" customFormat="1" x14ac:dyDescent="0.15"/>
    <row r="767" s="120" customFormat="1" x14ac:dyDescent="0.15"/>
    <row r="768" s="120" customFormat="1" x14ac:dyDescent="0.15"/>
    <row r="769" s="120" customFormat="1" x14ac:dyDescent="0.15"/>
    <row r="770" s="120" customFormat="1" x14ac:dyDescent="0.15"/>
    <row r="771" s="120" customFormat="1" x14ac:dyDescent="0.15"/>
    <row r="772" s="120" customFormat="1" x14ac:dyDescent="0.15"/>
    <row r="773" s="120" customFormat="1" x14ac:dyDescent="0.15"/>
    <row r="774" s="120" customFormat="1" x14ac:dyDescent="0.15"/>
    <row r="775" s="120" customFormat="1" x14ac:dyDescent="0.15"/>
    <row r="776" s="120" customFormat="1" x14ac:dyDescent="0.15"/>
    <row r="777" s="120" customFormat="1" x14ac:dyDescent="0.15"/>
    <row r="778" s="120" customFormat="1" x14ac:dyDescent="0.15"/>
    <row r="779" s="120" customFormat="1" x14ac:dyDescent="0.15"/>
    <row r="780" s="120" customFormat="1" x14ac:dyDescent="0.15"/>
    <row r="781" s="120" customFormat="1" x14ac:dyDescent="0.15"/>
    <row r="782" s="120" customFormat="1" x14ac:dyDescent="0.15"/>
    <row r="783" s="120" customFormat="1" x14ac:dyDescent="0.15"/>
    <row r="784" s="120" customFormat="1" x14ac:dyDescent="0.15"/>
    <row r="785" s="120" customFormat="1" x14ac:dyDescent="0.15"/>
    <row r="786" s="120" customFormat="1" x14ac:dyDescent="0.15"/>
    <row r="787" s="120" customFormat="1" x14ac:dyDescent="0.15"/>
    <row r="788" s="120" customFormat="1" x14ac:dyDescent="0.15"/>
    <row r="789" s="120" customFormat="1" x14ac:dyDescent="0.15"/>
    <row r="790" s="120" customFormat="1" x14ac:dyDescent="0.15"/>
    <row r="791" s="120" customFormat="1" x14ac:dyDescent="0.15"/>
    <row r="792" s="120" customFormat="1" x14ac:dyDescent="0.15"/>
    <row r="793" s="120" customFormat="1" x14ac:dyDescent="0.15"/>
    <row r="794" s="120" customFormat="1" x14ac:dyDescent="0.15"/>
    <row r="795" s="120" customFormat="1" x14ac:dyDescent="0.15"/>
    <row r="796" s="120" customFormat="1" x14ac:dyDescent="0.15"/>
    <row r="797" s="120" customFormat="1" x14ac:dyDescent="0.15"/>
    <row r="798" s="120" customFormat="1" x14ac:dyDescent="0.15"/>
    <row r="799" s="120" customFormat="1" x14ac:dyDescent="0.15"/>
    <row r="800" s="120" customFormat="1" x14ac:dyDescent="0.15"/>
    <row r="801" s="120" customFormat="1" x14ac:dyDescent="0.15"/>
    <row r="802" s="120" customFormat="1" x14ac:dyDescent="0.15"/>
    <row r="803" s="120" customFormat="1" x14ac:dyDescent="0.15"/>
    <row r="804" s="120" customFormat="1" x14ac:dyDescent="0.15"/>
    <row r="805" s="120" customFormat="1" x14ac:dyDescent="0.15"/>
    <row r="806" s="120" customFormat="1" x14ac:dyDescent="0.15"/>
    <row r="807" s="120" customFormat="1" x14ac:dyDescent="0.15"/>
    <row r="808" s="120" customFormat="1" x14ac:dyDescent="0.15"/>
    <row r="809" s="120" customFormat="1" x14ac:dyDescent="0.15"/>
    <row r="810" s="120" customFormat="1" x14ac:dyDescent="0.15"/>
    <row r="811" s="120" customFormat="1" x14ac:dyDescent="0.15"/>
    <row r="812" s="120" customFormat="1" x14ac:dyDescent="0.15"/>
    <row r="813" s="120" customFormat="1" x14ac:dyDescent="0.15"/>
    <row r="814" s="120" customFormat="1" x14ac:dyDescent="0.15"/>
    <row r="815" s="120" customFormat="1" x14ac:dyDescent="0.15"/>
    <row r="816" s="120" customFormat="1" x14ac:dyDescent="0.15"/>
    <row r="817" s="120" customFormat="1" x14ac:dyDescent="0.15"/>
    <row r="818" s="120" customFormat="1" x14ac:dyDescent="0.15"/>
    <row r="819" s="120" customFormat="1" x14ac:dyDescent="0.15"/>
    <row r="820" s="120" customFormat="1" x14ac:dyDescent="0.15"/>
    <row r="821" s="120" customFormat="1" x14ac:dyDescent="0.15"/>
    <row r="822" s="120" customFormat="1" x14ac:dyDescent="0.15"/>
    <row r="823" s="120" customFormat="1" x14ac:dyDescent="0.15"/>
    <row r="824" s="120" customFormat="1" x14ac:dyDescent="0.15"/>
    <row r="825" s="120" customFormat="1" x14ac:dyDescent="0.15"/>
    <row r="826" s="120" customFormat="1" x14ac:dyDescent="0.15"/>
    <row r="827" s="120" customFormat="1" x14ac:dyDescent="0.15"/>
    <row r="828" s="120" customFormat="1" x14ac:dyDescent="0.15"/>
    <row r="829" s="120" customFormat="1" x14ac:dyDescent="0.15"/>
    <row r="830" s="120" customFormat="1" x14ac:dyDescent="0.15"/>
    <row r="831" s="120" customFormat="1" x14ac:dyDescent="0.15"/>
    <row r="832" s="120" customFormat="1" x14ac:dyDescent="0.15"/>
    <row r="833" s="120" customFormat="1" x14ac:dyDescent="0.15"/>
    <row r="834" s="120" customFormat="1" x14ac:dyDescent="0.15"/>
    <row r="835" s="120" customFormat="1" x14ac:dyDescent="0.15"/>
    <row r="836" s="120" customFormat="1" x14ac:dyDescent="0.15"/>
    <row r="837" s="120" customFormat="1" x14ac:dyDescent="0.15"/>
    <row r="838" s="120" customFormat="1" x14ac:dyDescent="0.15"/>
    <row r="839" s="120" customFormat="1" x14ac:dyDescent="0.15"/>
    <row r="840" s="120" customFormat="1" x14ac:dyDescent="0.15"/>
    <row r="841" s="120" customFormat="1" x14ac:dyDescent="0.15"/>
    <row r="842" s="120" customFormat="1" x14ac:dyDescent="0.15"/>
    <row r="843" s="120" customFormat="1" x14ac:dyDescent="0.15"/>
    <row r="844" s="120" customFormat="1" x14ac:dyDescent="0.15"/>
    <row r="845" s="120" customFormat="1" x14ac:dyDescent="0.15"/>
    <row r="846" s="120" customFormat="1" x14ac:dyDescent="0.15"/>
    <row r="847" s="120" customFormat="1" x14ac:dyDescent="0.15"/>
    <row r="848" s="120" customFormat="1" x14ac:dyDescent="0.15"/>
    <row r="849" s="120" customFormat="1" x14ac:dyDescent="0.15"/>
    <row r="850" s="120" customFormat="1" x14ac:dyDescent="0.15"/>
    <row r="851" s="120" customFormat="1" x14ac:dyDescent="0.15"/>
    <row r="852" s="120" customFormat="1" x14ac:dyDescent="0.15"/>
    <row r="853" s="120" customFormat="1" x14ac:dyDescent="0.15"/>
    <row r="854" s="120" customFormat="1" x14ac:dyDescent="0.15"/>
    <row r="855" s="120" customFormat="1" x14ac:dyDescent="0.15"/>
    <row r="856" s="120" customFormat="1" x14ac:dyDescent="0.15"/>
    <row r="857" s="120" customFormat="1" x14ac:dyDescent="0.15"/>
    <row r="858" s="120" customFormat="1" x14ac:dyDescent="0.15"/>
    <row r="859" s="120" customFormat="1" x14ac:dyDescent="0.15"/>
    <row r="860" s="120" customFormat="1" x14ac:dyDescent="0.15"/>
    <row r="861" s="120" customFormat="1" x14ac:dyDescent="0.15"/>
    <row r="862" s="120" customFormat="1" x14ac:dyDescent="0.15"/>
    <row r="863" s="120" customFormat="1" x14ac:dyDescent="0.15"/>
    <row r="864" s="120" customFormat="1" x14ac:dyDescent="0.15"/>
    <row r="865" s="120" customFormat="1" x14ac:dyDescent="0.15"/>
    <row r="866" s="120" customFormat="1" x14ac:dyDescent="0.15"/>
    <row r="867" s="120" customFormat="1" x14ac:dyDescent="0.15"/>
    <row r="868" s="120" customFormat="1" x14ac:dyDescent="0.15"/>
    <row r="869" s="120" customFormat="1" x14ac:dyDescent="0.15"/>
    <row r="870" s="120" customFormat="1" x14ac:dyDescent="0.15"/>
    <row r="871" s="120" customFormat="1" x14ac:dyDescent="0.15"/>
    <row r="872" s="120" customFormat="1" x14ac:dyDescent="0.15"/>
    <row r="873" s="120" customFormat="1" x14ac:dyDescent="0.15"/>
    <row r="874" s="120" customFormat="1" x14ac:dyDescent="0.15"/>
    <row r="875" s="120" customFormat="1" x14ac:dyDescent="0.15"/>
    <row r="876" s="120" customFormat="1" x14ac:dyDescent="0.15"/>
    <row r="877" s="120" customFormat="1" x14ac:dyDescent="0.15"/>
    <row r="878" s="120" customFormat="1" x14ac:dyDescent="0.15"/>
    <row r="879" s="120" customFormat="1" x14ac:dyDescent="0.15"/>
    <row r="880" s="120" customFormat="1" x14ac:dyDescent="0.15"/>
    <row r="881" s="120" customFormat="1" x14ac:dyDescent="0.15"/>
    <row r="882" s="120" customFormat="1" x14ac:dyDescent="0.15"/>
    <row r="883" s="120" customFormat="1" x14ac:dyDescent="0.15"/>
    <row r="884" s="120" customFormat="1" x14ac:dyDescent="0.15"/>
    <row r="885" s="120" customFormat="1" x14ac:dyDescent="0.15"/>
    <row r="886" s="120" customFormat="1" x14ac:dyDescent="0.15"/>
    <row r="887" s="120" customFormat="1" x14ac:dyDescent="0.15"/>
    <row r="888" s="120" customFormat="1" x14ac:dyDescent="0.15"/>
    <row r="889" s="120" customFormat="1" x14ac:dyDescent="0.15"/>
    <row r="890" s="120" customFormat="1" x14ac:dyDescent="0.15"/>
    <row r="891" s="120" customFormat="1" x14ac:dyDescent="0.15"/>
    <row r="892" s="120" customFormat="1" x14ac:dyDescent="0.15"/>
    <row r="893" s="120" customFormat="1" x14ac:dyDescent="0.15"/>
    <row r="894" s="120" customFormat="1" x14ac:dyDescent="0.15"/>
    <row r="895" s="120" customFormat="1" x14ac:dyDescent="0.15"/>
    <row r="896" s="120" customFormat="1" x14ac:dyDescent="0.15"/>
    <row r="897" s="120" customFormat="1" x14ac:dyDescent="0.15"/>
    <row r="898" s="120" customFormat="1" x14ac:dyDescent="0.15"/>
    <row r="899" s="120" customFormat="1" x14ac:dyDescent="0.15"/>
    <row r="900" s="120" customFormat="1" x14ac:dyDescent="0.15"/>
    <row r="901" s="120" customFormat="1" x14ac:dyDescent="0.15"/>
    <row r="902" s="120" customFormat="1" x14ac:dyDescent="0.15"/>
    <row r="903" s="120" customFormat="1" x14ac:dyDescent="0.15"/>
    <row r="904" s="120" customFormat="1" x14ac:dyDescent="0.15"/>
    <row r="905" s="120" customFormat="1" x14ac:dyDescent="0.15"/>
    <row r="906" s="120" customFormat="1" x14ac:dyDescent="0.15"/>
    <row r="907" s="120" customFormat="1" x14ac:dyDescent="0.15"/>
    <row r="908" s="120" customFormat="1" x14ac:dyDescent="0.15"/>
    <row r="909" s="120" customFormat="1" x14ac:dyDescent="0.15"/>
    <row r="910" s="120" customFormat="1" x14ac:dyDescent="0.15"/>
    <row r="911" s="120" customFormat="1" x14ac:dyDescent="0.15"/>
    <row r="912" s="120" customFormat="1" x14ac:dyDescent="0.15"/>
    <row r="913" s="120" customFormat="1" x14ac:dyDescent="0.15"/>
    <row r="914" s="120" customFormat="1" x14ac:dyDescent="0.15"/>
    <row r="915" s="120" customFormat="1" x14ac:dyDescent="0.15"/>
    <row r="916" s="120" customFormat="1" x14ac:dyDescent="0.15"/>
    <row r="917" s="120" customFormat="1" x14ac:dyDescent="0.15"/>
    <row r="918" s="120" customFormat="1" x14ac:dyDescent="0.15"/>
    <row r="919" s="120" customFormat="1" x14ac:dyDescent="0.15"/>
    <row r="920" s="120" customFormat="1" x14ac:dyDescent="0.15"/>
    <row r="921" s="120" customFormat="1" x14ac:dyDescent="0.15"/>
    <row r="922" s="120" customFormat="1" x14ac:dyDescent="0.15"/>
    <row r="923" s="120" customFormat="1" x14ac:dyDescent="0.15"/>
    <row r="924" s="120" customFormat="1" x14ac:dyDescent="0.15"/>
    <row r="925" s="120" customFormat="1" x14ac:dyDescent="0.15"/>
    <row r="926" s="120" customFormat="1" x14ac:dyDescent="0.15"/>
    <row r="927" s="120" customFormat="1" x14ac:dyDescent="0.15"/>
    <row r="928" s="120" customFormat="1" x14ac:dyDescent="0.15"/>
    <row r="929" s="120" customFormat="1" x14ac:dyDescent="0.15"/>
    <row r="930" s="120" customFormat="1" x14ac:dyDescent="0.15"/>
    <row r="931" s="120" customFormat="1" x14ac:dyDescent="0.15"/>
    <row r="932" s="120" customFormat="1" x14ac:dyDescent="0.15"/>
    <row r="933" s="120" customFormat="1" x14ac:dyDescent="0.15"/>
    <row r="934" s="120" customFormat="1" x14ac:dyDescent="0.15"/>
    <row r="935" s="120" customFormat="1" x14ac:dyDescent="0.15"/>
    <row r="936" s="120" customFormat="1" x14ac:dyDescent="0.15"/>
    <row r="937" s="120" customFormat="1" x14ac:dyDescent="0.15"/>
    <row r="938" s="120" customFormat="1" x14ac:dyDescent="0.15"/>
    <row r="939" s="120" customFormat="1" x14ac:dyDescent="0.15"/>
    <row r="940" s="120" customFormat="1" x14ac:dyDescent="0.15"/>
    <row r="941" s="120" customFormat="1" x14ac:dyDescent="0.15"/>
    <row r="942" s="120" customFormat="1" x14ac:dyDescent="0.15"/>
    <row r="943" s="120" customFormat="1" x14ac:dyDescent="0.15"/>
    <row r="944" s="120" customFormat="1" x14ac:dyDescent="0.15"/>
    <row r="945" s="120" customFormat="1" x14ac:dyDescent="0.15"/>
    <row r="946" s="120" customFormat="1" x14ac:dyDescent="0.15"/>
    <row r="947" s="120" customFormat="1" x14ac:dyDescent="0.15"/>
    <row r="948" s="120" customFormat="1" x14ac:dyDescent="0.15"/>
    <row r="949" s="120" customFormat="1" x14ac:dyDescent="0.15"/>
    <row r="950" s="120" customFormat="1" x14ac:dyDescent="0.15"/>
    <row r="951" s="120" customFormat="1" x14ac:dyDescent="0.15"/>
    <row r="952" s="120" customFormat="1" x14ac:dyDescent="0.15"/>
    <row r="953" s="120" customFormat="1" x14ac:dyDescent="0.15"/>
    <row r="954" s="120" customFormat="1" x14ac:dyDescent="0.15"/>
    <row r="955" s="120" customFormat="1" x14ac:dyDescent="0.15"/>
    <row r="956" s="120" customFormat="1" x14ac:dyDescent="0.15"/>
    <row r="957" s="120" customFormat="1" x14ac:dyDescent="0.15"/>
    <row r="958" s="120" customFormat="1" x14ac:dyDescent="0.15"/>
    <row r="959" s="120" customFormat="1" x14ac:dyDescent="0.15"/>
    <row r="960" s="120" customFormat="1" x14ac:dyDescent="0.15"/>
    <row r="961" s="120" customFormat="1" x14ac:dyDescent="0.15"/>
    <row r="962" s="120" customFormat="1" x14ac:dyDescent="0.15"/>
    <row r="963" s="120" customFormat="1" x14ac:dyDescent="0.15"/>
    <row r="964" s="120" customFormat="1" x14ac:dyDescent="0.15"/>
    <row r="965" s="120" customFormat="1" x14ac:dyDescent="0.15"/>
    <row r="966" s="120" customFormat="1" x14ac:dyDescent="0.15"/>
    <row r="967" s="120" customFormat="1" x14ac:dyDescent="0.15"/>
    <row r="968" s="120" customFormat="1" x14ac:dyDescent="0.15"/>
    <row r="969" s="120" customFormat="1" x14ac:dyDescent="0.15"/>
    <row r="970" s="120" customFormat="1" x14ac:dyDescent="0.15"/>
    <row r="971" s="120" customFormat="1" x14ac:dyDescent="0.15"/>
    <row r="972" s="120" customFormat="1" x14ac:dyDescent="0.15"/>
    <row r="973" s="120" customFormat="1" x14ac:dyDescent="0.15"/>
    <row r="974" s="120" customFormat="1" x14ac:dyDescent="0.15"/>
    <row r="975" s="120" customFormat="1" x14ac:dyDescent="0.15"/>
    <row r="976" s="120" customFormat="1" x14ac:dyDescent="0.15"/>
    <row r="977" s="120" customFormat="1" x14ac:dyDescent="0.15"/>
    <row r="978" s="120" customFormat="1" x14ac:dyDescent="0.15"/>
    <row r="979" s="120" customFormat="1" x14ac:dyDescent="0.15"/>
    <row r="980" s="120" customFormat="1" x14ac:dyDescent="0.15"/>
    <row r="981" s="120" customFormat="1" x14ac:dyDescent="0.15"/>
    <row r="982" s="120" customFormat="1" x14ac:dyDescent="0.15"/>
    <row r="983" s="120" customFormat="1" x14ac:dyDescent="0.15"/>
    <row r="984" s="120" customFormat="1" x14ac:dyDescent="0.15"/>
    <row r="985" s="120" customFormat="1" x14ac:dyDescent="0.15"/>
    <row r="986" s="120" customFormat="1" x14ac:dyDescent="0.15"/>
    <row r="987" s="120" customFormat="1" x14ac:dyDescent="0.15"/>
    <row r="988" s="120" customFormat="1" x14ac:dyDescent="0.15"/>
    <row r="989" s="120" customFormat="1" x14ac:dyDescent="0.15"/>
    <row r="990" s="120" customFormat="1" x14ac:dyDescent="0.15"/>
    <row r="991" s="120" customFormat="1" x14ac:dyDescent="0.15"/>
    <row r="992" s="120" customFormat="1" x14ac:dyDescent="0.15"/>
    <row r="993" s="120" customFormat="1" x14ac:dyDescent="0.15"/>
    <row r="994" s="120" customFormat="1" x14ac:dyDescent="0.15"/>
    <row r="995" s="120" customFormat="1" x14ac:dyDescent="0.15"/>
    <row r="996" s="120" customFormat="1" x14ac:dyDescent="0.15"/>
    <row r="997" s="120" customFormat="1" x14ac:dyDescent="0.15"/>
    <row r="998" s="120" customFormat="1" x14ac:dyDescent="0.15"/>
    <row r="999" s="120" customFormat="1" x14ac:dyDescent="0.15"/>
    <row r="1000" s="120" customFormat="1" x14ac:dyDescent="0.15"/>
    <row r="1001" s="120" customFormat="1" x14ac:dyDescent="0.15"/>
    <row r="1002" s="120" customFormat="1" x14ac:dyDescent="0.15"/>
    <row r="1003" s="120" customFormat="1" x14ac:dyDescent="0.15"/>
    <row r="1004" s="120" customFormat="1" x14ac:dyDescent="0.15"/>
    <row r="1005" s="120" customFormat="1" x14ac:dyDescent="0.15"/>
    <row r="1006" s="120" customFormat="1" x14ac:dyDescent="0.15"/>
    <row r="1007" s="120" customFormat="1" x14ac:dyDescent="0.15"/>
    <row r="1008" s="120" customFormat="1" x14ac:dyDescent="0.15"/>
    <row r="1009" s="120" customFormat="1" x14ac:dyDescent="0.15"/>
    <row r="1010" s="120" customFormat="1" x14ac:dyDescent="0.15"/>
    <row r="1011" s="120" customFormat="1" x14ac:dyDescent="0.15"/>
    <row r="1012" s="120" customFormat="1" x14ac:dyDescent="0.15"/>
    <row r="1013" s="120" customFormat="1" x14ac:dyDescent="0.15"/>
    <row r="1014" s="120" customFormat="1" x14ac:dyDescent="0.15"/>
    <row r="1015" s="120" customFormat="1" x14ac:dyDescent="0.15"/>
    <row r="1016" s="120" customFormat="1" x14ac:dyDescent="0.15"/>
    <row r="1017" s="120" customFormat="1" x14ac:dyDescent="0.15"/>
    <row r="1018" s="120" customFormat="1" x14ac:dyDescent="0.15"/>
    <row r="1019" s="120" customFormat="1" x14ac:dyDescent="0.15"/>
    <row r="1020" s="120" customFormat="1" x14ac:dyDescent="0.15"/>
    <row r="1021" s="120" customFormat="1" x14ac:dyDescent="0.15"/>
    <row r="1022" s="120" customFormat="1" x14ac:dyDescent="0.15"/>
    <row r="1023" s="120" customFormat="1" x14ac:dyDescent="0.15"/>
    <row r="1024" s="120" customFormat="1" x14ac:dyDescent="0.15"/>
    <row r="1025" s="120" customFormat="1" x14ac:dyDescent="0.15"/>
    <row r="1026" s="120" customFormat="1" x14ac:dyDescent="0.15"/>
    <row r="1027" s="120" customFormat="1" x14ac:dyDescent="0.15"/>
    <row r="1028" s="120" customFormat="1" x14ac:dyDescent="0.15"/>
    <row r="1029" s="120" customFormat="1" x14ac:dyDescent="0.15"/>
    <row r="1030" s="120" customFormat="1" x14ac:dyDescent="0.15"/>
    <row r="1031" s="120" customFormat="1" x14ac:dyDescent="0.15"/>
    <row r="1032" s="120" customFormat="1" x14ac:dyDescent="0.15"/>
    <row r="1033" s="120" customFormat="1" x14ac:dyDescent="0.15"/>
    <row r="1034" s="120" customFormat="1" x14ac:dyDescent="0.15"/>
    <row r="1035" s="120" customFormat="1" x14ac:dyDescent="0.15"/>
    <row r="1036" s="120" customFormat="1" x14ac:dyDescent="0.15"/>
    <row r="1037" s="120" customFormat="1" x14ac:dyDescent="0.15"/>
    <row r="1038" s="120" customFormat="1" x14ac:dyDescent="0.15"/>
    <row r="1039" s="120" customFormat="1" x14ac:dyDescent="0.15"/>
    <row r="1040" s="120" customFormat="1" x14ac:dyDescent="0.15"/>
    <row r="1041" s="120" customFormat="1" x14ac:dyDescent="0.15"/>
    <row r="1042" s="120" customFormat="1" x14ac:dyDescent="0.15"/>
    <row r="1043" s="120" customFormat="1" x14ac:dyDescent="0.15"/>
    <row r="1044" s="120" customFormat="1" x14ac:dyDescent="0.15"/>
    <row r="1045" s="120" customFormat="1" x14ac:dyDescent="0.15"/>
    <row r="1046" s="120" customFormat="1" x14ac:dyDescent="0.15"/>
    <row r="1047" s="120" customFormat="1" x14ac:dyDescent="0.15"/>
    <row r="1048" s="120" customFormat="1" x14ac:dyDescent="0.15"/>
    <row r="1049" s="120" customFormat="1" x14ac:dyDescent="0.15"/>
    <row r="1050" s="120" customFormat="1" x14ac:dyDescent="0.15"/>
    <row r="1051" s="120" customFormat="1" x14ac:dyDescent="0.15"/>
    <row r="1052" s="120" customFormat="1" x14ac:dyDescent="0.15"/>
    <row r="1053" s="120" customFormat="1" x14ac:dyDescent="0.15"/>
    <row r="1054" s="120" customFormat="1" x14ac:dyDescent="0.15"/>
    <row r="1055" s="120" customFormat="1" x14ac:dyDescent="0.15"/>
    <row r="1056" s="120" customFormat="1" x14ac:dyDescent="0.15"/>
    <row r="1057" s="120" customFormat="1" x14ac:dyDescent="0.15"/>
    <row r="1058" s="120" customFormat="1" x14ac:dyDescent="0.15"/>
    <row r="1059" s="120" customFormat="1" x14ac:dyDescent="0.15"/>
    <row r="1060" s="120" customFormat="1" x14ac:dyDescent="0.15"/>
    <row r="1061" s="120" customFormat="1" x14ac:dyDescent="0.15"/>
    <row r="1062" s="120" customFormat="1" x14ac:dyDescent="0.15"/>
    <row r="1063" s="120" customFormat="1" x14ac:dyDescent="0.15"/>
    <row r="1064" s="120" customFormat="1" x14ac:dyDescent="0.15"/>
    <row r="1065" s="120" customFormat="1" x14ac:dyDescent="0.15"/>
    <row r="1066" s="120" customFormat="1" x14ac:dyDescent="0.15"/>
    <row r="1067" s="120" customFormat="1" x14ac:dyDescent="0.15"/>
    <row r="1068" s="120" customFormat="1" x14ac:dyDescent="0.15"/>
    <row r="1069" s="120" customFormat="1" x14ac:dyDescent="0.15"/>
    <row r="1070" s="120" customFormat="1" x14ac:dyDescent="0.15"/>
    <row r="1071" s="120" customFormat="1" x14ac:dyDescent="0.15"/>
    <row r="1072" s="120" customFormat="1" x14ac:dyDescent="0.15"/>
    <row r="1073" s="120" customFormat="1" x14ac:dyDescent="0.15"/>
    <row r="1074" s="120" customFormat="1" x14ac:dyDescent="0.15"/>
    <row r="1075" s="120" customFormat="1" x14ac:dyDescent="0.15"/>
    <row r="1076" s="120" customFormat="1" x14ac:dyDescent="0.15"/>
    <row r="1077" s="120" customFormat="1" x14ac:dyDescent="0.15"/>
    <row r="1078" s="120" customFormat="1" x14ac:dyDescent="0.15"/>
    <row r="1079" s="120" customFormat="1" x14ac:dyDescent="0.15"/>
    <row r="1080" s="120" customFormat="1" x14ac:dyDescent="0.15"/>
    <row r="1081" s="120" customFormat="1" x14ac:dyDescent="0.15"/>
    <row r="1082" s="120" customFormat="1" x14ac:dyDescent="0.15"/>
    <row r="1083" s="120" customFormat="1" x14ac:dyDescent="0.15"/>
    <row r="1084" s="120" customFormat="1" x14ac:dyDescent="0.15"/>
    <row r="1085" s="120" customFormat="1" x14ac:dyDescent="0.15"/>
    <row r="1086" s="120" customFormat="1" x14ac:dyDescent="0.15"/>
    <row r="1087" s="120" customFormat="1" x14ac:dyDescent="0.15"/>
    <row r="1088" s="120" customFormat="1" x14ac:dyDescent="0.15"/>
    <row r="1089" s="120" customFormat="1" x14ac:dyDescent="0.15"/>
    <row r="1090" s="120" customFormat="1" x14ac:dyDescent="0.15"/>
    <row r="1091" s="120" customFormat="1" x14ac:dyDescent="0.15"/>
    <row r="1092" s="120" customFormat="1" x14ac:dyDescent="0.15"/>
    <row r="1093" s="120" customFormat="1" x14ac:dyDescent="0.15"/>
    <row r="1094" s="120" customFormat="1" x14ac:dyDescent="0.15"/>
    <row r="1095" s="120" customFormat="1" x14ac:dyDescent="0.15"/>
    <row r="1096" s="120" customFormat="1" x14ac:dyDescent="0.15"/>
    <row r="1097" s="120" customFormat="1" x14ac:dyDescent="0.15"/>
    <row r="1098" s="120" customFormat="1" x14ac:dyDescent="0.15"/>
    <row r="1099" s="120" customFormat="1" x14ac:dyDescent="0.15"/>
    <row r="1100" s="120" customFormat="1" x14ac:dyDescent="0.15"/>
    <row r="1101" s="120" customFormat="1" x14ac:dyDescent="0.15"/>
    <row r="1102" s="120" customFormat="1" x14ac:dyDescent="0.15"/>
    <row r="1103" s="120" customFormat="1" x14ac:dyDescent="0.15"/>
    <row r="1104" s="120" customFormat="1" x14ac:dyDescent="0.15"/>
    <row r="1105" s="120" customFormat="1" x14ac:dyDescent="0.15"/>
    <row r="1106" s="120" customFormat="1" x14ac:dyDescent="0.15"/>
    <row r="1107" s="120" customFormat="1" x14ac:dyDescent="0.15"/>
    <row r="1108" s="120" customFormat="1" x14ac:dyDescent="0.15"/>
    <row r="1109" s="120" customFormat="1" x14ac:dyDescent="0.15"/>
    <row r="1110" s="120" customFormat="1" x14ac:dyDescent="0.15"/>
    <row r="1111" s="120" customFormat="1" x14ac:dyDescent="0.15"/>
    <row r="1112" s="120" customFormat="1" x14ac:dyDescent="0.15"/>
    <row r="1113" s="120" customFormat="1" x14ac:dyDescent="0.15"/>
    <row r="1114" s="120" customFormat="1" x14ac:dyDescent="0.15"/>
    <row r="1115" s="120" customFormat="1" x14ac:dyDescent="0.15"/>
    <row r="1116" s="120" customFormat="1" x14ac:dyDescent="0.15"/>
    <row r="1117" s="120" customFormat="1" x14ac:dyDescent="0.15"/>
    <row r="1118" s="120" customFormat="1" x14ac:dyDescent="0.15"/>
    <row r="1119" s="120" customFormat="1" x14ac:dyDescent="0.15"/>
    <row r="1120" s="120" customFormat="1" x14ac:dyDescent="0.15"/>
    <row r="1121" s="120" customFormat="1" x14ac:dyDescent="0.15"/>
    <row r="1122" s="120" customFormat="1" x14ac:dyDescent="0.15"/>
    <row r="1123" s="120" customFormat="1" x14ac:dyDescent="0.15"/>
    <row r="1124" s="120" customFormat="1" x14ac:dyDescent="0.15"/>
    <row r="1125" s="120" customFormat="1" x14ac:dyDescent="0.15"/>
    <row r="1126" s="120" customFormat="1" x14ac:dyDescent="0.15"/>
    <row r="1127" s="120" customFormat="1" x14ac:dyDescent="0.15"/>
    <row r="1128" s="120" customFormat="1" x14ac:dyDescent="0.15"/>
    <row r="1129" s="120" customFormat="1" x14ac:dyDescent="0.15"/>
    <row r="1130" s="120" customFormat="1" x14ac:dyDescent="0.15"/>
    <row r="1131" s="120" customFormat="1" x14ac:dyDescent="0.15"/>
    <row r="1132" s="120" customFormat="1" x14ac:dyDescent="0.15"/>
    <row r="1133" s="120" customFormat="1" x14ac:dyDescent="0.15"/>
    <row r="1134" s="120" customFormat="1" x14ac:dyDescent="0.15"/>
    <row r="1135" s="120" customFormat="1" x14ac:dyDescent="0.15"/>
    <row r="1136" s="120" customFormat="1" x14ac:dyDescent="0.15"/>
    <row r="1137" s="120" customFormat="1" x14ac:dyDescent="0.15"/>
    <row r="1138" s="120" customFormat="1" x14ac:dyDescent="0.15"/>
    <row r="1139" s="120" customFormat="1" x14ac:dyDescent="0.15"/>
    <row r="1140" s="120" customFormat="1" x14ac:dyDescent="0.15"/>
    <row r="1141" s="120" customFormat="1" x14ac:dyDescent="0.15"/>
    <row r="1142" s="120" customFormat="1" x14ac:dyDescent="0.15"/>
    <row r="1143" s="120" customFormat="1" x14ac:dyDescent="0.15"/>
    <row r="1144" s="120" customFormat="1" x14ac:dyDescent="0.15"/>
    <row r="1145" s="120" customFormat="1" x14ac:dyDescent="0.15"/>
    <row r="1146" s="120" customFormat="1" x14ac:dyDescent="0.15"/>
    <row r="1147" s="120" customFormat="1" x14ac:dyDescent="0.15"/>
    <row r="1148" s="120" customFormat="1" x14ac:dyDescent="0.15"/>
    <row r="1149" s="120" customFormat="1" x14ac:dyDescent="0.15"/>
    <row r="1150" s="120" customFormat="1" x14ac:dyDescent="0.15"/>
    <row r="1151" s="120" customFormat="1" x14ac:dyDescent="0.15"/>
    <row r="1152" s="120" customFormat="1" x14ac:dyDescent="0.15"/>
    <row r="1153" s="120" customFormat="1" x14ac:dyDescent="0.15"/>
    <row r="1154" s="120" customFormat="1" x14ac:dyDescent="0.15"/>
    <row r="1155" s="120" customFormat="1" x14ac:dyDescent="0.15"/>
    <row r="1156" s="120" customFormat="1" x14ac:dyDescent="0.15"/>
    <row r="1157" s="120" customFormat="1" x14ac:dyDescent="0.15"/>
    <row r="1158" s="120" customFormat="1" x14ac:dyDescent="0.15"/>
    <row r="1159" s="120" customFormat="1" x14ac:dyDescent="0.15"/>
    <row r="1160" s="120" customFormat="1" x14ac:dyDescent="0.15"/>
    <row r="1161" s="120" customFormat="1" x14ac:dyDescent="0.15"/>
    <row r="1162" s="120" customFormat="1" x14ac:dyDescent="0.15"/>
    <row r="1163" s="120" customFormat="1" x14ac:dyDescent="0.15"/>
    <row r="1164" s="120" customFormat="1" x14ac:dyDescent="0.15"/>
    <row r="1165" s="120" customFormat="1" x14ac:dyDescent="0.15"/>
    <row r="1166" s="120" customFormat="1" x14ac:dyDescent="0.15"/>
    <row r="1167" s="120" customFormat="1" x14ac:dyDescent="0.15"/>
    <row r="1168" s="120" customFormat="1" x14ac:dyDescent="0.15"/>
    <row r="1169" s="120" customFormat="1" x14ac:dyDescent="0.15"/>
    <row r="1170" s="120" customFormat="1" x14ac:dyDescent="0.15"/>
    <row r="1171" s="120" customFormat="1" x14ac:dyDescent="0.15"/>
    <row r="1172" s="120" customFormat="1" x14ac:dyDescent="0.15"/>
    <row r="1173" s="120" customFormat="1" x14ac:dyDescent="0.15"/>
    <row r="1174" s="120" customFormat="1" x14ac:dyDescent="0.15"/>
    <row r="1175" s="120" customFormat="1" x14ac:dyDescent="0.15"/>
    <row r="1176" s="120" customFormat="1" x14ac:dyDescent="0.15"/>
    <row r="1177" s="120" customFormat="1" x14ac:dyDescent="0.15"/>
    <row r="1178" s="120" customFormat="1" x14ac:dyDescent="0.15"/>
    <row r="1179" s="120" customFormat="1" x14ac:dyDescent="0.15"/>
    <row r="1180" s="120" customFormat="1" x14ac:dyDescent="0.15"/>
    <row r="1181" s="120" customFormat="1" x14ac:dyDescent="0.15"/>
    <row r="1182" s="120" customFormat="1" x14ac:dyDescent="0.15"/>
    <row r="1183" s="120" customFormat="1" x14ac:dyDescent="0.15"/>
    <row r="1184" s="120" customFormat="1" x14ac:dyDescent="0.15"/>
    <row r="1185" s="120" customFormat="1" x14ac:dyDescent="0.15"/>
    <row r="1186" s="120" customFormat="1" x14ac:dyDescent="0.15"/>
    <row r="1187" s="120" customFormat="1" x14ac:dyDescent="0.15"/>
    <row r="1188" s="120" customFormat="1" x14ac:dyDescent="0.15"/>
    <row r="1189" s="120" customFormat="1" x14ac:dyDescent="0.15"/>
    <row r="1190" s="120" customFormat="1" x14ac:dyDescent="0.15"/>
    <row r="1191" s="120" customFormat="1" x14ac:dyDescent="0.15"/>
    <row r="1192" s="120" customFormat="1" x14ac:dyDescent="0.15"/>
    <row r="1193" s="120" customFormat="1" x14ac:dyDescent="0.15"/>
    <row r="1194" s="120" customFormat="1" x14ac:dyDescent="0.15"/>
    <row r="1195" s="120" customFormat="1" x14ac:dyDescent="0.15"/>
    <row r="1196" s="120" customFormat="1" x14ac:dyDescent="0.15"/>
    <row r="1197" s="120" customFormat="1" x14ac:dyDescent="0.15"/>
    <row r="1198" s="120" customFormat="1" x14ac:dyDescent="0.15"/>
    <row r="1199" s="120" customFormat="1" x14ac:dyDescent="0.15"/>
    <row r="1200" s="120" customFormat="1" x14ac:dyDescent="0.15"/>
    <row r="1201" s="120" customFormat="1" x14ac:dyDescent="0.15"/>
    <row r="1202" s="120" customFormat="1" x14ac:dyDescent="0.15"/>
    <row r="1203" s="120" customFormat="1" x14ac:dyDescent="0.15"/>
    <row r="1204" s="120" customFormat="1" x14ac:dyDescent="0.15"/>
    <row r="1205" s="120" customFormat="1" x14ac:dyDescent="0.15"/>
    <row r="1206" s="120" customFormat="1" x14ac:dyDescent="0.15"/>
    <row r="1207" s="120" customFormat="1" x14ac:dyDescent="0.15"/>
    <row r="1208" s="120" customFormat="1" x14ac:dyDescent="0.15"/>
    <row r="1209" s="120" customFormat="1" x14ac:dyDescent="0.15"/>
    <row r="1210" s="120" customFormat="1" x14ac:dyDescent="0.15"/>
    <row r="1211" s="120" customFormat="1" x14ac:dyDescent="0.15"/>
    <row r="1212" s="120" customFormat="1" x14ac:dyDescent="0.15"/>
    <row r="1213" s="120" customFormat="1" x14ac:dyDescent="0.15"/>
    <row r="1214" s="120" customFormat="1" x14ac:dyDescent="0.15"/>
    <row r="1215" s="120" customFormat="1" x14ac:dyDescent="0.15"/>
    <row r="1216" s="120" customFormat="1" x14ac:dyDescent="0.15"/>
    <row r="1217" s="120" customFormat="1" x14ac:dyDescent="0.15"/>
    <row r="1218" s="120" customFormat="1" x14ac:dyDescent="0.15"/>
    <row r="1219" s="120" customFormat="1" x14ac:dyDescent="0.15"/>
    <row r="1220" s="120" customFormat="1" x14ac:dyDescent="0.15"/>
    <row r="1221" s="120" customFormat="1" x14ac:dyDescent="0.15"/>
    <row r="1222" s="120" customFormat="1" x14ac:dyDescent="0.15"/>
    <row r="1223" s="120" customFormat="1" x14ac:dyDescent="0.15"/>
    <row r="1224" s="120" customFormat="1" x14ac:dyDescent="0.15"/>
    <row r="1225" s="120" customFormat="1" x14ac:dyDescent="0.15"/>
    <row r="1226" s="120" customFormat="1" x14ac:dyDescent="0.15"/>
    <row r="1227" s="120" customFormat="1" x14ac:dyDescent="0.15"/>
    <row r="1228" s="120" customFormat="1" x14ac:dyDescent="0.15"/>
    <row r="1229" s="120" customFormat="1" x14ac:dyDescent="0.15"/>
    <row r="1230" s="120" customFormat="1" x14ac:dyDescent="0.15"/>
    <row r="1231" s="120" customFormat="1" x14ac:dyDescent="0.15"/>
    <row r="1232" s="120" customFormat="1" x14ac:dyDescent="0.15"/>
    <row r="1233" s="120" customFormat="1" x14ac:dyDescent="0.15"/>
    <row r="1234" s="120" customFormat="1" x14ac:dyDescent="0.15"/>
    <row r="1235" s="120" customFormat="1" x14ac:dyDescent="0.15"/>
    <row r="1236" s="120" customFormat="1" x14ac:dyDescent="0.15"/>
    <row r="1237" s="120" customFormat="1" x14ac:dyDescent="0.15"/>
    <row r="1238" s="120" customFormat="1" x14ac:dyDescent="0.15"/>
    <row r="1239" s="120" customFormat="1" x14ac:dyDescent="0.15"/>
    <row r="1240" s="120" customFormat="1" x14ac:dyDescent="0.15"/>
    <row r="1241" s="120" customFormat="1" x14ac:dyDescent="0.15"/>
    <row r="1242" s="120" customFormat="1" x14ac:dyDescent="0.15"/>
    <row r="1243" s="120" customFormat="1" x14ac:dyDescent="0.15"/>
    <row r="1244" s="120" customFormat="1" x14ac:dyDescent="0.15"/>
    <row r="1245" s="120" customFormat="1" x14ac:dyDescent="0.15"/>
    <row r="1246" s="120" customFormat="1" x14ac:dyDescent="0.15"/>
    <row r="1247" s="120" customFormat="1" x14ac:dyDescent="0.15"/>
    <row r="1248" s="120" customFormat="1" x14ac:dyDescent="0.15"/>
    <row r="1249" s="120" customFormat="1" x14ac:dyDescent="0.15"/>
    <row r="1250" s="120" customFormat="1" x14ac:dyDescent="0.15"/>
    <row r="1251" s="120" customFormat="1" x14ac:dyDescent="0.15"/>
    <row r="1252" s="120" customFormat="1" x14ac:dyDescent="0.15"/>
    <row r="1253" s="120" customFormat="1" x14ac:dyDescent="0.15"/>
    <row r="1254" s="120" customFormat="1" x14ac:dyDescent="0.15"/>
    <row r="1255" s="120" customFormat="1" x14ac:dyDescent="0.15"/>
    <row r="1256" s="120" customFormat="1" x14ac:dyDescent="0.15"/>
    <row r="1257" s="120" customFormat="1" x14ac:dyDescent="0.15"/>
    <row r="1258" s="120" customFormat="1" x14ac:dyDescent="0.15"/>
    <row r="1259" s="120" customFormat="1" x14ac:dyDescent="0.15"/>
    <row r="1260" s="120" customFormat="1" x14ac:dyDescent="0.15"/>
    <row r="1261" s="120" customFormat="1" x14ac:dyDescent="0.15"/>
    <row r="1262" s="120" customFormat="1" x14ac:dyDescent="0.15"/>
    <row r="1263" s="120" customFormat="1" x14ac:dyDescent="0.15"/>
    <row r="1264" s="120" customFormat="1" x14ac:dyDescent="0.15"/>
    <row r="1265" s="120" customFormat="1" x14ac:dyDescent="0.15"/>
    <row r="1266" s="120" customFormat="1" x14ac:dyDescent="0.15"/>
    <row r="1267" s="120" customFormat="1" x14ac:dyDescent="0.15"/>
    <row r="1268" s="120" customFormat="1" x14ac:dyDescent="0.15"/>
    <row r="1269" s="120" customFormat="1" x14ac:dyDescent="0.15"/>
    <row r="1270" s="120" customFormat="1" x14ac:dyDescent="0.15"/>
    <row r="1271" s="120" customFormat="1" x14ac:dyDescent="0.15"/>
    <row r="1272" s="120" customFormat="1" x14ac:dyDescent="0.15"/>
    <row r="1273" s="120" customFormat="1" x14ac:dyDescent="0.15"/>
    <row r="1274" s="120" customFormat="1" x14ac:dyDescent="0.15"/>
    <row r="1275" s="120" customFormat="1" x14ac:dyDescent="0.15"/>
    <row r="1276" s="120" customFormat="1" x14ac:dyDescent="0.15"/>
    <row r="1277" s="120" customFormat="1" x14ac:dyDescent="0.15"/>
    <row r="1278" s="120" customFormat="1" x14ac:dyDescent="0.15"/>
    <row r="1279" s="120" customFormat="1" x14ac:dyDescent="0.15"/>
    <row r="1280" s="120" customFormat="1" x14ac:dyDescent="0.15"/>
    <row r="1281" s="120" customFormat="1" x14ac:dyDescent="0.15"/>
    <row r="1282" s="120" customFormat="1" x14ac:dyDescent="0.15"/>
    <row r="1283" s="120" customFormat="1" x14ac:dyDescent="0.15"/>
    <row r="1284" s="120" customFormat="1" x14ac:dyDescent="0.15"/>
    <row r="1285" s="120" customFormat="1" x14ac:dyDescent="0.15"/>
    <row r="1286" s="120" customFormat="1" x14ac:dyDescent="0.15"/>
    <row r="1287" s="120" customFormat="1" x14ac:dyDescent="0.15"/>
    <row r="1288" s="120" customFormat="1" x14ac:dyDescent="0.15"/>
    <row r="1289" s="120" customFormat="1" x14ac:dyDescent="0.15"/>
    <row r="1290" s="120" customFormat="1" x14ac:dyDescent="0.15"/>
    <row r="1291" s="120" customFormat="1" x14ac:dyDescent="0.15"/>
    <row r="1292" s="120" customFormat="1" x14ac:dyDescent="0.15"/>
    <row r="1293" s="120" customFormat="1" x14ac:dyDescent="0.15"/>
    <row r="1294" s="120" customFormat="1" x14ac:dyDescent="0.15"/>
    <row r="1295" s="120" customFormat="1" x14ac:dyDescent="0.15"/>
    <row r="1296" s="120" customFormat="1" x14ac:dyDescent="0.15"/>
    <row r="1297" s="120" customFormat="1" x14ac:dyDescent="0.15"/>
    <row r="1298" s="120" customFormat="1" x14ac:dyDescent="0.15"/>
    <row r="1299" s="120" customFormat="1" x14ac:dyDescent="0.15"/>
    <row r="1300" s="120" customFormat="1" x14ac:dyDescent="0.15"/>
    <row r="1301" s="120" customFormat="1" x14ac:dyDescent="0.15"/>
    <row r="1302" s="120" customFormat="1" x14ac:dyDescent="0.15"/>
    <row r="1303" s="120" customFormat="1" x14ac:dyDescent="0.15"/>
    <row r="1304" s="120" customFormat="1" x14ac:dyDescent="0.15"/>
    <row r="1305" s="120" customFormat="1" x14ac:dyDescent="0.15"/>
    <row r="1306" s="120" customFormat="1" x14ac:dyDescent="0.15"/>
    <row r="1307" s="120" customFormat="1" x14ac:dyDescent="0.15"/>
    <row r="1308" s="120" customFormat="1" x14ac:dyDescent="0.15"/>
    <row r="1309" s="120" customFormat="1" x14ac:dyDescent="0.15"/>
    <row r="1310" s="120" customFormat="1" x14ac:dyDescent="0.15"/>
    <row r="1311" s="120" customFormat="1" x14ac:dyDescent="0.15"/>
    <row r="1312" s="120" customFormat="1" x14ac:dyDescent="0.15"/>
    <row r="1313" s="120" customFormat="1" x14ac:dyDescent="0.15"/>
    <row r="1314" s="120" customFormat="1" x14ac:dyDescent="0.15"/>
    <row r="1315" s="120" customFormat="1" x14ac:dyDescent="0.15"/>
    <row r="1316" s="120" customFormat="1" x14ac:dyDescent="0.15"/>
    <row r="1317" s="120" customFormat="1" x14ac:dyDescent="0.15"/>
    <row r="1318" s="120" customFormat="1" x14ac:dyDescent="0.15"/>
    <row r="1319" s="120" customFormat="1" x14ac:dyDescent="0.15"/>
    <row r="1320" s="120" customFormat="1" x14ac:dyDescent="0.15"/>
    <row r="1321" s="120" customFormat="1" x14ac:dyDescent="0.15"/>
    <row r="1322" s="120" customFormat="1" x14ac:dyDescent="0.15"/>
    <row r="1323" s="120" customFormat="1" x14ac:dyDescent="0.15"/>
    <row r="1324" s="120" customFormat="1" x14ac:dyDescent="0.15"/>
    <row r="1325" s="120" customFormat="1" x14ac:dyDescent="0.15"/>
    <row r="1326" s="120" customFormat="1" x14ac:dyDescent="0.15"/>
    <row r="1327" s="120" customFormat="1" x14ac:dyDescent="0.15"/>
    <row r="1328" s="120" customFormat="1" x14ac:dyDescent="0.15"/>
    <row r="1329" s="120" customFormat="1" x14ac:dyDescent="0.15"/>
    <row r="1330" s="120" customFormat="1" x14ac:dyDescent="0.15"/>
    <row r="1331" s="120" customFormat="1" x14ac:dyDescent="0.15"/>
    <row r="1332" s="120" customFormat="1" x14ac:dyDescent="0.15"/>
    <row r="1333" s="120" customFormat="1" x14ac:dyDescent="0.15"/>
    <row r="1334" s="120" customFormat="1" x14ac:dyDescent="0.15"/>
    <row r="1335" s="120" customFormat="1" x14ac:dyDescent="0.15"/>
    <row r="1336" s="120" customFormat="1" x14ac:dyDescent="0.15"/>
    <row r="1337" s="120" customFormat="1" x14ac:dyDescent="0.15"/>
    <row r="1338" s="120" customFormat="1" x14ac:dyDescent="0.15"/>
    <row r="1339" s="120" customFormat="1" x14ac:dyDescent="0.15"/>
    <row r="1340" s="120" customFormat="1" x14ac:dyDescent="0.15"/>
    <row r="1341" s="120" customFormat="1" x14ac:dyDescent="0.15"/>
    <row r="1342" s="120" customFormat="1" x14ac:dyDescent="0.15"/>
    <row r="1343" s="120" customFormat="1" x14ac:dyDescent="0.15"/>
    <row r="1344" s="120" customFormat="1" x14ac:dyDescent="0.15"/>
    <row r="1345" s="120" customFormat="1" x14ac:dyDescent="0.15"/>
    <row r="1346" s="120" customFormat="1" x14ac:dyDescent="0.15"/>
    <row r="1347" s="120" customFormat="1" x14ac:dyDescent="0.15"/>
    <row r="1348" s="120" customFormat="1" x14ac:dyDescent="0.15"/>
    <row r="1349" s="120" customFormat="1" x14ac:dyDescent="0.15"/>
    <row r="1350" s="120" customFormat="1" x14ac:dyDescent="0.15"/>
    <row r="1351" s="120" customFormat="1" x14ac:dyDescent="0.15"/>
    <row r="1352" s="120" customFormat="1" x14ac:dyDescent="0.15"/>
    <row r="1353" s="120" customFormat="1" x14ac:dyDescent="0.15"/>
    <row r="1354" s="120" customFormat="1" x14ac:dyDescent="0.15"/>
    <row r="1355" s="120" customFormat="1" x14ac:dyDescent="0.15"/>
    <row r="1356" s="120" customFormat="1" x14ac:dyDescent="0.15"/>
    <row r="1357" s="120" customFormat="1" x14ac:dyDescent="0.15"/>
    <row r="1358" s="120" customFormat="1" x14ac:dyDescent="0.15"/>
    <row r="1359" s="120" customFormat="1" x14ac:dyDescent="0.15"/>
    <row r="1360" s="120" customFormat="1" x14ac:dyDescent="0.15"/>
    <row r="1361" s="120" customFormat="1" x14ac:dyDescent="0.15"/>
    <row r="1362" s="120" customFormat="1" x14ac:dyDescent="0.15"/>
    <row r="1363" s="120" customFormat="1" x14ac:dyDescent="0.15"/>
    <row r="1364" s="120" customFormat="1" x14ac:dyDescent="0.15"/>
    <row r="1365" s="120" customFormat="1" x14ac:dyDescent="0.15"/>
    <row r="1366" s="120" customFormat="1" x14ac:dyDescent="0.15"/>
    <row r="1367" s="120" customFormat="1" x14ac:dyDescent="0.15"/>
    <row r="1368" s="120" customFormat="1" x14ac:dyDescent="0.15"/>
    <row r="1369" s="120" customFormat="1" x14ac:dyDescent="0.15"/>
    <row r="1370" s="120" customFormat="1" x14ac:dyDescent="0.15"/>
    <row r="1371" s="120" customFormat="1" x14ac:dyDescent="0.15"/>
    <row r="1372" s="120" customFormat="1" x14ac:dyDescent="0.15"/>
    <row r="1373" s="120" customFormat="1" x14ac:dyDescent="0.15"/>
    <row r="1374" s="120" customFormat="1" x14ac:dyDescent="0.15"/>
    <row r="1375" s="120" customFormat="1" x14ac:dyDescent="0.15"/>
    <row r="1376" s="120" customFormat="1" x14ac:dyDescent="0.15"/>
    <row r="1377" s="120" customFormat="1" x14ac:dyDescent="0.15"/>
    <row r="1378" s="120" customFormat="1" x14ac:dyDescent="0.15"/>
    <row r="1379" s="120" customFormat="1" x14ac:dyDescent="0.15"/>
    <row r="1380" s="120" customFormat="1" x14ac:dyDescent="0.15"/>
    <row r="1381" s="120" customFormat="1" x14ac:dyDescent="0.15"/>
    <row r="1382" s="120" customFormat="1" x14ac:dyDescent="0.15"/>
    <row r="1383" s="120" customFormat="1" x14ac:dyDescent="0.15"/>
    <row r="1384" s="120" customFormat="1" x14ac:dyDescent="0.15"/>
    <row r="1385" s="120" customFormat="1" x14ac:dyDescent="0.15"/>
    <row r="1386" s="120" customFormat="1" x14ac:dyDescent="0.15"/>
    <row r="1387" s="120" customFormat="1" x14ac:dyDescent="0.15"/>
    <row r="1388" s="120" customFormat="1" x14ac:dyDescent="0.15"/>
    <row r="1389" s="120" customFormat="1" x14ac:dyDescent="0.15"/>
    <row r="1390" s="120" customFormat="1" x14ac:dyDescent="0.15"/>
    <row r="1391" s="120" customFormat="1" x14ac:dyDescent="0.15"/>
    <row r="1392" s="120" customFormat="1" x14ac:dyDescent="0.15"/>
    <row r="1393" s="120" customFormat="1" x14ac:dyDescent="0.15"/>
    <row r="1394" s="120" customFormat="1" x14ac:dyDescent="0.15"/>
    <row r="1395" s="120" customFormat="1" x14ac:dyDescent="0.15"/>
    <row r="1396" s="120" customFormat="1" x14ac:dyDescent="0.15"/>
    <row r="1397" s="120" customFormat="1" x14ac:dyDescent="0.15"/>
    <row r="1398" s="120" customFormat="1" x14ac:dyDescent="0.15"/>
    <row r="1399" s="120" customFormat="1" x14ac:dyDescent="0.15"/>
    <row r="1400" s="120" customFormat="1" x14ac:dyDescent="0.15"/>
    <row r="1401" s="120" customFormat="1" x14ac:dyDescent="0.15"/>
    <row r="1402" s="120" customFormat="1" x14ac:dyDescent="0.15"/>
    <row r="1403" s="120" customFormat="1" x14ac:dyDescent="0.15"/>
    <row r="1404" s="120" customFormat="1" x14ac:dyDescent="0.15"/>
    <row r="1405" s="120" customFormat="1" x14ac:dyDescent="0.15"/>
    <row r="1406" s="120" customFormat="1" x14ac:dyDescent="0.15"/>
    <row r="1407" s="120" customFormat="1" x14ac:dyDescent="0.15"/>
    <row r="1408" s="120" customFormat="1" x14ac:dyDescent="0.15"/>
    <row r="1409" s="120" customFormat="1" x14ac:dyDescent="0.15"/>
    <row r="1410" s="120" customFormat="1" x14ac:dyDescent="0.15"/>
    <row r="1411" s="120" customFormat="1" x14ac:dyDescent="0.15"/>
    <row r="1412" s="120" customFormat="1" x14ac:dyDescent="0.15"/>
    <row r="1413" s="120" customFormat="1" x14ac:dyDescent="0.15"/>
    <row r="1414" s="120" customFormat="1" x14ac:dyDescent="0.15"/>
    <row r="1415" s="120" customFormat="1" x14ac:dyDescent="0.15"/>
    <row r="1416" s="120" customFormat="1" x14ac:dyDescent="0.15"/>
    <row r="1417" s="120" customFormat="1" x14ac:dyDescent="0.15"/>
    <row r="1418" s="120" customFormat="1" x14ac:dyDescent="0.15"/>
    <row r="1419" s="120" customFormat="1" x14ac:dyDescent="0.15"/>
    <row r="1420" s="120" customFormat="1" x14ac:dyDescent="0.15"/>
    <row r="1421" s="120" customFormat="1" x14ac:dyDescent="0.15"/>
    <row r="1422" s="120" customFormat="1" x14ac:dyDescent="0.15"/>
    <row r="1423" s="120" customFormat="1" x14ac:dyDescent="0.15"/>
    <row r="1424" s="120" customFormat="1" x14ac:dyDescent="0.15"/>
    <row r="1425" s="120" customFormat="1" x14ac:dyDescent="0.15"/>
    <row r="1426" s="120" customFormat="1" x14ac:dyDescent="0.15"/>
    <row r="1427" s="120" customFormat="1" x14ac:dyDescent="0.15"/>
    <row r="1428" s="120" customFormat="1" x14ac:dyDescent="0.15"/>
    <row r="1429" s="120" customFormat="1" x14ac:dyDescent="0.15"/>
    <row r="1430" s="120" customFormat="1" x14ac:dyDescent="0.15"/>
    <row r="1431" s="120" customFormat="1" x14ac:dyDescent="0.15"/>
    <row r="1432" s="120" customFormat="1" x14ac:dyDescent="0.15"/>
    <row r="1433" s="120" customFormat="1" x14ac:dyDescent="0.15"/>
    <row r="1434" s="120" customFormat="1" x14ac:dyDescent="0.15"/>
    <row r="1435" s="120" customFormat="1" x14ac:dyDescent="0.15"/>
    <row r="1436" s="120" customFormat="1" x14ac:dyDescent="0.15"/>
    <row r="1437" s="120" customFormat="1" x14ac:dyDescent="0.15"/>
    <row r="1438" s="120" customFormat="1" x14ac:dyDescent="0.15"/>
    <row r="1439" s="120" customFormat="1" x14ac:dyDescent="0.15"/>
    <row r="1440" s="120" customFormat="1" x14ac:dyDescent="0.15"/>
    <row r="1441" s="120" customFormat="1" x14ac:dyDescent="0.15"/>
    <row r="1442" s="120" customFormat="1" x14ac:dyDescent="0.15"/>
    <row r="1443" s="120" customFormat="1" x14ac:dyDescent="0.15"/>
    <row r="1444" s="120" customFormat="1" x14ac:dyDescent="0.15"/>
    <row r="1445" s="120" customFormat="1" x14ac:dyDescent="0.15"/>
    <row r="1446" s="120" customFormat="1" x14ac:dyDescent="0.15"/>
    <row r="1447" s="120" customFormat="1" x14ac:dyDescent="0.15"/>
    <row r="1448" s="120" customFormat="1" x14ac:dyDescent="0.15"/>
    <row r="1449" s="120" customFormat="1" x14ac:dyDescent="0.15"/>
    <row r="1450" s="120" customFormat="1" x14ac:dyDescent="0.15"/>
    <row r="1451" s="120" customFormat="1" x14ac:dyDescent="0.15"/>
    <row r="1452" s="120" customFormat="1" x14ac:dyDescent="0.15"/>
    <row r="1453" s="120" customFormat="1" x14ac:dyDescent="0.15"/>
    <row r="1454" s="120" customFormat="1" x14ac:dyDescent="0.15"/>
    <row r="1455" s="120" customFormat="1" x14ac:dyDescent="0.15"/>
    <row r="1456" s="120" customFormat="1" x14ac:dyDescent="0.15"/>
    <row r="1457" s="120" customFormat="1" x14ac:dyDescent="0.15"/>
    <row r="1458" s="120" customFormat="1" x14ac:dyDescent="0.15"/>
    <row r="1459" s="120" customFormat="1" x14ac:dyDescent="0.15"/>
    <row r="1460" s="120" customFormat="1" x14ac:dyDescent="0.15"/>
    <row r="1461" s="120" customFormat="1" x14ac:dyDescent="0.15"/>
    <row r="1462" s="120" customFormat="1" x14ac:dyDescent="0.15"/>
    <row r="1463" s="120" customFormat="1" x14ac:dyDescent="0.15"/>
    <row r="1464" s="120" customFormat="1" x14ac:dyDescent="0.15"/>
    <row r="1465" s="120" customFormat="1" x14ac:dyDescent="0.15"/>
    <row r="1466" s="120" customFormat="1" x14ac:dyDescent="0.15"/>
    <row r="1467" s="120" customFormat="1" x14ac:dyDescent="0.15"/>
    <row r="1468" s="120" customFormat="1" x14ac:dyDescent="0.15"/>
    <row r="1469" s="120" customFormat="1" x14ac:dyDescent="0.15"/>
    <row r="1470" s="120" customFormat="1" x14ac:dyDescent="0.15"/>
    <row r="1471" s="120" customFormat="1" x14ac:dyDescent="0.15"/>
    <row r="1472" s="120" customFormat="1" x14ac:dyDescent="0.15"/>
    <row r="1473" s="120" customFormat="1" x14ac:dyDescent="0.15"/>
    <row r="1474" s="120" customFormat="1" x14ac:dyDescent="0.15"/>
    <row r="1475" s="120" customFormat="1" x14ac:dyDescent="0.15"/>
    <row r="1476" s="120" customFormat="1" x14ac:dyDescent="0.15"/>
    <row r="1477" s="120" customFormat="1" x14ac:dyDescent="0.15"/>
    <row r="1478" s="120" customFormat="1" x14ac:dyDescent="0.15"/>
    <row r="1479" s="120" customFormat="1" x14ac:dyDescent="0.15"/>
    <row r="1480" s="120" customFormat="1" x14ac:dyDescent="0.15"/>
    <row r="1481" s="120" customFormat="1" x14ac:dyDescent="0.15"/>
    <row r="1482" s="120" customFormat="1" x14ac:dyDescent="0.15"/>
    <row r="1483" s="120" customFormat="1" x14ac:dyDescent="0.15"/>
    <row r="1484" s="120" customFormat="1" x14ac:dyDescent="0.15"/>
    <row r="1485" s="120" customFormat="1" x14ac:dyDescent="0.15"/>
    <row r="1486" s="120" customFormat="1" x14ac:dyDescent="0.15"/>
    <row r="1487" s="120" customFormat="1" x14ac:dyDescent="0.15"/>
    <row r="1488" s="120" customFormat="1" x14ac:dyDescent="0.15"/>
    <row r="1489" s="120" customFormat="1" x14ac:dyDescent="0.15"/>
    <row r="1490" s="120" customFormat="1" x14ac:dyDescent="0.15"/>
    <row r="1491" s="120" customFormat="1" x14ac:dyDescent="0.15"/>
    <row r="1492" s="120" customFormat="1" x14ac:dyDescent="0.15"/>
    <row r="1493" s="120" customFormat="1" x14ac:dyDescent="0.15"/>
    <row r="1494" s="120" customFormat="1" x14ac:dyDescent="0.15"/>
    <row r="1495" s="120" customFormat="1" x14ac:dyDescent="0.15"/>
    <row r="1496" s="120" customFormat="1" x14ac:dyDescent="0.15"/>
    <row r="1497" s="120" customFormat="1" x14ac:dyDescent="0.15"/>
    <row r="1498" s="120" customFormat="1" x14ac:dyDescent="0.15"/>
    <row r="1499" s="120" customFormat="1" x14ac:dyDescent="0.15"/>
    <row r="1500" s="120" customFormat="1" x14ac:dyDescent="0.15"/>
    <row r="1501" s="120" customFormat="1" x14ac:dyDescent="0.15"/>
    <row r="1502" s="120" customFormat="1" x14ac:dyDescent="0.15"/>
    <row r="1503" s="120" customFormat="1" x14ac:dyDescent="0.15"/>
    <row r="1504" s="120" customFormat="1" x14ac:dyDescent="0.15"/>
    <row r="1505" s="120" customFormat="1" x14ac:dyDescent="0.15"/>
    <row r="1506" s="120" customFormat="1" x14ac:dyDescent="0.15"/>
    <row r="1507" s="120" customFormat="1" x14ac:dyDescent="0.15"/>
    <row r="1508" s="120" customFormat="1" x14ac:dyDescent="0.15"/>
    <row r="1509" s="120" customFormat="1" x14ac:dyDescent="0.15"/>
    <row r="1510" s="120" customFormat="1" x14ac:dyDescent="0.15"/>
    <row r="1511" s="120" customFormat="1" x14ac:dyDescent="0.15"/>
    <row r="1512" s="120" customFormat="1" x14ac:dyDescent="0.15"/>
    <row r="1513" s="120" customFormat="1" x14ac:dyDescent="0.15"/>
    <row r="1514" s="120" customFormat="1" x14ac:dyDescent="0.15"/>
    <row r="1515" s="120" customFormat="1" x14ac:dyDescent="0.15"/>
    <row r="1516" s="120" customFormat="1" x14ac:dyDescent="0.15"/>
    <row r="1517" s="120" customFormat="1" x14ac:dyDescent="0.15"/>
    <row r="1518" s="120" customFormat="1" x14ac:dyDescent="0.15"/>
    <row r="1519" s="120" customFormat="1" x14ac:dyDescent="0.15"/>
    <row r="1520" s="120" customFormat="1" x14ac:dyDescent="0.15"/>
    <row r="1521" s="120" customFormat="1" x14ac:dyDescent="0.15"/>
    <row r="1522" s="120" customFormat="1" x14ac:dyDescent="0.15"/>
    <row r="1523" s="120" customFormat="1" x14ac:dyDescent="0.15"/>
    <row r="1524" s="120" customFormat="1" x14ac:dyDescent="0.15"/>
    <row r="1525" s="120" customFormat="1" x14ac:dyDescent="0.15"/>
    <row r="1526" s="120" customFormat="1" x14ac:dyDescent="0.15"/>
    <row r="1527" s="120" customFormat="1" x14ac:dyDescent="0.15"/>
    <row r="1528" s="120" customFormat="1" x14ac:dyDescent="0.15"/>
    <row r="1529" s="120" customFormat="1" x14ac:dyDescent="0.15"/>
    <row r="1530" s="120" customFormat="1" x14ac:dyDescent="0.15"/>
    <row r="1531" s="120" customFormat="1" x14ac:dyDescent="0.15"/>
    <row r="1532" s="120" customFormat="1" x14ac:dyDescent="0.15"/>
    <row r="1533" s="120" customFormat="1" x14ac:dyDescent="0.15"/>
    <row r="1534" s="120" customFormat="1" x14ac:dyDescent="0.15"/>
    <row r="1535" s="120" customFormat="1" x14ac:dyDescent="0.15"/>
    <row r="1536" s="120" customFormat="1" x14ac:dyDescent="0.15"/>
    <row r="1537" s="120" customFormat="1" x14ac:dyDescent="0.15"/>
    <row r="1538" s="120" customFormat="1" x14ac:dyDescent="0.15"/>
    <row r="1539" s="120" customFormat="1" x14ac:dyDescent="0.15"/>
    <row r="1540" s="120" customFormat="1" x14ac:dyDescent="0.15"/>
    <row r="1541" s="120" customFormat="1" x14ac:dyDescent="0.15"/>
    <row r="1542" s="120" customFormat="1" x14ac:dyDescent="0.15"/>
    <row r="1543" s="120" customFormat="1" x14ac:dyDescent="0.15"/>
    <row r="1544" s="120" customFormat="1" x14ac:dyDescent="0.15"/>
    <row r="1545" s="120" customFormat="1" x14ac:dyDescent="0.15"/>
    <row r="1546" s="120" customFormat="1" x14ac:dyDescent="0.15"/>
    <row r="1547" s="120" customFormat="1" x14ac:dyDescent="0.15"/>
    <row r="1548" s="120" customFormat="1" x14ac:dyDescent="0.15"/>
    <row r="1549" s="120" customFormat="1" x14ac:dyDescent="0.15"/>
    <row r="1550" s="120" customFormat="1" x14ac:dyDescent="0.15"/>
    <row r="1551" s="120" customFormat="1" x14ac:dyDescent="0.15"/>
    <row r="1552" s="120" customFormat="1" x14ac:dyDescent="0.15"/>
    <row r="1553" s="120" customFormat="1" x14ac:dyDescent="0.15"/>
    <row r="1554" s="120" customFormat="1" x14ac:dyDescent="0.15"/>
    <row r="1555" s="120" customFormat="1" x14ac:dyDescent="0.15"/>
    <row r="1556" s="120" customFormat="1" x14ac:dyDescent="0.15"/>
    <row r="1557" s="120" customFormat="1" x14ac:dyDescent="0.15"/>
    <row r="1558" s="120" customFormat="1" x14ac:dyDescent="0.15"/>
    <row r="1559" s="120" customFormat="1" x14ac:dyDescent="0.15"/>
    <row r="1560" s="120" customFormat="1" x14ac:dyDescent="0.15"/>
    <row r="1561" s="120" customFormat="1" x14ac:dyDescent="0.15"/>
    <row r="1562" s="120" customFormat="1" x14ac:dyDescent="0.15"/>
    <row r="1563" s="120" customFormat="1" x14ac:dyDescent="0.15"/>
    <row r="1564" s="120" customFormat="1" x14ac:dyDescent="0.15"/>
    <row r="1565" s="120" customFormat="1" x14ac:dyDescent="0.15"/>
    <row r="1566" s="120" customFormat="1" x14ac:dyDescent="0.15"/>
    <row r="1567" s="120" customFormat="1" x14ac:dyDescent="0.15"/>
    <row r="1568" s="120" customFormat="1" x14ac:dyDescent="0.15"/>
    <row r="1569" s="120" customFormat="1" x14ac:dyDescent="0.15"/>
    <row r="1570" s="120" customFormat="1" x14ac:dyDescent="0.15"/>
    <row r="1571" s="120" customFormat="1" x14ac:dyDescent="0.15"/>
    <row r="1572" s="120" customFormat="1" x14ac:dyDescent="0.15"/>
    <row r="1573" s="120" customFormat="1" x14ac:dyDescent="0.15"/>
    <row r="1574" s="120" customFormat="1" x14ac:dyDescent="0.15"/>
    <row r="1575" s="120" customFormat="1" x14ac:dyDescent="0.15"/>
    <row r="1576" s="120" customFormat="1" x14ac:dyDescent="0.15"/>
    <row r="1577" s="120" customFormat="1" x14ac:dyDescent="0.15"/>
    <row r="1578" s="120" customFormat="1" x14ac:dyDescent="0.15"/>
    <row r="1579" s="120" customFormat="1" x14ac:dyDescent="0.15"/>
    <row r="1580" s="120" customFormat="1" x14ac:dyDescent="0.15"/>
    <row r="1581" s="120" customFormat="1" x14ac:dyDescent="0.15"/>
    <row r="1582" s="120" customFormat="1" x14ac:dyDescent="0.15"/>
    <row r="1583" s="120" customFormat="1" x14ac:dyDescent="0.15"/>
    <row r="1584" s="120" customFormat="1" x14ac:dyDescent="0.15"/>
    <row r="1585" s="120" customFormat="1" x14ac:dyDescent="0.15"/>
    <row r="1586" s="120" customFormat="1" x14ac:dyDescent="0.15"/>
    <row r="1587" s="120" customFormat="1" x14ac:dyDescent="0.15"/>
    <row r="1588" s="120" customFormat="1" x14ac:dyDescent="0.15"/>
    <row r="1589" s="120" customFormat="1" x14ac:dyDescent="0.15"/>
    <row r="1590" s="120" customFormat="1" x14ac:dyDescent="0.15"/>
    <row r="1591" s="120" customFormat="1" x14ac:dyDescent="0.15"/>
    <row r="1592" s="120" customFormat="1" x14ac:dyDescent="0.15"/>
    <row r="1593" s="120" customFormat="1" x14ac:dyDescent="0.15"/>
    <row r="1594" s="120" customFormat="1" x14ac:dyDescent="0.15"/>
    <row r="1595" s="120" customFormat="1" x14ac:dyDescent="0.15"/>
    <row r="1596" s="120" customFormat="1" x14ac:dyDescent="0.15"/>
    <row r="1597" s="120" customFormat="1" x14ac:dyDescent="0.15"/>
    <row r="1598" s="120" customFormat="1" x14ac:dyDescent="0.15"/>
    <row r="1599" s="120" customFormat="1" x14ac:dyDescent="0.15"/>
    <row r="1600" s="120" customFormat="1" x14ac:dyDescent="0.15"/>
    <row r="1601" s="120" customFormat="1" x14ac:dyDescent="0.15"/>
    <row r="1602" s="120" customFormat="1" x14ac:dyDescent="0.15"/>
    <row r="1603" s="120" customFormat="1" x14ac:dyDescent="0.15"/>
    <row r="1604" s="120" customFormat="1" x14ac:dyDescent="0.15"/>
    <row r="1605" s="120" customFormat="1" x14ac:dyDescent="0.15"/>
    <row r="1606" s="120" customFormat="1" x14ac:dyDescent="0.15"/>
    <row r="1607" s="120" customFormat="1" x14ac:dyDescent="0.15"/>
    <row r="1608" s="120" customFormat="1" x14ac:dyDescent="0.15"/>
    <row r="1609" s="120" customFormat="1" x14ac:dyDescent="0.15"/>
    <row r="1610" s="120" customFormat="1" x14ac:dyDescent="0.15"/>
    <row r="1611" s="120" customFormat="1" x14ac:dyDescent="0.15"/>
    <row r="1612" s="120" customFormat="1" x14ac:dyDescent="0.15"/>
    <row r="1613" s="120" customFormat="1" x14ac:dyDescent="0.15"/>
    <row r="1614" s="120" customFormat="1" x14ac:dyDescent="0.15"/>
    <row r="1615" s="120" customFormat="1" x14ac:dyDescent="0.15"/>
    <row r="1616" s="120" customFormat="1" x14ac:dyDescent="0.15"/>
    <row r="1617" s="120" customFormat="1" x14ac:dyDescent="0.15"/>
    <row r="1618" s="120" customFormat="1" x14ac:dyDescent="0.15"/>
    <row r="1619" s="120" customFormat="1" x14ac:dyDescent="0.15"/>
    <row r="1620" s="120" customFormat="1" x14ac:dyDescent="0.15"/>
    <row r="1621" s="120" customFormat="1" x14ac:dyDescent="0.15"/>
    <row r="1622" s="120" customFormat="1" x14ac:dyDescent="0.15"/>
    <row r="1623" s="120" customFormat="1" x14ac:dyDescent="0.15"/>
    <row r="1624" s="120" customFormat="1" x14ac:dyDescent="0.15"/>
    <row r="1625" s="120" customFormat="1" x14ac:dyDescent="0.15"/>
    <row r="1626" s="120" customFormat="1" x14ac:dyDescent="0.15"/>
    <row r="1627" s="120" customFormat="1" x14ac:dyDescent="0.15"/>
    <row r="1628" s="120" customFormat="1" x14ac:dyDescent="0.15"/>
    <row r="1629" s="120" customFormat="1" x14ac:dyDescent="0.15"/>
    <row r="1630" s="120" customFormat="1" x14ac:dyDescent="0.15"/>
    <row r="1631" s="120" customFormat="1" x14ac:dyDescent="0.15"/>
    <row r="1632" s="120" customFormat="1" x14ac:dyDescent="0.15"/>
    <row r="1633" s="120" customFormat="1" x14ac:dyDescent="0.15"/>
    <row r="1634" s="120" customFormat="1" x14ac:dyDescent="0.15"/>
    <row r="1635" s="120" customFormat="1" x14ac:dyDescent="0.15"/>
    <row r="1636" s="120" customFormat="1" x14ac:dyDescent="0.15"/>
    <row r="1637" s="120" customFormat="1" x14ac:dyDescent="0.15"/>
    <row r="1638" s="120" customFormat="1" x14ac:dyDescent="0.15"/>
    <row r="1639" s="120" customFormat="1" x14ac:dyDescent="0.15"/>
    <row r="1640" s="120" customFormat="1" x14ac:dyDescent="0.15"/>
    <row r="1641" s="120" customFormat="1" x14ac:dyDescent="0.15"/>
    <row r="1642" s="120" customFormat="1" x14ac:dyDescent="0.15"/>
    <row r="1643" s="120" customFormat="1" x14ac:dyDescent="0.15"/>
    <row r="1644" s="120" customFormat="1" x14ac:dyDescent="0.15"/>
    <row r="1645" s="120" customFormat="1" x14ac:dyDescent="0.15"/>
    <row r="1646" s="120" customFormat="1" x14ac:dyDescent="0.15"/>
    <row r="1647" s="120" customFormat="1" x14ac:dyDescent="0.15"/>
    <row r="1648" s="120" customFormat="1" x14ac:dyDescent="0.15"/>
    <row r="1649" s="120" customFormat="1" x14ac:dyDescent="0.15"/>
    <row r="1650" s="120" customFormat="1" x14ac:dyDescent="0.15"/>
    <row r="1651" s="120" customFormat="1" x14ac:dyDescent="0.15"/>
    <row r="1652" s="120" customFormat="1" x14ac:dyDescent="0.15"/>
    <row r="1653" s="120" customFormat="1" x14ac:dyDescent="0.15"/>
    <row r="1654" s="120" customFormat="1" x14ac:dyDescent="0.15"/>
    <row r="1655" s="120" customFormat="1" x14ac:dyDescent="0.15"/>
    <row r="1656" s="120" customFormat="1" x14ac:dyDescent="0.15"/>
    <row r="1657" s="120" customFormat="1" x14ac:dyDescent="0.15"/>
    <row r="1658" s="120" customFormat="1" x14ac:dyDescent="0.15"/>
    <row r="1659" s="120" customFormat="1" x14ac:dyDescent="0.15"/>
    <row r="1660" s="120" customFormat="1" x14ac:dyDescent="0.15"/>
    <row r="1661" s="120" customFormat="1" x14ac:dyDescent="0.15"/>
    <row r="1662" s="120" customFormat="1" x14ac:dyDescent="0.15"/>
    <row r="1663" s="120" customFormat="1" x14ac:dyDescent="0.15"/>
    <row r="1664" s="120" customFormat="1" x14ac:dyDescent="0.15"/>
    <row r="1665" s="120" customFormat="1" x14ac:dyDescent="0.15"/>
    <row r="1666" s="120" customFormat="1" x14ac:dyDescent="0.15"/>
    <row r="1667" s="120" customFormat="1" x14ac:dyDescent="0.15"/>
    <row r="1668" s="120" customFormat="1" x14ac:dyDescent="0.15"/>
    <row r="1669" s="120" customFormat="1" x14ac:dyDescent="0.15"/>
    <row r="1670" s="120" customFormat="1" x14ac:dyDescent="0.15"/>
    <row r="1671" s="120" customFormat="1" x14ac:dyDescent="0.15"/>
    <row r="1672" s="120" customFormat="1" x14ac:dyDescent="0.15"/>
    <row r="1673" s="120" customFormat="1" x14ac:dyDescent="0.15"/>
    <row r="1674" s="120" customFormat="1" x14ac:dyDescent="0.15"/>
    <row r="1675" s="120" customFormat="1" x14ac:dyDescent="0.15"/>
    <row r="1676" s="120" customFormat="1" x14ac:dyDescent="0.15"/>
    <row r="1677" s="120" customFormat="1" x14ac:dyDescent="0.15"/>
    <row r="1678" s="120" customFormat="1" x14ac:dyDescent="0.15"/>
    <row r="1679" s="120" customFormat="1" x14ac:dyDescent="0.15"/>
    <row r="1680" s="120" customFormat="1" x14ac:dyDescent="0.15"/>
    <row r="1681" s="120" customFormat="1" x14ac:dyDescent="0.15"/>
    <row r="1682" s="120" customFormat="1" x14ac:dyDescent="0.15"/>
    <row r="1683" s="120" customFormat="1" x14ac:dyDescent="0.15"/>
    <row r="1684" s="120" customFormat="1" x14ac:dyDescent="0.15"/>
    <row r="1685" s="120" customFormat="1" x14ac:dyDescent="0.15"/>
    <row r="1686" s="120" customFormat="1" x14ac:dyDescent="0.15"/>
    <row r="1687" s="120" customFormat="1" x14ac:dyDescent="0.15"/>
    <row r="1688" s="120" customFormat="1" x14ac:dyDescent="0.15"/>
    <row r="1689" s="120" customFormat="1" x14ac:dyDescent="0.15"/>
    <row r="1690" s="120" customFormat="1" x14ac:dyDescent="0.15"/>
    <row r="1691" s="120" customFormat="1" x14ac:dyDescent="0.15"/>
    <row r="1692" s="120" customFormat="1" x14ac:dyDescent="0.15"/>
    <row r="1693" s="120" customFormat="1" x14ac:dyDescent="0.15"/>
    <row r="1694" s="120" customFormat="1" x14ac:dyDescent="0.15"/>
    <row r="1695" s="120" customFormat="1" x14ac:dyDescent="0.15"/>
    <row r="1696" s="120" customFormat="1" x14ac:dyDescent="0.15"/>
    <row r="1697" s="120" customFormat="1" x14ac:dyDescent="0.15"/>
    <row r="1698" s="120" customFormat="1" x14ac:dyDescent="0.15"/>
    <row r="1699" s="120" customFormat="1" x14ac:dyDescent="0.15"/>
    <row r="1700" s="120" customFormat="1" x14ac:dyDescent="0.15"/>
    <row r="1701" s="120" customFormat="1" x14ac:dyDescent="0.15"/>
    <row r="1702" s="120" customFormat="1" x14ac:dyDescent="0.15"/>
    <row r="1703" s="120" customFormat="1" x14ac:dyDescent="0.15"/>
    <row r="1704" s="120" customFormat="1" x14ac:dyDescent="0.15"/>
    <row r="1705" s="120" customFormat="1" x14ac:dyDescent="0.15"/>
    <row r="1706" s="120" customFormat="1" x14ac:dyDescent="0.15"/>
    <row r="1707" s="120" customFormat="1" x14ac:dyDescent="0.15"/>
    <row r="1708" s="120" customFormat="1" x14ac:dyDescent="0.15"/>
    <row r="1709" s="120" customFormat="1" x14ac:dyDescent="0.15"/>
    <row r="1710" s="120" customFormat="1" x14ac:dyDescent="0.15"/>
    <row r="1711" s="120" customFormat="1" x14ac:dyDescent="0.15"/>
    <row r="1712" s="120" customFormat="1" x14ac:dyDescent="0.15"/>
    <row r="1713" s="120" customFormat="1" x14ac:dyDescent="0.15"/>
    <row r="1714" s="120" customFormat="1" x14ac:dyDescent="0.15"/>
    <row r="1715" s="120" customFormat="1" x14ac:dyDescent="0.15"/>
    <row r="1716" s="120" customFormat="1" x14ac:dyDescent="0.15"/>
    <row r="1717" s="120" customFormat="1" x14ac:dyDescent="0.15"/>
    <row r="1718" s="120" customFormat="1" x14ac:dyDescent="0.15"/>
    <row r="1719" s="120" customFormat="1" x14ac:dyDescent="0.15"/>
    <row r="1720" s="120" customFormat="1" x14ac:dyDescent="0.15"/>
    <row r="1721" s="120" customFormat="1" x14ac:dyDescent="0.15"/>
    <row r="1722" s="120" customFormat="1" x14ac:dyDescent="0.15"/>
    <row r="1723" s="120" customFormat="1" x14ac:dyDescent="0.15"/>
    <row r="1724" s="120" customFormat="1" x14ac:dyDescent="0.15"/>
    <row r="1725" s="120" customFormat="1" x14ac:dyDescent="0.15"/>
    <row r="1726" s="120" customFormat="1" x14ac:dyDescent="0.15"/>
    <row r="1727" s="120" customFormat="1" x14ac:dyDescent="0.15"/>
    <row r="1728" s="120" customFormat="1" x14ac:dyDescent="0.15"/>
    <row r="1729" s="120" customFormat="1" x14ac:dyDescent="0.15"/>
    <row r="1730" s="120" customFormat="1" x14ac:dyDescent="0.15"/>
    <row r="1731" s="120" customFormat="1" x14ac:dyDescent="0.15"/>
    <row r="1732" s="120" customFormat="1" x14ac:dyDescent="0.15"/>
    <row r="1733" s="120" customFormat="1" x14ac:dyDescent="0.15"/>
    <row r="1734" s="120" customFormat="1" x14ac:dyDescent="0.15"/>
    <row r="1735" s="120" customFormat="1" x14ac:dyDescent="0.15"/>
    <row r="1736" s="120" customFormat="1" x14ac:dyDescent="0.15"/>
    <row r="1737" s="120" customFormat="1" x14ac:dyDescent="0.15"/>
    <row r="1738" s="120" customFormat="1" x14ac:dyDescent="0.15"/>
    <row r="1739" s="120" customFormat="1" x14ac:dyDescent="0.15"/>
    <row r="1740" s="120" customFormat="1" x14ac:dyDescent="0.15"/>
    <row r="1741" s="120" customFormat="1" x14ac:dyDescent="0.15"/>
    <row r="1742" s="120" customFormat="1" x14ac:dyDescent="0.15"/>
    <row r="1743" s="120" customFormat="1" x14ac:dyDescent="0.15"/>
    <row r="1744" s="120" customFormat="1" x14ac:dyDescent="0.15"/>
    <row r="1745" s="120" customFormat="1" x14ac:dyDescent="0.15"/>
    <row r="1746" s="120" customFormat="1" x14ac:dyDescent="0.15"/>
    <row r="1747" s="120" customFormat="1" x14ac:dyDescent="0.15"/>
    <row r="1748" s="120" customFormat="1" x14ac:dyDescent="0.15"/>
    <row r="1749" s="120" customFormat="1" x14ac:dyDescent="0.15"/>
    <row r="1750" s="120" customFormat="1" x14ac:dyDescent="0.15"/>
    <row r="1751" s="120" customFormat="1" x14ac:dyDescent="0.15"/>
    <row r="1752" s="120" customFormat="1" x14ac:dyDescent="0.15"/>
    <row r="1753" s="120" customFormat="1" x14ac:dyDescent="0.15"/>
    <row r="1754" s="120" customFormat="1" x14ac:dyDescent="0.15"/>
    <row r="1755" s="120" customFormat="1" x14ac:dyDescent="0.15"/>
    <row r="1756" s="120" customFormat="1" x14ac:dyDescent="0.15"/>
    <row r="1757" s="120" customFormat="1" x14ac:dyDescent="0.15"/>
    <row r="1758" s="120" customFormat="1" x14ac:dyDescent="0.15"/>
    <row r="1759" s="120" customFormat="1" x14ac:dyDescent="0.15"/>
    <row r="1760" s="120" customFormat="1" x14ac:dyDescent="0.15"/>
    <row r="1761" s="120" customFormat="1" x14ac:dyDescent="0.15"/>
    <row r="1762" s="120" customFormat="1" x14ac:dyDescent="0.15"/>
    <row r="1763" s="120" customFormat="1" x14ac:dyDescent="0.15"/>
    <row r="1764" s="120" customFormat="1" x14ac:dyDescent="0.15"/>
    <row r="1765" s="120" customFormat="1" x14ac:dyDescent="0.15"/>
    <row r="1766" s="120" customFormat="1" x14ac:dyDescent="0.15"/>
    <row r="1767" s="120" customFormat="1" x14ac:dyDescent="0.15"/>
    <row r="1768" s="120" customFormat="1" x14ac:dyDescent="0.15"/>
    <row r="1769" s="120" customFormat="1" x14ac:dyDescent="0.15"/>
    <row r="1770" s="120" customFormat="1" x14ac:dyDescent="0.15"/>
    <row r="1771" s="120" customFormat="1" x14ac:dyDescent="0.15"/>
    <row r="1772" s="120" customFormat="1" x14ac:dyDescent="0.15"/>
    <row r="1773" s="120" customFormat="1" x14ac:dyDescent="0.15"/>
    <row r="1774" s="120" customFormat="1" x14ac:dyDescent="0.15"/>
    <row r="1775" s="120" customFormat="1" x14ac:dyDescent="0.15"/>
    <row r="1776" s="120" customFormat="1" x14ac:dyDescent="0.15"/>
    <row r="1777" s="120" customFormat="1" x14ac:dyDescent="0.15"/>
    <row r="1778" s="120" customFormat="1" x14ac:dyDescent="0.15"/>
    <row r="1779" s="120" customFormat="1" x14ac:dyDescent="0.15"/>
    <row r="1780" s="120" customFormat="1" x14ac:dyDescent="0.15"/>
    <row r="1781" s="120" customFormat="1" x14ac:dyDescent="0.15"/>
    <row r="1782" s="120" customFormat="1" x14ac:dyDescent="0.15"/>
    <row r="1783" s="120" customFormat="1" x14ac:dyDescent="0.15"/>
    <row r="1784" s="120" customFormat="1" x14ac:dyDescent="0.15"/>
    <row r="1785" s="120" customFormat="1" x14ac:dyDescent="0.15"/>
    <row r="1786" s="120" customFormat="1" x14ac:dyDescent="0.15"/>
    <row r="1787" s="120" customFormat="1" x14ac:dyDescent="0.15"/>
    <row r="1788" s="120" customFormat="1" x14ac:dyDescent="0.15"/>
    <row r="1789" s="120" customFormat="1" x14ac:dyDescent="0.15"/>
    <row r="1790" s="120" customFormat="1" x14ac:dyDescent="0.15"/>
    <row r="1791" s="120" customFormat="1" x14ac:dyDescent="0.15"/>
    <row r="1792" s="120" customFormat="1" x14ac:dyDescent="0.15"/>
    <row r="1793" s="120" customFormat="1" x14ac:dyDescent="0.15"/>
    <row r="1794" s="120" customFormat="1" x14ac:dyDescent="0.15"/>
    <row r="1795" s="120" customFormat="1" x14ac:dyDescent="0.15"/>
    <row r="1796" s="120" customFormat="1" x14ac:dyDescent="0.15"/>
    <row r="1797" s="120" customFormat="1" x14ac:dyDescent="0.15"/>
    <row r="1798" s="120" customFormat="1" x14ac:dyDescent="0.15"/>
    <row r="1799" s="120" customFormat="1" x14ac:dyDescent="0.15"/>
    <row r="1800" s="120" customFormat="1" x14ac:dyDescent="0.15"/>
    <row r="1801" s="120" customFormat="1" x14ac:dyDescent="0.15"/>
    <row r="1802" s="120" customFormat="1" x14ac:dyDescent="0.15"/>
    <row r="1803" s="120" customFormat="1" x14ac:dyDescent="0.15"/>
    <row r="1804" s="120" customFormat="1" x14ac:dyDescent="0.15"/>
    <row r="1805" s="120" customFormat="1" x14ac:dyDescent="0.15"/>
    <row r="1806" s="120" customFormat="1" x14ac:dyDescent="0.15"/>
    <row r="1807" s="120" customFormat="1" x14ac:dyDescent="0.15"/>
    <row r="1808" s="120" customFormat="1" x14ac:dyDescent="0.15"/>
    <row r="1809" s="120" customFormat="1" x14ac:dyDescent="0.15"/>
    <row r="1810" s="120" customFormat="1" x14ac:dyDescent="0.15"/>
    <row r="1811" s="120" customFormat="1" x14ac:dyDescent="0.15"/>
    <row r="1812" s="120" customFormat="1" x14ac:dyDescent="0.15"/>
    <row r="1813" s="120" customFormat="1" x14ac:dyDescent="0.15"/>
    <row r="1814" s="120" customFormat="1" x14ac:dyDescent="0.15"/>
    <row r="1815" s="120" customFormat="1" x14ac:dyDescent="0.15"/>
    <row r="1816" s="120" customFormat="1" x14ac:dyDescent="0.15"/>
    <row r="1817" s="120" customFormat="1" x14ac:dyDescent="0.15"/>
    <row r="1818" s="120" customFormat="1" x14ac:dyDescent="0.15"/>
    <row r="1819" s="120" customFormat="1" x14ac:dyDescent="0.15"/>
    <row r="1820" s="120" customFormat="1" x14ac:dyDescent="0.15"/>
    <row r="1821" s="120" customFormat="1" x14ac:dyDescent="0.15"/>
    <row r="1822" s="120" customFormat="1" x14ac:dyDescent="0.15"/>
    <row r="1823" s="120" customFormat="1" x14ac:dyDescent="0.15"/>
    <row r="1824" s="120" customFormat="1" x14ac:dyDescent="0.15"/>
    <row r="1825" s="120" customFormat="1" x14ac:dyDescent="0.15"/>
    <row r="1826" s="120" customFormat="1" x14ac:dyDescent="0.15"/>
    <row r="1827" s="120" customFormat="1" x14ac:dyDescent="0.15"/>
    <row r="1828" s="120" customFormat="1" x14ac:dyDescent="0.15"/>
    <row r="1829" s="120" customFormat="1" x14ac:dyDescent="0.15"/>
    <row r="1830" s="120" customFormat="1" x14ac:dyDescent="0.15"/>
    <row r="1831" s="120" customFormat="1" x14ac:dyDescent="0.15"/>
    <row r="1832" s="120" customFormat="1" x14ac:dyDescent="0.15"/>
    <row r="1833" s="120" customFormat="1" x14ac:dyDescent="0.15"/>
    <row r="1834" s="120" customFormat="1" x14ac:dyDescent="0.15"/>
    <row r="1835" s="120" customFormat="1" x14ac:dyDescent="0.15"/>
    <row r="1836" s="120" customFormat="1" x14ac:dyDescent="0.15"/>
    <row r="1837" s="120" customFormat="1" x14ac:dyDescent="0.15"/>
    <row r="1838" s="120" customFormat="1" x14ac:dyDescent="0.15"/>
    <row r="1839" s="120" customFormat="1" x14ac:dyDescent="0.15"/>
    <row r="1840" s="120" customFormat="1" x14ac:dyDescent="0.15"/>
    <row r="1841" s="120" customFormat="1" x14ac:dyDescent="0.15"/>
    <row r="1842" s="120" customFormat="1" x14ac:dyDescent="0.15"/>
    <row r="1843" s="120" customFormat="1" x14ac:dyDescent="0.15"/>
    <row r="1844" s="120" customFormat="1" x14ac:dyDescent="0.15"/>
    <row r="1845" s="120" customFormat="1" x14ac:dyDescent="0.15"/>
    <row r="1846" s="120" customFormat="1" x14ac:dyDescent="0.15"/>
    <row r="1847" s="120" customFormat="1" x14ac:dyDescent="0.15"/>
    <row r="1848" s="120" customFormat="1" x14ac:dyDescent="0.15"/>
    <row r="1849" s="120" customFormat="1" x14ac:dyDescent="0.15"/>
    <row r="1850" s="120" customFormat="1" x14ac:dyDescent="0.15"/>
    <row r="1851" s="120" customFormat="1" x14ac:dyDescent="0.15"/>
    <row r="1852" s="120" customFormat="1" x14ac:dyDescent="0.15"/>
    <row r="1853" s="120" customFormat="1" x14ac:dyDescent="0.15"/>
    <row r="1854" s="120" customFormat="1" x14ac:dyDescent="0.15"/>
    <row r="1855" s="120" customFormat="1" x14ac:dyDescent="0.15"/>
    <row r="1856" s="120" customFormat="1" x14ac:dyDescent="0.15"/>
    <row r="1857" s="120" customFormat="1" x14ac:dyDescent="0.15"/>
    <row r="1858" s="120" customFormat="1" x14ac:dyDescent="0.15"/>
    <row r="1859" s="120" customFormat="1" x14ac:dyDescent="0.15"/>
    <row r="1860" s="120" customFormat="1" x14ac:dyDescent="0.15"/>
    <row r="1861" s="120" customFormat="1" x14ac:dyDescent="0.15"/>
    <row r="1862" s="120" customFormat="1" x14ac:dyDescent="0.15"/>
    <row r="1863" s="120" customFormat="1" x14ac:dyDescent="0.15"/>
    <row r="1864" s="120" customFormat="1" x14ac:dyDescent="0.15"/>
    <row r="1865" s="120" customFormat="1" x14ac:dyDescent="0.15"/>
    <row r="1866" s="120" customFormat="1" x14ac:dyDescent="0.15"/>
    <row r="1867" s="120" customFormat="1" x14ac:dyDescent="0.15"/>
    <row r="1868" s="120" customFormat="1" x14ac:dyDescent="0.15"/>
    <row r="1869" s="120" customFormat="1" x14ac:dyDescent="0.15"/>
    <row r="1870" s="120" customFormat="1" x14ac:dyDescent="0.15"/>
    <row r="1871" s="120" customFormat="1" x14ac:dyDescent="0.15"/>
    <row r="1872" s="120" customFormat="1" x14ac:dyDescent="0.15"/>
    <row r="1873" s="120" customFormat="1" x14ac:dyDescent="0.15"/>
    <row r="1874" s="120" customFormat="1" x14ac:dyDescent="0.15"/>
    <row r="1875" s="120" customFormat="1" x14ac:dyDescent="0.15"/>
    <row r="1876" s="120" customFormat="1" x14ac:dyDescent="0.15"/>
    <row r="1877" s="120" customFormat="1" x14ac:dyDescent="0.15"/>
    <row r="1878" s="120" customFormat="1" x14ac:dyDescent="0.15"/>
    <row r="1879" s="120" customFormat="1" x14ac:dyDescent="0.15"/>
    <row r="1880" s="120" customFormat="1" x14ac:dyDescent="0.15"/>
    <row r="1881" s="120" customFormat="1" x14ac:dyDescent="0.15"/>
    <row r="1882" s="120" customFormat="1" x14ac:dyDescent="0.15"/>
    <row r="1883" s="120" customFormat="1" x14ac:dyDescent="0.15"/>
    <row r="1884" s="120" customFormat="1" x14ac:dyDescent="0.15"/>
    <row r="1885" s="120" customFormat="1" x14ac:dyDescent="0.15"/>
    <row r="1886" s="120" customFormat="1" x14ac:dyDescent="0.15"/>
    <row r="1887" s="120" customFormat="1" x14ac:dyDescent="0.15"/>
    <row r="1888" s="120" customFormat="1" x14ac:dyDescent="0.15"/>
    <row r="1889" s="120" customFormat="1" x14ac:dyDescent="0.15"/>
    <row r="1890" s="120" customFormat="1" x14ac:dyDescent="0.15"/>
    <row r="1891" s="120" customFormat="1" x14ac:dyDescent="0.15"/>
    <row r="1892" s="120" customFormat="1" x14ac:dyDescent="0.15"/>
    <row r="1893" s="120" customFormat="1" x14ac:dyDescent="0.15"/>
    <row r="1894" s="120" customFormat="1" x14ac:dyDescent="0.15"/>
    <row r="1895" s="120" customFormat="1" x14ac:dyDescent="0.15"/>
    <row r="1896" s="120" customFormat="1" x14ac:dyDescent="0.15"/>
    <row r="1897" s="120" customFormat="1" x14ac:dyDescent="0.15"/>
    <row r="1898" s="120" customFormat="1" x14ac:dyDescent="0.15"/>
    <row r="1899" s="120" customFormat="1" x14ac:dyDescent="0.15"/>
    <row r="1900" s="120" customFormat="1" x14ac:dyDescent="0.15"/>
    <row r="1901" s="120" customFormat="1" x14ac:dyDescent="0.15"/>
    <row r="1902" s="120" customFormat="1" x14ac:dyDescent="0.15"/>
    <row r="1903" s="120" customFormat="1" x14ac:dyDescent="0.15"/>
    <row r="1904" s="120" customFormat="1" x14ac:dyDescent="0.15"/>
    <row r="1905" s="120" customFormat="1" x14ac:dyDescent="0.15"/>
    <row r="1906" s="120" customFormat="1" x14ac:dyDescent="0.15"/>
    <row r="1907" s="120" customFormat="1" x14ac:dyDescent="0.15"/>
    <row r="1908" s="120" customFormat="1" x14ac:dyDescent="0.15"/>
    <row r="1909" s="120" customFormat="1" x14ac:dyDescent="0.15"/>
    <row r="1910" s="120" customFormat="1" x14ac:dyDescent="0.15"/>
    <row r="1911" s="120" customFormat="1" x14ac:dyDescent="0.15"/>
    <row r="1912" s="120" customFormat="1" x14ac:dyDescent="0.15"/>
    <row r="1913" s="120" customFormat="1" x14ac:dyDescent="0.15"/>
    <row r="1914" s="120" customFormat="1" x14ac:dyDescent="0.15"/>
    <row r="1915" s="120" customFormat="1" x14ac:dyDescent="0.15"/>
    <row r="1916" s="120" customFormat="1" x14ac:dyDescent="0.15"/>
    <row r="1917" s="120" customFormat="1" x14ac:dyDescent="0.15"/>
    <row r="1918" s="120" customFormat="1" x14ac:dyDescent="0.15"/>
    <row r="1919" s="120" customFormat="1" x14ac:dyDescent="0.15"/>
    <row r="1920" s="120" customFormat="1" x14ac:dyDescent="0.15"/>
    <row r="1921" s="120" customFormat="1" x14ac:dyDescent="0.15"/>
    <row r="1922" s="120" customFormat="1" x14ac:dyDescent="0.15"/>
    <row r="1923" s="120" customFormat="1" x14ac:dyDescent="0.15"/>
    <row r="1924" s="120" customFormat="1" x14ac:dyDescent="0.15"/>
    <row r="1925" s="120" customFormat="1" x14ac:dyDescent="0.15"/>
    <row r="1926" s="120" customFormat="1" x14ac:dyDescent="0.15"/>
    <row r="1927" s="120" customFormat="1" x14ac:dyDescent="0.15"/>
    <row r="1928" s="120" customFormat="1" x14ac:dyDescent="0.15"/>
    <row r="1929" s="120" customFormat="1" x14ac:dyDescent="0.15"/>
    <row r="1930" s="120" customFormat="1" x14ac:dyDescent="0.15"/>
    <row r="1931" s="120" customFormat="1" x14ac:dyDescent="0.15"/>
    <row r="1932" s="120" customFormat="1" x14ac:dyDescent="0.15"/>
    <row r="1933" s="120" customFormat="1" x14ac:dyDescent="0.15"/>
    <row r="1934" s="120" customFormat="1" x14ac:dyDescent="0.15"/>
    <row r="1935" s="120" customFormat="1" x14ac:dyDescent="0.15"/>
    <row r="1936" s="120" customFormat="1" x14ac:dyDescent="0.15"/>
    <row r="1937" s="120" customFormat="1" x14ac:dyDescent="0.15"/>
    <row r="1938" s="120" customFormat="1" x14ac:dyDescent="0.15"/>
    <row r="1939" s="120" customFormat="1" x14ac:dyDescent="0.15"/>
    <row r="1940" s="120" customFormat="1" x14ac:dyDescent="0.15"/>
    <row r="1941" s="120" customFormat="1" x14ac:dyDescent="0.15"/>
    <row r="1942" s="120" customFormat="1" x14ac:dyDescent="0.15"/>
    <row r="1943" s="120" customFormat="1" x14ac:dyDescent="0.15"/>
    <row r="1944" s="120" customFormat="1" x14ac:dyDescent="0.15"/>
    <row r="1945" s="120" customFormat="1" x14ac:dyDescent="0.15"/>
    <row r="1946" s="120" customFormat="1" x14ac:dyDescent="0.15"/>
    <row r="1947" s="120" customFormat="1" x14ac:dyDescent="0.15"/>
    <row r="1948" s="120" customFormat="1" x14ac:dyDescent="0.15"/>
    <row r="1949" s="120" customFormat="1" x14ac:dyDescent="0.15"/>
    <row r="1950" s="120" customFormat="1" x14ac:dyDescent="0.15"/>
    <row r="1951" s="120" customFormat="1" x14ac:dyDescent="0.15"/>
    <row r="1952" s="120" customFormat="1" x14ac:dyDescent="0.15"/>
    <row r="1953" s="120" customFormat="1" x14ac:dyDescent="0.15"/>
    <row r="1954" s="120" customFormat="1" x14ac:dyDescent="0.15"/>
    <row r="1955" s="120" customFormat="1" x14ac:dyDescent="0.15"/>
    <row r="1956" s="120" customFormat="1" x14ac:dyDescent="0.15"/>
    <row r="1957" s="120" customFormat="1" x14ac:dyDescent="0.15"/>
    <row r="1958" s="120" customFormat="1" x14ac:dyDescent="0.15"/>
    <row r="1959" s="120" customFormat="1" x14ac:dyDescent="0.15"/>
    <row r="1960" s="120" customFormat="1" x14ac:dyDescent="0.15"/>
    <row r="1961" s="120" customFormat="1" x14ac:dyDescent="0.15"/>
    <row r="1962" s="120" customFormat="1" x14ac:dyDescent="0.15"/>
    <row r="1963" s="120" customFormat="1" x14ac:dyDescent="0.15"/>
    <row r="1964" s="120" customFormat="1" x14ac:dyDescent="0.15"/>
    <row r="1965" s="120" customFormat="1" x14ac:dyDescent="0.15"/>
    <row r="1966" s="120" customFormat="1" x14ac:dyDescent="0.15"/>
    <row r="1967" s="120" customFormat="1" x14ac:dyDescent="0.15"/>
    <row r="1968" s="120" customFormat="1" x14ac:dyDescent="0.15"/>
    <row r="1969" s="120" customFormat="1" x14ac:dyDescent="0.15"/>
    <row r="1970" s="120" customFormat="1" x14ac:dyDescent="0.15"/>
    <row r="1971" s="120" customFormat="1" x14ac:dyDescent="0.15"/>
    <row r="1972" s="120" customFormat="1" x14ac:dyDescent="0.15"/>
    <row r="1973" s="120" customFormat="1" x14ac:dyDescent="0.15"/>
    <row r="1974" s="120" customFormat="1" x14ac:dyDescent="0.15"/>
    <row r="1975" s="120" customFormat="1" x14ac:dyDescent="0.15"/>
    <row r="1976" s="120" customFormat="1" x14ac:dyDescent="0.15"/>
    <row r="1977" s="120" customFormat="1" x14ac:dyDescent="0.15"/>
    <row r="1978" s="120" customFormat="1" x14ac:dyDescent="0.15"/>
    <row r="1979" s="120" customFormat="1" x14ac:dyDescent="0.15"/>
    <row r="1980" s="120" customFormat="1" x14ac:dyDescent="0.15"/>
    <row r="1981" s="120" customFormat="1" x14ac:dyDescent="0.15"/>
    <row r="1982" s="120" customFormat="1" x14ac:dyDescent="0.15"/>
    <row r="1983" s="120" customFormat="1" x14ac:dyDescent="0.15"/>
    <row r="1984" s="120" customFormat="1" x14ac:dyDescent="0.15"/>
    <row r="1985" s="120" customFormat="1" x14ac:dyDescent="0.15"/>
    <row r="1986" s="120" customFormat="1" x14ac:dyDescent="0.15"/>
    <row r="1987" s="120" customFormat="1" x14ac:dyDescent="0.15"/>
    <row r="1988" s="120" customFormat="1" x14ac:dyDescent="0.15"/>
    <row r="1989" s="120" customFormat="1" x14ac:dyDescent="0.15"/>
    <row r="1990" s="120" customFormat="1" x14ac:dyDescent="0.15"/>
    <row r="1991" s="120" customFormat="1" x14ac:dyDescent="0.15"/>
    <row r="1992" s="120" customFormat="1" x14ac:dyDescent="0.15"/>
    <row r="1993" s="120" customFormat="1" x14ac:dyDescent="0.15"/>
    <row r="1994" s="120" customFormat="1" x14ac:dyDescent="0.15"/>
    <row r="1995" s="120" customFormat="1" x14ac:dyDescent="0.15"/>
    <row r="1996" s="120" customFormat="1" x14ac:dyDescent="0.15"/>
    <row r="1997" s="120" customFormat="1" x14ac:dyDescent="0.15"/>
    <row r="1998" s="120" customFormat="1" x14ac:dyDescent="0.15"/>
    <row r="1999" s="120" customFormat="1" x14ac:dyDescent="0.15"/>
    <row r="2000" s="120" customFormat="1" x14ac:dyDescent="0.15"/>
    <row r="2001" s="120" customFormat="1" x14ac:dyDescent="0.15"/>
    <row r="2002" s="120" customFormat="1" x14ac:dyDescent="0.15"/>
    <row r="2003" s="120" customFormat="1" x14ac:dyDescent="0.15"/>
    <row r="2004" s="120" customFormat="1" x14ac:dyDescent="0.15"/>
    <row r="2005" s="120" customFormat="1" x14ac:dyDescent="0.15"/>
    <row r="2006" s="120" customFormat="1" x14ac:dyDescent="0.15"/>
    <row r="2007" s="120" customFormat="1" x14ac:dyDescent="0.15"/>
    <row r="2008" s="120" customFormat="1" x14ac:dyDescent="0.15"/>
    <row r="2009" s="120" customFormat="1" x14ac:dyDescent="0.15"/>
    <row r="2010" s="120" customFormat="1" x14ac:dyDescent="0.15"/>
    <row r="2011" s="120" customFormat="1" x14ac:dyDescent="0.15"/>
    <row r="2012" s="120" customFormat="1" x14ac:dyDescent="0.15"/>
    <row r="2013" s="120" customFormat="1" x14ac:dyDescent="0.15"/>
    <row r="2014" s="120" customFormat="1" x14ac:dyDescent="0.15"/>
    <row r="2015" s="120" customFormat="1" x14ac:dyDescent="0.15"/>
    <row r="2016" s="120" customFormat="1" x14ac:dyDescent="0.15"/>
    <row r="2017" s="120" customFormat="1" x14ac:dyDescent="0.15"/>
    <row r="2018" s="120" customFormat="1" x14ac:dyDescent="0.15"/>
    <row r="2019" s="120" customFormat="1" x14ac:dyDescent="0.15"/>
    <row r="2020" s="120" customFormat="1" x14ac:dyDescent="0.15"/>
    <row r="2021" s="120" customFormat="1" x14ac:dyDescent="0.15"/>
    <row r="2022" s="120" customFormat="1" x14ac:dyDescent="0.15"/>
    <row r="2023" s="120" customFormat="1" x14ac:dyDescent="0.15"/>
    <row r="2024" s="120" customFormat="1" x14ac:dyDescent="0.15"/>
    <row r="2025" s="120" customFormat="1" x14ac:dyDescent="0.15"/>
    <row r="2026" s="120" customFormat="1" x14ac:dyDescent="0.15"/>
    <row r="2027" s="120" customFormat="1" x14ac:dyDescent="0.15"/>
    <row r="2028" s="120" customFormat="1" x14ac:dyDescent="0.15"/>
    <row r="2029" s="120" customFormat="1" x14ac:dyDescent="0.15"/>
    <row r="2030" s="120" customFormat="1" x14ac:dyDescent="0.15"/>
    <row r="2031" s="120" customFormat="1" x14ac:dyDescent="0.15"/>
    <row r="2032" s="120" customFormat="1" x14ac:dyDescent="0.15"/>
    <row r="2033" s="120" customFormat="1" x14ac:dyDescent="0.15"/>
    <row r="2034" s="120" customFormat="1" x14ac:dyDescent="0.15"/>
    <row r="2035" s="120" customFormat="1" x14ac:dyDescent="0.15"/>
    <row r="2036" s="120" customFormat="1" x14ac:dyDescent="0.15"/>
    <row r="2037" s="120" customFormat="1" x14ac:dyDescent="0.15"/>
    <row r="2038" s="120" customFormat="1" x14ac:dyDescent="0.15"/>
    <row r="2039" s="120" customFormat="1" x14ac:dyDescent="0.15"/>
    <row r="2040" s="120" customFormat="1" x14ac:dyDescent="0.15"/>
    <row r="2041" s="120" customFormat="1" x14ac:dyDescent="0.15"/>
    <row r="2042" s="120" customFormat="1" x14ac:dyDescent="0.15"/>
    <row r="2043" s="120" customFormat="1" x14ac:dyDescent="0.15"/>
    <row r="2044" s="120" customFormat="1" x14ac:dyDescent="0.15"/>
    <row r="2045" s="120" customFormat="1" x14ac:dyDescent="0.15"/>
    <row r="2046" s="120" customFormat="1" x14ac:dyDescent="0.15"/>
    <row r="2047" s="120" customFormat="1" x14ac:dyDescent="0.15"/>
    <row r="2048" s="120" customFormat="1" x14ac:dyDescent="0.15"/>
    <row r="2049" s="120" customFormat="1" x14ac:dyDescent="0.15"/>
    <row r="2050" s="120" customFormat="1" x14ac:dyDescent="0.15"/>
    <row r="2051" s="120" customFormat="1" x14ac:dyDescent="0.15"/>
    <row r="2052" s="120" customFormat="1" x14ac:dyDescent="0.15"/>
    <row r="2053" s="120" customFormat="1" x14ac:dyDescent="0.15"/>
    <row r="2054" s="120" customFormat="1" x14ac:dyDescent="0.15"/>
    <row r="2055" s="120" customFormat="1" x14ac:dyDescent="0.15"/>
    <row r="2056" s="120" customFormat="1" x14ac:dyDescent="0.15"/>
    <row r="2057" s="120" customFormat="1" x14ac:dyDescent="0.15"/>
    <row r="2058" s="120" customFormat="1" x14ac:dyDescent="0.15"/>
    <row r="2059" s="120" customFormat="1" x14ac:dyDescent="0.15"/>
    <row r="2060" s="120" customFormat="1" x14ac:dyDescent="0.15"/>
    <row r="2061" s="120" customFormat="1" x14ac:dyDescent="0.15"/>
    <row r="2062" s="120" customFormat="1" x14ac:dyDescent="0.15"/>
    <row r="2063" s="120" customFormat="1" x14ac:dyDescent="0.15"/>
    <row r="2064" s="120" customFormat="1" x14ac:dyDescent="0.15"/>
    <row r="2065" s="120" customFormat="1" x14ac:dyDescent="0.15"/>
    <row r="2066" s="120" customFormat="1" x14ac:dyDescent="0.15"/>
    <row r="2067" s="120" customFormat="1" x14ac:dyDescent="0.15"/>
    <row r="2068" s="120" customFormat="1" x14ac:dyDescent="0.15"/>
    <row r="2069" s="120" customFormat="1" x14ac:dyDescent="0.15"/>
    <row r="2070" s="120" customFormat="1" x14ac:dyDescent="0.15"/>
    <row r="2071" s="120" customFormat="1" x14ac:dyDescent="0.15"/>
    <row r="2072" s="120" customFormat="1" x14ac:dyDescent="0.15"/>
    <row r="2073" s="120" customFormat="1" x14ac:dyDescent="0.15"/>
    <row r="2074" s="120" customFormat="1" x14ac:dyDescent="0.15"/>
    <row r="2075" s="120" customFormat="1" x14ac:dyDescent="0.15"/>
    <row r="2076" s="120" customFormat="1" x14ac:dyDescent="0.15"/>
    <row r="2077" s="120" customFormat="1" x14ac:dyDescent="0.15"/>
    <row r="2078" s="120" customFormat="1" x14ac:dyDescent="0.15"/>
    <row r="2079" s="120" customFormat="1" x14ac:dyDescent="0.15"/>
    <row r="2080" s="120" customFormat="1" x14ac:dyDescent="0.15"/>
    <row r="2081" s="120" customFormat="1" x14ac:dyDescent="0.15"/>
    <row r="2082" s="120" customFormat="1" x14ac:dyDescent="0.15"/>
    <row r="2083" s="120" customFormat="1" x14ac:dyDescent="0.15"/>
    <row r="2084" s="120" customFormat="1" x14ac:dyDescent="0.15"/>
    <row r="2085" s="120" customFormat="1" x14ac:dyDescent="0.15"/>
    <row r="2086" s="120" customFormat="1" x14ac:dyDescent="0.15"/>
    <row r="2087" s="120" customFormat="1" x14ac:dyDescent="0.15"/>
    <row r="2088" s="120" customFormat="1" x14ac:dyDescent="0.15"/>
    <row r="2089" s="120" customFormat="1" x14ac:dyDescent="0.15"/>
    <row r="2090" s="120" customFormat="1" x14ac:dyDescent="0.15"/>
    <row r="2091" s="120" customFormat="1" x14ac:dyDescent="0.15"/>
    <row r="2092" s="120" customFormat="1" x14ac:dyDescent="0.15"/>
    <row r="2093" s="120" customFormat="1" x14ac:dyDescent="0.15"/>
    <row r="2094" s="120" customFormat="1" x14ac:dyDescent="0.15"/>
    <row r="2095" s="120" customFormat="1" x14ac:dyDescent="0.15"/>
    <row r="2096" s="120" customFormat="1" x14ac:dyDescent="0.15"/>
    <row r="2097" s="120" customFormat="1" x14ac:dyDescent="0.15"/>
    <row r="2098" s="120" customFormat="1" x14ac:dyDescent="0.15"/>
    <row r="2099" s="120" customFormat="1" x14ac:dyDescent="0.15"/>
    <row r="2100" s="120" customFormat="1" x14ac:dyDescent="0.15"/>
    <row r="2101" s="120" customFormat="1" x14ac:dyDescent="0.15"/>
    <row r="2102" s="120" customFormat="1" x14ac:dyDescent="0.15"/>
    <row r="2103" s="120" customFormat="1" x14ac:dyDescent="0.15"/>
    <row r="2104" s="120" customFormat="1" x14ac:dyDescent="0.15"/>
    <row r="2105" s="120" customFormat="1" x14ac:dyDescent="0.15"/>
    <row r="2106" s="120" customFormat="1" x14ac:dyDescent="0.15"/>
    <row r="2107" s="120" customFormat="1" x14ac:dyDescent="0.15"/>
    <row r="2108" s="120" customFormat="1" x14ac:dyDescent="0.15"/>
    <row r="2109" s="120" customFormat="1" x14ac:dyDescent="0.15"/>
    <row r="2110" s="120" customFormat="1" x14ac:dyDescent="0.15"/>
    <row r="2111" s="120" customFormat="1" x14ac:dyDescent="0.15"/>
    <row r="2112" s="120" customFormat="1" x14ac:dyDescent="0.15"/>
    <row r="2113" s="120" customFormat="1" x14ac:dyDescent="0.15"/>
    <row r="2114" s="120" customFormat="1" x14ac:dyDescent="0.15"/>
    <row r="2115" s="120" customFormat="1" x14ac:dyDescent="0.15"/>
    <row r="2116" s="120" customFormat="1" x14ac:dyDescent="0.15"/>
    <row r="2117" s="120" customFormat="1" x14ac:dyDescent="0.15"/>
    <row r="2118" s="120" customFormat="1" x14ac:dyDescent="0.15"/>
    <row r="2119" s="120" customFormat="1" x14ac:dyDescent="0.15"/>
    <row r="2120" s="120" customFormat="1" x14ac:dyDescent="0.15"/>
    <row r="2121" s="120" customFormat="1" x14ac:dyDescent="0.15"/>
    <row r="2122" s="120" customFormat="1" x14ac:dyDescent="0.15"/>
    <row r="2123" s="120" customFormat="1" x14ac:dyDescent="0.15"/>
    <row r="2124" s="120" customFormat="1" x14ac:dyDescent="0.15"/>
    <row r="2125" s="120" customFormat="1" x14ac:dyDescent="0.15"/>
    <row r="2126" s="120" customFormat="1" x14ac:dyDescent="0.15"/>
    <row r="2127" s="120" customFormat="1" x14ac:dyDescent="0.15"/>
    <row r="2128" s="120" customFormat="1" x14ac:dyDescent="0.15"/>
    <row r="2129" s="120" customFormat="1" x14ac:dyDescent="0.15"/>
    <row r="2130" s="120" customFormat="1" x14ac:dyDescent="0.15"/>
    <row r="2131" s="120" customFormat="1" x14ac:dyDescent="0.15"/>
    <row r="2132" s="120" customFormat="1" x14ac:dyDescent="0.15"/>
    <row r="2133" s="120" customFormat="1" x14ac:dyDescent="0.15"/>
    <row r="2134" s="120" customFormat="1" x14ac:dyDescent="0.15"/>
    <row r="2135" s="120" customFormat="1" x14ac:dyDescent="0.15"/>
    <row r="2136" s="120" customFormat="1" x14ac:dyDescent="0.15"/>
    <row r="2137" s="120" customFormat="1" x14ac:dyDescent="0.15"/>
    <row r="2138" s="120" customFormat="1" x14ac:dyDescent="0.15"/>
    <row r="2139" s="120" customFormat="1" x14ac:dyDescent="0.15"/>
    <row r="2140" s="120" customFormat="1" x14ac:dyDescent="0.15"/>
    <row r="2141" s="120" customFormat="1" x14ac:dyDescent="0.15"/>
    <row r="2142" s="120" customFormat="1" x14ac:dyDescent="0.15"/>
    <row r="2143" s="120" customFormat="1" x14ac:dyDescent="0.15"/>
    <row r="2144" s="120" customFormat="1" x14ac:dyDescent="0.15"/>
    <row r="2145" s="120" customFormat="1" x14ac:dyDescent="0.15"/>
    <row r="2146" s="120" customFormat="1" x14ac:dyDescent="0.15"/>
    <row r="2147" s="120" customFormat="1" x14ac:dyDescent="0.15"/>
    <row r="2148" s="120" customFormat="1" x14ac:dyDescent="0.15"/>
    <row r="2149" s="120" customFormat="1" x14ac:dyDescent="0.15"/>
    <row r="2150" s="120" customFormat="1" x14ac:dyDescent="0.15"/>
    <row r="2151" s="120" customFormat="1" x14ac:dyDescent="0.15"/>
    <row r="2152" s="120" customFormat="1" x14ac:dyDescent="0.15"/>
    <row r="2153" s="120" customFormat="1" x14ac:dyDescent="0.15"/>
    <row r="2154" s="120" customFormat="1" x14ac:dyDescent="0.15"/>
    <row r="2155" s="120" customFormat="1" x14ac:dyDescent="0.15"/>
    <row r="2156" s="120" customFormat="1" x14ac:dyDescent="0.15"/>
    <row r="2157" s="120" customFormat="1" x14ac:dyDescent="0.15"/>
    <row r="2158" s="120" customFormat="1" x14ac:dyDescent="0.15"/>
    <row r="2159" s="120" customFormat="1" x14ac:dyDescent="0.15"/>
    <row r="2160" s="120" customFormat="1" x14ac:dyDescent="0.15"/>
    <row r="2161" s="120" customFormat="1" x14ac:dyDescent="0.15"/>
    <row r="2162" s="120" customFormat="1" x14ac:dyDescent="0.15"/>
    <row r="2163" s="120" customFormat="1" x14ac:dyDescent="0.15"/>
    <row r="2164" s="120" customFormat="1" x14ac:dyDescent="0.15"/>
    <row r="2165" s="120" customFormat="1" x14ac:dyDescent="0.15"/>
    <row r="2166" s="120" customFormat="1" x14ac:dyDescent="0.15"/>
    <row r="2167" s="120" customFormat="1" x14ac:dyDescent="0.15"/>
    <row r="2168" s="120" customFormat="1" x14ac:dyDescent="0.15"/>
    <row r="2169" s="120" customFormat="1" x14ac:dyDescent="0.15"/>
    <row r="2170" s="120" customFormat="1" x14ac:dyDescent="0.15"/>
    <row r="2171" s="120" customFormat="1" x14ac:dyDescent="0.15"/>
    <row r="2172" s="120" customFormat="1" x14ac:dyDescent="0.15"/>
    <row r="2173" s="120" customFormat="1" x14ac:dyDescent="0.15"/>
    <row r="2174" s="120" customFormat="1" x14ac:dyDescent="0.15"/>
    <row r="2175" s="120" customFormat="1" x14ac:dyDescent="0.15"/>
    <row r="2176" s="120" customFormat="1" x14ac:dyDescent="0.15"/>
    <row r="2177" s="120" customFormat="1" x14ac:dyDescent="0.15"/>
    <row r="2178" s="120" customFormat="1" x14ac:dyDescent="0.15"/>
    <row r="2179" s="120" customFormat="1" x14ac:dyDescent="0.15"/>
    <row r="2180" s="120" customFormat="1" x14ac:dyDescent="0.15"/>
    <row r="2181" s="120" customFormat="1" x14ac:dyDescent="0.15"/>
    <row r="2182" s="120" customFormat="1" x14ac:dyDescent="0.15"/>
    <row r="2183" s="120" customFormat="1" x14ac:dyDescent="0.15"/>
    <row r="2184" s="120" customFormat="1" x14ac:dyDescent="0.15"/>
    <row r="2185" s="120" customFormat="1" x14ac:dyDescent="0.15"/>
    <row r="2186" s="120" customFormat="1" x14ac:dyDescent="0.15"/>
    <row r="2187" s="120" customFormat="1" x14ac:dyDescent="0.15"/>
    <row r="2188" s="120" customFormat="1" x14ac:dyDescent="0.15"/>
    <row r="2189" s="120" customFormat="1" x14ac:dyDescent="0.15"/>
    <row r="2190" s="120" customFormat="1" x14ac:dyDescent="0.15"/>
    <row r="2191" s="120" customFormat="1" x14ac:dyDescent="0.15"/>
    <row r="2192" s="120" customFormat="1" x14ac:dyDescent="0.15"/>
    <row r="2193" s="120" customFormat="1" x14ac:dyDescent="0.15"/>
    <row r="2194" s="120" customFormat="1" x14ac:dyDescent="0.15"/>
    <row r="2195" s="120" customFormat="1" x14ac:dyDescent="0.15"/>
    <row r="2196" s="120" customFormat="1" x14ac:dyDescent="0.15"/>
    <row r="2197" s="120" customFormat="1" x14ac:dyDescent="0.15"/>
    <row r="2198" s="120" customFormat="1" x14ac:dyDescent="0.15"/>
    <row r="2199" s="120" customFormat="1" x14ac:dyDescent="0.15"/>
    <row r="2200" s="120" customFormat="1" x14ac:dyDescent="0.15"/>
    <row r="2201" s="120" customFormat="1" x14ac:dyDescent="0.15"/>
    <row r="2202" s="120" customFormat="1" x14ac:dyDescent="0.15"/>
    <row r="2203" s="120" customFormat="1" x14ac:dyDescent="0.15"/>
    <row r="2204" s="120" customFormat="1" x14ac:dyDescent="0.15"/>
    <row r="2205" s="120" customFormat="1" x14ac:dyDescent="0.15"/>
    <row r="2206" s="120" customFormat="1" x14ac:dyDescent="0.15"/>
    <row r="2207" s="120" customFormat="1" x14ac:dyDescent="0.15"/>
    <row r="2208" s="120" customFormat="1" x14ac:dyDescent="0.15"/>
    <row r="2209" s="120" customFormat="1" x14ac:dyDescent="0.15"/>
    <row r="2210" s="120" customFormat="1" x14ac:dyDescent="0.15"/>
    <row r="2211" s="120" customFormat="1" x14ac:dyDescent="0.15"/>
    <row r="2212" s="120" customFormat="1" x14ac:dyDescent="0.15"/>
    <row r="2213" s="120" customFormat="1" x14ac:dyDescent="0.15"/>
    <row r="2214" s="120" customFormat="1" x14ac:dyDescent="0.15"/>
    <row r="2215" s="120" customFormat="1" x14ac:dyDescent="0.15"/>
    <row r="2216" s="120" customFormat="1" x14ac:dyDescent="0.15"/>
    <row r="2217" s="120" customFormat="1" x14ac:dyDescent="0.15"/>
    <row r="2218" s="120" customFormat="1" x14ac:dyDescent="0.15"/>
    <row r="2219" s="120" customFormat="1" x14ac:dyDescent="0.15"/>
    <row r="2220" s="120" customFormat="1" x14ac:dyDescent="0.15"/>
    <row r="2221" s="120" customFormat="1" x14ac:dyDescent="0.15"/>
    <row r="2222" s="120" customFormat="1" x14ac:dyDescent="0.15"/>
    <row r="2223" s="120" customFormat="1" x14ac:dyDescent="0.15"/>
    <row r="2224" s="120" customFormat="1" x14ac:dyDescent="0.15"/>
    <row r="2225" s="120" customFormat="1" x14ac:dyDescent="0.15"/>
    <row r="2226" s="120" customFormat="1" x14ac:dyDescent="0.15"/>
    <row r="2227" s="120" customFormat="1" x14ac:dyDescent="0.15"/>
    <row r="2228" s="120" customFormat="1" x14ac:dyDescent="0.15"/>
    <row r="2229" s="120" customFormat="1" x14ac:dyDescent="0.15"/>
    <row r="2230" s="120" customFormat="1" x14ac:dyDescent="0.15"/>
    <row r="2231" s="120" customFormat="1" x14ac:dyDescent="0.15"/>
    <row r="2232" s="120" customFormat="1" x14ac:dyDescent="0.15"/>
    <row r="2233" s="120" customFormat="1" x14ac:dyDescent="0.15"/>
    <row r="2234" s="120" customFormat="1" x14ac:dyDescent="0.15"/>
    <row r="2235" s="120" customFormat="1" x14ac:dyDescent="0.15"/>
    <row r="2236" s="120" customFormat="1" x14ac:dyDescent="0.15"/>
    <row r="2237" s="120" customFormat="1" x14ac:dyDescent="0.15"/>
    <row r="2238" s="120" customFormat="1" x14ac:dyDescent="0.15"/>
    <row r="2239" s="120" customFormat="1" x14ac:dyDescent="0.15"/>
    <row r="2240" s="120" customFormat="1" x14ac:dyDescent="0.15"/>
    <row r="2241" s="120" customFormat="1" x14ac:dyDescent="0.15"/>
    <row r="2242" s="120" customFormat="1" x14ac:dyDescent="0.15"/>
    <row r="2243" s="120" customFormat="1" x14ac:dyDescent="0.15"/>
    <row r="2244" s="120" customFormat="1" x14ac:dyDescent="0.15"/>
    <row r="2245" s="120" customFormat="1" x14ac:dyDescent="0.15"/>
    <row r="2246" s="120" customFormat="1" x14ac:dyDescent="0.15"/>
    <row r="2247" s="120" customFormat="1" x14ac:dyDescent="0.15"/>
    <row r="2248" s="120" customFormat="1" x14ac:dyDescent="0.15"/>
    <row r="2249" s="120" customFormat="1" x14ac:dyDescent="0.15"/>
    <row r="2250" s="120" customFormat="1" x14ac:dyDescent="0.15"/>
    <row r="2251" s="120" customFormat="1" x14ac:dyDescent="0.15"/>
    <row r="2252" s="120" customFormat="1" x14ac:dyDescent="0.15"/>
    <row r="2253" s="120" customFormat="1" x14ac:dyDescent="0.15"/>
    <row r="2254" s="120" customFormat="1" x14ac:dyDescent="0.15"/>
    <row r="2255" s="120" customFormat="1" x14ac:dyDescent="0.15"/>
    <row r="2256" s="120" customFormat="1" x14ac:dyDescent="0.15"/>
    <row r="2257" s="120" customFormat="1" x14ac:dyDescent="0.15"/>
    <row r="2258" s="120" customFormat="1" x14ac:dyDescent="0.15"/>
    <row r="2259" s="120" customFormat="1" x14ac:dyDescent="0.15"/>
    <row r="2260" s="120" customFormat="1" x14ac:dyDescent="0.15"/>
    <row r="2261" s="120" customFormat="1" x14ac:dyDescent="0.15"/>
    <row r="2262" s="120" customFormat="1" x14ac:dyDescent="0.15"/>
    <row r="2263" s="120" customFormat="1" x14ac:dyDescent="0.15"/>
    <row r="2264" s="120" customFormat="1" x14ac:dyDescent="0.15"/>
    <row r="2265" s="120" customFormat="1" x14ac:dyDescent="0.15"/>
    <row r="2266" s="120" customFormat="1" x14ac:dyDescent="0.15"/>
    <row r="2267" s="120" customFormat="1" x14ac:dyDescent="0.15"/>
    <row r="2268" s="120" customFormat="1" x14ac:dyDescent="0.15"/>
    <row r="2269" s="120" customFormat="1" x14ac:dyDescent="0.15"/>
    <row r="2270" s="120" customFormat="1" x14ac:dyDescent="0.15"/>
    <row r="2271" s="120" customFormat="1" x14ac:dyDescent="0.15"/>
    <row r="2272" s="120" customFormat="1" x14ac:dyDescent="0.15"/>
    <row r="2273" s="120" customFormat="1" x14ac:dyDescent="0.15"/>
    <row r="2274" s="120" customFormat="1" x14ac:dyDescent="0.15"/>
    <row r="2275" s="120" customFormat="1" x14ac:dyDescent="0.15"/>
    <row r="2276" s="120" customFormat="1" x14ac:dyDescent="0.15"/>
    <row r="2277" s="120" customFormat="1" x14ac:dyDescent="0.15"/>
    <row r="2278" s="120" customFormat="1" x14ac:dyDescent="0.15"/>
    <row r="2279" s="120" customFormat="1" x14ac:dyDescent="0.15"/>
    <row r="2280" s="120" customFormat="1" x14ac:dyDescent="0.15"/>
    <row r="2281" s="120" customFormat="1" x14ac:dyDescent="0.15"/>
    <row r="2282" s="120" customFormat="1" x14ac:dyDescent="0.15"/>
    <row r="2283" s="120" customFormat="1" x14ac:dyDescent="0.15"/>
    <row r="2284" s="120" customFormat="1" x14ac:dyDescent="0.15"/>
    <row r="2285" s="120" customFormat="1" x14ac:dyDescent="0.15"/>
    <row r="2286" s="120" customFormat="1" x14ac:dyDescent="0.15"/>
    <row r="2287" s="120" customFormat="1" x14ac:dyDescent="0.15"/>
    <row r="2288" s="120" customFormat="1" x14ac:dyDescent="0.15"/>
    <row r="2289" s="120" customFormat="1" x14ac:dyDescent="0.15"/>
    <row r="2290" s="120" customFormat="1" x14ac:dyDescent="0.15"/>
    <row r="2291" s="120" customFormat="1" x14ac:dyDescent="0.15"/>
    <row r="2292" s="120" customFormat="1" x14ac:dyDescent="0.15"/>
    <row r="2293" s="120" customFormat="1" x14ac:dyDescent="0.15"/>
    <row r="2294" s="120" customFormat="1" x14ac:dyDescent="0.15"/>
    <row r="2295" s="120" customFormat="1" x14ac:dyDescent="0.15"/>
    <row r="2296" s="120" customFormat="1" x14ac:dyDescent="0.15"/>
    <row r="2297" s="120" customFormat="1" x14ac:dyDescent="0.15"/>
    <row r="2298" s="120" customFormat="1" x14ac:dyDescent="0.15"/>
    <row r="2299" s="120" customFormat="1" x14ac:dyDescent="0.15"/>
    <row r="2300" s="120" customFormat="1" x14ac:dyDescent="0.15"/>
    <row r="2301" s="120" customFormat="1" x14ac:dyDescent="0.15"/>
    <row r="2302" s="120" customFormat="1" x14ac:dyDescent="0.15"/>
    <row r="2303" s="120" customFormat="1" x14ac:dyDescent="0.15"/>
    <row r="2304" s="120" customFormat="1" x14ac:dyDescent="0.15"/>
    <row r="2305" s="120" customFormat="1" x14ac:dyDescent="0.15"/>
    <row r="2306" s="120" customFormat="1" x14ac:dyDescent="0.15"/>
    <row r="2307" s="120" customFormat="1" x14ac:dyDescent="0.15"/>
    <row r="2308" s="120" customFormat="1" x14ac:dyDescent="0.15"/>
    <row r="2309" s="120" customFormat="1" x14ac:dyDescent="0.15"/>
    <row r="2310" s="120" customFormat="1" x14ac:dyDescent="0.15"/>
    <row r="2311" s="120" customFormat="1" x14ac:dyDescent="0.15"/>
    <row r="2312" s="120" customFormat="1" x14ac:dyDescent="0.15"/>
    <row r="2313" s="120" customFormat="1" x14ac:dyDescent="0.15"/>
    <row r="2314" s="120" customFormat="1" x14ac:dyDescent="0.15"/>
    <row r="2315" s="120" customFormat="1" x14ac:dyDescent="0.15"/>
    <row r="2316" s="120" customFormat="1" x14ac:dyDescent="0.15"/>
    <row r="2317" s="120" customFormat="1" x14ac:dyDescent="0.15"/>
    <row r="2318" s="120" customFormat="1" x14ac:dyDescent="0.15"/>
    <row r="2319" s="120" customFormat="1" x14ac:dyDescent="0.15"/>
    <row r="2320" s="120" customFormat="1" x14ac:dyDescent="0.15"/>
    <row r="2321" s="120" customFormat="1" x14ac:dyDescent="0.15"/>
    <row r="2322" s="120" customFormat="1" x14ac:dyDescent="0.15"/>
    <row r="2323" s="120" customFormat="1" x14ac:dyDescent="0.15"/>
    <row r="2324" s="120" customFormat="1" x14ac:dyDescent="0.15"/>
    <row r="2325" s="120" customFormat="1" x14ac:dyDescent="0.15"/>
    <row r="2326" s="120" customFormat="1" x14ac:dyDescent="0.15"/>
    <row r="2327" s="120" customFormat="1" x14ac:dyDescent="0.15"/>
    <row r="2328" s="120" customFormat="1" x14ac:dyDescent="0.15"/>
    <row r="2329" s="120" customFormat="1" x14ac:dyDescent="0.15"/>
    <row r="2330" s="120" customFormat="1" x14ac:dyDescent="0.15"/>
    <row r="2331" s="120" customFormat="1" x14ac:dyDescent="0.15"/>
    <row r="2332" s="120" customFormat="1" x14ac:dyDescent="0.15"/>
    <row r="2333" s="120" customFormat="1" x14ac:dyDescent="0.15"/>
    <row r="2334" s="120" customFormat="1" x14ac:dyDescent="0.15"/>
    <row r="2335" s="120" customFormat="1" x14ac:dyDescent="0.15"/>
    <row r="2336" s="120" customFormat="1" x14ac:dyDescent="0.15"/>
    <row r="2337" s="120" customFormat="1" x14ac:dyDescent="0.15"/>
    <row r="2338" s="120" customFormat="1" x14ac:dyDescent="0.15"/>
    <row r="2339" s="120" customFormat="1" x14ac:dyDescent="0.15"/>
    <row r="2340" s="120" customFormat="1" x14ac:dyDescent="0.15"/>
    <row r="2341" s="120" customFormat="1" x14ac:dyDescent="0.15"/>
    <row r="2342" s="120" customFormat="1" x14ac:dyDescent="0.15"/>
    <row r="2343" s="120" customFormat="1" x14ac:dyDescent="0.15"/>
    <row r="2344" s="120" customFormat="1" x14ac:dyDescent="0.15"/>
    <row r="2345" s="120" customFormat="1" x14ac:dyDescent="0.15"/>
    <row r="2346" s="120" customFormat="1" x14ac:dyDescent="0.15"/>
    <row r="2347" s="120" customFormat="1" x14ac:dyDescent="0.15"/>
    <row r="2348" s="120" customFormat="1" x14ac:dyDescent="0.15"/>
    <row r="2349" s="120" customFormat="1" x14ac:dyDescent="0.15"/>
    <row r="2350" s="120" customFormat="1" x14ac:dyDescent="0.15"/>
    <row r="2351" s="120" customFormat="1" x14ac:dyDescent="0.15"/>
    <row r="2352" s="120" customFormat="1" x14ac:dyDescent="0.15"/>
    <row r="2353" s="120" customFormat="1" x14ac:dyDescent="0.15"/>
    <row r="2354" s="120" customFormat="1" x14ac:dyDescent="0.15"/>
    <row r="2355" s="120" customFormat="1" x14ac:dyDescent="0.15"/>
    <row r="2356" s="120" customFormat="1" x14ac:dyDescent="0.15"/>
    <row r="2357" s="120" customFormat="1" x14ac:dyDescent="0.15"/>
    <row r="2358" s="120" customFormat="1" x14ac:dyDescent="0.15"/>
    <row r="2359" s="120" customFormat="1" x14ac:dyDescent="0.15"/>
    <row r="2360" s="120" customFormat="1" x14ac:dyDescent="0.15"/>
    <row r="2361" s="120" customFormat="1" x14ac:dyDescent="0.15"/>
    <row r="2362" s="120" customFormat="1" x14ac:dyDescent="0.15"/>
    <row r="2363" s="120" customFormat="1" x14ac:dyDescent="0.15"/>
    <row r="2364" s="120" customFormat="1" x14ac:dyDescent="0.15"/>
    <row r="2365" s="120" customFormat="1" x14ac:dyDescent="0.15"/>
    <row r="2366" s="120" customFormat="1" x14ac:dyDescent="0.15"/>
    <row r="2367" s="120" customFormat="1" x14ac:dyDescent="0.15"/>
    <row r="2368" s="120" customFormat="1" x14ac:dyDescent="0.15"/>
    <row r="2369" s="120" customFormat="1" x14ac:dyDescent="0.15"/>
    <row r="2370" s="120" customFormat="1" x14ac:dyDescent="0.15"/>
    <row r="2371" s="120" customFormat="1" x14ac:dyDescent="0.15"/>
    <row r="2372" s="120" customFormat="1" x14ac:dyDescent="0.15"/>
    <row r="2373" s="120" customFormat="1" x14ac:dyDescent="0.15"/>
    <row r="2374" s="120" customFormat="1" x14ac:dyDescent="0.15"/>
    <row r="2375" s="120" customFormat="1" x14ac:dyDescent="0.15"/>
    <row r="2376" s="120" customFormat="1" x14ac:dyDescent="0.15"/>
    <row r="2377" s="120" customFormat="1" x14ac:dyDescent="0.15"/>
    <row r="2378" s="120" customFormat="1" x14ac:dyDescent="0.15"/>
    <row r="2379" s="120" customFormat="1" x14ac:dyDescent="0.15"/>
    <row r="2380" s="120" customFormat="1" x14ac:dyDescent="0.15"/>
    <row r="2381" s="120" customFormat="1" x14ac:dyDescent="0.15"/>
    <row r="2382" s="120" customFormat="1" x14ac:dyDescent="0.15"/>
    <row r="2383" s="120" customFormat="1" x14ac:dyDescent="0.15"/>
    <row r="2384" s="120" customFormat="1" x14ac:dyDescent="0.15"/>
    <row r="2385" s="120" customFormat="1" x14ac:dyDescent="0.15"/>
    <row r="2386" s="120" customFormat="1" x14ac:dyDescent="0.15"/>
    <row r="2387" s="120" customFormat="1" x14ac:dyDescent="0.15"/>
    <row r="2388" s="120" customFormat="1" x14ac:dyDescent="0.15"/>
    <row r="2389" s="120" customFormat="1" x14ac:dyDescent="0.15"/>
    <row r="2390" s="120" customFormat="1" x14ac:dyDescent="0.15"/>
    <row r="2391" s="120" customFormat="1" x14ac:dyDescent="0.15"/>
    <row r="2392" s="120" customFormat="1" x14ac:dyDescent="0.15"/>
    <row r="2393" s="120" customFormat="1" x14ac:dyDescent="0.15"/>
    <row r="2394" s="120" customFormat="1" x14ac:dyDescent="0.15"/>
    <row r="2395" s="120" customFormat="1" x14ac:dyDescent="0.15"/>
    <row r="2396" s="120" customFormat="1" x14ac:dyDescent="0.15"/>
    <row r="2397" s="120" customFormat="1" x14ac:dyDescent="0.15"/>
    <row r="2398" s="120" customFormat="1" x14ac:dyDescent="0.15"/>
    <row r="2399" s="120" customFormat="1" x14ac:dyDescent="0.15"/>
    <row r="2400" s="120" customFormat="1" x14ac:dyDescent="0.15"/>
    <row r="2401" s="120" customFormat="1" x14ac:dyDescent="0.15"/>
    <row r="2402" s="120" customFormat="1" x14ac:dyDescent="0.15"/>
    <row r="2403" s="120" customFormat="1" x14ac:dyDescent="0.15"/>
    <row r="2404" s="120" customFormat="1" x14ac:dyDescent="0.15"/>
    <row r="2405" s="120" customFormat="1" x14ac:dyDescent="0.15"/>
    <row r="2406" s="120" customFormat="1" x14ac:dyDescent="0.15"/>
    <row r="2407" s="120" customFormat="1" x14ac:dyDescent="0.15"/>
    <row r="2408" s="120" customFormat="1" x14ac:dyDescent="0.15"/>
    <row r="2409" s="120" customFormat="1" x14ac:dyDescent="0.15"/>
    <row r="2410" s="120" customFormat="1" x14ac:dyDescent="0.15"/>
    <row r="2411" s="120" customFormat="1" x14ac:dyDescent="0.15"/>
    <row r="2412" s="120" customFormat="1" x14ac:dyDescent="0.15"/>
    <row r="2413" s="120" customFormat="1" x14ac:dyDescent="0.15"/>
    <row r="2414" s="120" customFormat="1" x14ac:dyDescent="0.15"/>
    <row r="2415" s="120" customFormat="1" x14ac:dyDescent="0.15"/>
    <row r="2416" s="120" customFormat="1" x14ac:dyDescent="0.15"/>
    <row r="2417" s="120" customFormat="1" x14ac:dyDescent="0.15"/>
    <row r="2418" s="120" customFormat="1" x14ac:dyDescent="0.15"/>
    <row r="2419" s="120" customFormat="1" x14ac:dyDescent="0.15"/>
    <row r="2420" s="120" customFormat="1" x14ac:dyDescent="0.15"/>
    <row r="2421" s="120" customFormat="1" x14ac:dyDescent="0.15"/>
    <row r="2422" s="120" customFormat="1" x14ac:dyDescent="0.15"/>
    <row r="2423" s="120" customFormat="1" x14ac:dyDescent="0.15"/>
    <row r="2424" s="120" customFormat="1" x14ac:dyDescent="0.15"/>
    <row r="2425" s="120" customFormat="1" x14ac:dyDescent="0.15"/>
    <row r="2426" s="120" customFormat="1" x14ac:dyDescent="0.15"/>
    <row r="2427" s="120" customFormat="1" x14ac:dyDescent="0.15"/>
    <row r="2428" s="120" customFormat="1" x14ac:dyDescent="0.15"/>
    <row r="2429" s="120" customFormat="1" x14ac:dyDescent="0.15"/>
    <row r="2430" s="120" customFormat="1" x14ac:dyDescent="0.15"/>
    <row r="2431" s="120" customFormat="1" x14ac:dyDescent="0.15"/>
    <row r="2432" s="120" customFormat="1" x14ac:dyDescent="0.15"/>
    <row r="2433" s="120" customFormat="1" x14ac:dyDescent="0.15"/>
    <row r="2434" s="120" customFormat="1" x14ac:dyDescent="0.15"/>
    <row r="2435" s="120" customFormat="1" x14ac:dyDescent="0.15"/>
    <row r="2436" s="120" customFormat="1" x14ac:dyDescent="0.15"/>
    <row r="2437" s="120" customFormat="1" x14ac:dyDescent="0.15"/>
    <row r="2438" s="120" customFormat="1" x14ac:dyDescent="0.15"/>
    <row r="2439" s="120" customFormat="1" x14ac:dyDescent="0.15"/>
    <row r="2440" s="120" customFormat="1" x14ac:dyDescent="0.15"/>
    <row r="2441" s="120" customFormat="1" x14ac:dyDescent="0.15"/>
    <row r="2442" s="120" customFormat="1" x14ac:dyDescent="0.15"/>
    <row r="2443" s="120" customFormat="1" x14ac:dyDescent="0.15"/>
    <row r="2444" s="120" customFormat="1" x14ac:dyDescent="0.15"/>
    <row r="2445" s="120" customFormat="1" x14ac:dyDescent="0.15"/>
    <row r="2446" s="120" customFormat="1" x14ac:dyDescent="0.15"/>
    <row r="2447" s="120" customFormat="1" x14ac:dyDescent="0.15"/>
    <row r="2448" s="120" customFormat="1" x14ac:dyDescent="0.15"/>
    <row r="2449" s="120" customFormat="1" x14ac:dyDescent="0.15"/>
    <row r="2450" s="120" customFormat="1" x14ac:dyDescent="0.15"/>
    <row r="2451" s="120" customFormat="1" x14ac:dyDescent="0.15"/>
    <row r="2452" s="120" customFormat="1" x14ac:dyDescent="0.15"/>
    <row r="2453" s="120" customFormat="1" x14ac:dyDescent="0.15"/>
    <row r="2454" s="120" customFormat="1" x14ac:dyDescent="0.15"/>
    <row r="2455" s="120" customFormat="1" x14ac:dyDescent="0.15"/>
    <row r="2456" s="120" customFormat="1" x14ac:dyDescent="0.15"/>
    <row r="2457" s="120" customFormat="1" x14ac:dyDescent="0.15"/>
    <row r="2458" s="120" customFormat="1" x14ac:dyDescent="0.15"/>
    <row r="2459" s="120" customFormat="1" x14ac:dyDescent="0.15"/>
    <row r="2460" s="120" customFormat="1" x14ac:dyDescent="0.15"/>
    <row r="2461" s="120" customFormat="1" x14ac:dyDescent="0.15"/>
    <row r="2462" s="120" customFormat="1" x14ac:dyDescent="0.15"/>
    <row r="2463" s="120" customFormat="1" x14ac:dyDescent="0.15"/>
    <row r="2464" s="120" customFormat="1" x14ac:dyDescent="0.15"/>
    <row r="2465" s="120" customFormat="1" x14ac:dyDescent="0.15"/>
    <row r="2466" s="120" customFormat="1" x14ac:dyDescent="0.15"/>
    <row r="2467" s="120" customFormat="1" x14ac:dyDescent="0.15"/>
    <row r="2468" s="120" customFormat="1" x14ac:dyDescent="0.15"/>
    <row r="2469" s="120" customFormat="1" x14ac:dyDescent="0.15"/>
    <row r="2470" s="120" customFormat="1" x14ac:dyDescent="0.15"/>
    <row r="2471" s="120" customFormat="1" x14ac:dyDescent="0.15"/>
    <row r="2472" s="120" customFormat="1" x14ac:dyDescent="0.15"/>
    <row r="2473" s="120" customFormat="1" x14ac:dyDescent="0.15"/>
    <row r="2474" s="120" customFormat="1" x14ac:dyDescent="0.15"/>
    <row r="2475" s="120" customFormat="1" x14ac:dyDescent="0.15"/>
    <row r="2476" s="120" customFormat="1" x14ac:dyDescent="0.15"/>
    <row r="2477" s="120" customFormat="1" x14ac:dyDescent="0.15"/>
    <row r="2478" s="120" customFormat="1" x14ac:dyDescent="0.15"/>
    <row r="2479" s="120" customFormat="1" x14ac:dyDescent="0.15"/>
    <row r="2480" s="120" customFormat="1" x14ac:dyDescent="0.15"/>
    <row r="2481" s="120" customFormat="1" x14ac:dyDescent="0.15"/>
    <row r="2482" s="120" customFormat="1" x14ac:dyDescent="0.15"/>
    <row r="2483" s="120" customFormat="1" x14ac:dyDescent="0.15"/>
    <row r="2484" s="120" customFormat="1" x14ac:dyDescent="0.15"/>
    <row r="2485" s="120" customFormat="1" x14ac:dyDescent="0.15"/>
    <row r="2486" s="120" customFormat="1" x14ac:dyDescent="0.15"/>
    <row r="2487" s="120" customFormat="1" x14ac:dyDescent="0.15"/>
    <row r="2488" s="120" customFormat="1" x14ac:dyDescent="0.15"/>
    <row r="2489" s="120" customFormat="1" x14ac:dyDescent="0.15"/>
    <row r="2490" s="120" customFormat="1" x14ac:dyDescent="0.15"/>
    <row r="2491" s="120" customFormat="1" x14ac:dyDescent="0.15"/>
    <row r="2492" s="120" customFormat="1" x14ac:dyDescent="0.15"/>
    <row r="2493" s="120" customFormat="1" x14ac:dyDescent="0.15"/>
    <row r="2494" s="120" customFormat="1" x14ac:dyDescent="0.15"/>
    <row r="2495" s="120" customFormat="1" x14ac:dyDescent="0.15"/>
    <row r="2496" s="120" customFormat="1" x14ac:dyDescent="0.15"/>
    <row r="2497" s="120" customFormat="1" x14ac:dyDescent="0.15"/>
    <row r="2498" s="120" customFormat="1" x14ac:dyDescent="0.15"/>
    <row r="2499" s="120" customFormat="1" x14ac:dyDescent="0.15"/>
    <row r="2500" s="120" customFormat="1" x14ac:dyDescent="0.15"/>
    <row r="2501" s="120" customFormat="1" x14ac:dyDescent="0.15"/>
    <row r="2502" s="120" customFormat="1" x14ac:dyDescent="0.15"/>
    <row r="2503" s="120" customFormat="1" x14ac:dyDescent="0.15"/>
    <row r="2504" s="120" customFormat="1" x14ac:dyDescent="0.15"/>
    <row r="2505" s="120" customFormat="1" x14ac:dyDescent="0.15"/>
    <row r="2506" s="120" customFormat="1" x14ac:dyDescent="0.15"/>
    <row r="2507" s="120" customFormat="1" x14ac:dyDescent="0.15"/>
    <row r="2508" s="120" customFormat="1" x14ac:dyDescent="0.15"/>
    <row r="2509" s="120" customFormat="1" x14ac:dyDescent="0.15"/>
    <row r="2510" s="120" customFormat="1" x14ac:dyDescent="0.15"/>
    <row r="2511" s="120" customFormat="1" x14ac:dyDescent="0.15"/>
    <row r="2512" s="120" customFormat="1" x14ac:dyDescent="0.15"/>
    <row r="2513" s="120" customFormat="1" x14ac:dyDescent="0.15"/>
    <row r="2514" s="120" customFormat="1" x14ac:dyDescent="0.15"/>
    <row r="2515" s="120" customFormat="1" x14ac:dyDescent="0.15"/>
    <row r="2516" s="120" customFormat="1" x14ac:dyDescent="0.15"/>
    <row r="2517" s="120" customFormat="1" x14ac:dyDescent="0.15"/>
    <row r="2518" s="120" customFormat="1" x14ac:dyDescent="0.15"/>
    <row r="2519" s="120" customFormat="1" x14ac:dyDescent="0.15"/>
    <row r="2520" s="120" customFormat="1" x14ac:dyDescent="0.15"/>
    <row r="2521" s="120" customFormat="1" x14ac:dyDescent="0.15"/>
    <row r="2522" s="120" customFormat="1" x14ac:dyDescent="0.15"/>
    <row r="2523" s="120" customFormat="1" x14ac:dyDescent="0.15"/>
    <row r="2524" s="120" customFormat="1" x14ac:dyDescent="0.15"/>
    <row r="2525" s="120" customFormat="1" x14ac:dyDescent="0.15"/>
    <row r="2526" s="120" customFormat="1" x14ac:dyDescent="0.15"/>
    <row r="2527" s="120" customFormat="1" x14ac:dyDescent="0.15"/>
    <row r="2528" s="120" customFormat="1" x14ac:dyDescent="0.15"/>
    <row r="2529" s="120" customFormat="1" x14ac:dyDescent="0.15"/>
    <row r="2530" s="120" customFormat="1" x14ac:dyDescent="0.15"/>
    <row r="2531" s="120" customFormat="1" x14ac:dyDescent="0.15"/>
    <row r="2532" s="120" customFormat="1" x14ac:dyDescent="0.15"/>
    <row r="2533" s="120" customFormat="1" x14ac:dyDescent="0.15"/>
    <row r="2534" s="120" customFormat="1" x14ac:dyDescent="0.15"/>
    <row r="2535" s="120" customFormat="1" x14ac:dyDescent="0.15"/>
    <row r="2536" s="120" customFormat="1" x14ac:dyDescent="0.15"/>
    <row r="2537" s="120" customFormat="1" x14ac:dyDescent="0.15"/>
    <row r="2538" s="120" customFormat="1" x14ac:dyDescent="0.15"/>
    <row r="2539" s="120" customFormat="1" x14ac:dyDescent="0.15"/>
    <row r="2540" s="120" customFormat="1" x14ac:dyDescent="0.15"/>
    <row r="2541" s="120" customFormat="1" x14ac:dyDescent="0.15"/>
    <row r="2542" s="120" customFormat="1" x14ac:dyDescent="0.15"/>
    <row r="2543" s="120" customFormat="1" x14ac:dyDescent="0.15"/>
    <row r="2544" s="120" customFormat="1" x14ac:dyDescent="0.15"/>
    <row r="2545" s="120" customFormat="1" x14ac:dyDescent="0.15"/>
    <row r="2546" s="120" customFormat="1" x14ac:dyDescent="0.15"/>
    <row r="2547" s="120" customFormat="1" x14ac:dyDescent="0.15"/>
    <row r="2548" s="120" customFormat="1" x14ac:dyDescent="0.15"/>
    <row r="2549" s="120" customFormat="1" x14ac:dyDescent="0.15"/>
    <row r="2550" s="120" customFormat="1" x14ac:dyDescent="0.15"/>
    <row r="2551" s="120" customFormat="1" x14ac:dyDescent="0.15"/>
    <row r="2552" s="120" customFormat="1" x14ac:dyDescent="0.15"/>
    <row r="2553" s="120" customFormat="1" x14ac:dyDescent="0.15"/>
    <row r="2554" s="120" customFormat="1" x14ac:dyDescent="0.15"/>
    <row r="2555" s="120" customFormat="1" x14ac:dyDescent="0.15"/>
    <row r="2556" s="120" customFormat="1" x14ac:dyDescent="0.15"/>
    <row r="2557" s="120" customFormat="1" x14ac:dyDescent="0.15"/>
    <row r="2558" s="120" customFormat="1" x14ac:dyDescent="0.15"/>
    <row r="2559" s="120" customFormat="1" x14ac:dyDescent="0.15"/>
    <row r="2560" s="120" customFormat="1" x14ac:dyDescent="0.15"/>
    <row r="2561" s="120" customFormat="1" x14ac:dyDescent="0.15"/>
    <row r="2562" s="120" customFormat="1" x14ac:dyDescent="0.15"/>
    <row r="2563" s="120" customFormat="1" x14ac:dyDescent="0.15"/>
    <row r="2564" s="120" customFormat="1" x14ac:dyDescent="0.15"/>
    <row r="2565" s="120" customFormat="1" x14ac:dyDescent="0.15"/>
    <row r="2566" s="120" customFormat="1" x14ac:dyDescent="0.15"/>
    <row r="2567" s="120" customFormat="1" x14ac:dyDescent="0.15"/>
    <row r="2568" s="120" customFormat="1" x14ac:dyDescent="0.15"/>
    <row r="2569" s="120" customFormat="1" x14ac:dyDescent="0.15"/>
    <row r="2570" s="120" customFormat="1" x14ac:dyDescent="0.15"/>
    <row r="2571" s="120" customFormat="1" x14ac:dyDescent="0.15"/>
    <row r="2572" s="120" customFormat="1" x14ac:dyDescent="0.15"/>
    <row r="2573" s="120" customFormat="1" x14ac:dyDescent="0.15"/>
    <row r="2574" s="120" customFormat="1" x14ac:dyDescent="0.15"/>
    <row r="2575" s="120" customFormat="1" x14ac:dyDescent="0.15"/>
    <row r="2576" s="120" customFormat="1" x14ac:dyDescent="0.15"/>
    <row r="2577" s="120" customFormat="1" x14ac:dyDescent="0.15"/>
    <row r="2578" s="120" customFormat="1" x14ac:dyDescent="0.15"/>
    <row r="2579" s="120" customFormat="1" x14ac:dyDescent="0.15"/>
    <row r="2580" s="120" customFormat="1" x14ac:dyDescent="0.15"/>
    <row r="2581" s="120" customFormat="1" x14ac:dyDescent="0.15"/>
    <row r="2582" s="120" customFormat="1" x14ac:dyDescent="0.15"/>
    <row r="2583" s="120" customFormat="1" x14ac:dyDescent="0.15"/>
    <row r="2584" s="120" customFormat="1" x14ac:dyDescent="0.15"/>
    <row r="2585" s="120" customFormat="1" x14ac:dyDescent="0.15"/>
    <row r="2586" s="120" customFormat="1" x14ac:dyDescent="0.15"/>
    <row r="2587" s="120" customFormat="1" x14ac:dyDescent="0.15"/>
    <row r="2588" s="120" customFormat="1" x14ac:dyDescent="0.15"/>
    <row r="2589" s="120" customFormat="1" x14ac:dyDescent="0.15"/>
    <row r="2590" s="120" customFormat="1" x14ac:dyDescent="0.15"/>
    <row r="2591" s="120" customFormat="1" x14ac:dyDescent="0.15"/>
    <row r="2592" s="120" customFormat="1" x14ac:dyDescent="0.15"/>
    <row r="2593" s="120" customFormat="1" x14ac:dyDescent="0.15"/>
    <row r="2594" s="120" customFormat="1" x14ac:dyDescent="0.15"/>
    <row r="2595" s="120" customFormat="1" x14ac:dyDescent="0.15"/>
    <row r="2596" s="120" customFormat="1" x14ac:dyDescent="0.15"/>
    <row r="2597" s="120" customFormat="1" x14ac:dyDescent="0.15"/>
    <row r="2598" s="120" customFormat="1" x14ac:dyDescent="0.15"/>
    <row r="2599" s="120" customFormat="1" x14ac:dyDescent="0.15"/>
    <row r="2600" s="120" customFormat="1" x14ac:dyDescent="0.15"/>
    <row r="2601" s="120" customFormat="1" x14ac:dyDescent="0.15"/>
    <row r="2602" s="120" customFormat="1" x14ac:dyDescent="0.15"/>
    <row r="2603" s="120" customFormat="1" x14ac:dyDescent="0.15"/>
    <row r="2604" s="120" customFormat="1" x14ac:dyDescent="0.15"/>
    <row r="2605" s="120" customFormat="1" x14ac:dyDescent="0.15"/>
    <row r="2606" s="120" customFormat="1" x14ac:dyDescent="0.15"/>
    <row r="2607" s="120" customFormat="1" x14ac:dyDescent="0.15"/>
    <row r="2608" s="120" customFormat="1" x14ac:dyDescent="0.15"/>
    <row r="2609" s="120" customFormat="1" x14ac:dyDescent="0.15"/>
    <row r="2610" s="120" customFormat="1" x14ac:dyDescent="0.15"/>
    <row r="2611" s="120" customFormat="1" x14ac:dyDescent="0.15"/>
    <row r="2612" s="120" customFormat="1" x14ac:dyDescent="0.15"/>
    <row r="2613" s="120" customFormat="1" x14ac:dyDescent="0.15"/>
    <row r="2614" s="120" customFormat="1" x14ac:dyDescent="0.15"/>
    <row r="2615" s="120" customFormat="1" x14ac:dyDescent="0.15"/>
    <row r="2616" s="120" customFormat="1" x14ac:dyDescent="0.15"/>
    <row r="2617" s="120" customFormat="1" x14ac:dyDescent="0.15"/>
    <row r="2618" s="120" customFormat="1" x14ac:dyDescent="0.15"/>
    <row r="2619" s="120" customFormat="1" x14ac:dyDescent="0.15"/>
    <row r="2620" s="120" customFormat="1" x14ac:dyDescent="0.15"/>
    <row r="2621" s="120" customFormat="1" x14ac:dyDescent="0.15"/>
    <row r="2622" s="120" customFormat="1" x14ac:dyDescent="0.15"/>
    <row r="2623" s="120" customFormat="1" x14ac:dyDescent="0.15"/>
    <row r="2624" s="120" customFormat="1" x14ac:dyDescent="0.15"/>
    <row r="2625" s="120" customFormat="1" x14ac:dyDescent="0.15"/>
    <row r="2626" s="120" customFormat="1" x14ac:dyDescent="0.15"/>
    <row r="2627" s="120" customFormat="1" x14ac:dyDescent="0.15"/>
    <row r="2628" s="120" customFormat="1" x14ac:dyDescent="0.15"/>
    <row r="2629" s="120" customFormat="1" x14ac:dyDescent="0.15"/>
    <row r="2630" s="120" customFormat="1" x14ac:dyDescent="0.15"/>
    <row r="2631" s="120" customFormat="1" x14ac:dyDescent="0.15"/>
    <row r="2632" s="120" customFormat="1" x14ac:dyDescent="0.15"/>
    <row r="2633" s="120" customFormat="1" x14ac:dyDescent="0.15"/>
    <row r="2634" s="120" customFormat="1" x14ac:dyDescent="0.15"/>
    <row r="2635" s="120" customFormat="1" x14ac:dyDescent="0.15"/>
    <row r="2636" s="120" customFormat="1" x14ac:dyDescent="0.15"/>
    <row r="2637" s="120" customFormat="1" x14ac:dyDescent="0.15"/>
    <row r="2638" s="120" customFormat="1" x14ac:dyDescent="0.15"/>
    <row r="2639" s="120" customFormat="1" x14ac:dyDescent="0.15"/>
    <row r="2640" s="120" customFormat="1" x14ac:dyDescent="0.15"/>
    <row r="2641" s="120" customFormat="1" x14ac:dyDescent="0.15"/>
    <row r="2642" s="120" customFormat="1" x14ac:dyDescent="0.15"/>
    <row r="2643" s="120" customFormat="1" x14ac:dyDescent="0.15"/>
    <row r="2644" s="120" customFormat="1" x14ac:dyDescent="0.15"/>
    <row r="2645" s="120" customFormat="1" x14ac:dyDescent="0.15"/>
    <row r="2646" s="120" customFormat="1" x14ac:dyDescent="0.15"/>
    <row r="2647" s="120" customFormat="1" x14ac:dyDescent="0.15"/>
    <row r="2648" s="120" customFormat="1" x14ac:dyDescent="0.15"/>
    <row r="2649" s="120" customFormat="1" x14ac:dyDescent="0.15"/>
    <row r="2650" s="120" customFormat="1" x14ac:dyDescent="0.15"/>
    <row r="2651" s="120" customFormat="1" x14ac:dyDescent="0.15"/>
    <row r="2652" s="120" customFormat="1" x14ac:dyDescent="0.15"/>
    <row r="2653" s="120" customFormat="1" x14ac:dyDescent="0.15"/>
    <row r="2654" s="120" customFormat="1" x14ac:dyDescent="0.15"/>
    <row r="2655" s="120" customFormat="1" x14ac:dyDescent="0.15"/>
    <row r="2656" s="120" customFormat="1" x14ac:dyDescent="0.15"/>
    <row r="2657" s="120" customFormat="1" x14ac:dyDescent="0.15"/>
    <row r="2658" s="120" customFormat="1" x14ac:dyDescent="0.15"/>
    <row r="2659" s="120" customFormat="1" x14ac:dyDescent="0.15"/>
    <row r="2660" s="120" customFormat="1" x14ac:dyDescent="0.15"/>
    <row r="2661" s="120" customFormat="1" x14ac:dyDescent="0.15"/>
    <row r="2662" s="120" customFormat="1" x14ac:dyDescent="0.15"/>
    <row r="2663" s="120" customFormat="1" x14ac:dyDescent="0.15"/>
    <row r="2664" s="120" customFormat="1" x14ac:dyDescent="0.15"/>
    <row r="2665" s="120" customFormat="1" x14ac:dyDescent="0.15"/>
    <row r="2666" s="120" customFormat="1" x14ac:dyDescent="0.15"/>
    <row r="2667" s="120" customFormat="1" x14ac:dyDescent="0.15"/>
    <row r="2668" s="120" customFormat="1" x14ac:dyDescent="0.15"/>
    <row r="2669" s="120" customFormat="1" x14ac:dyDescent="0.15"/>
    <row r="2670" s="120" customFormat="1" x14ac:dyDescent="0.15"/>
    <row r="2671" s="120" customFormat="1" x14ac:dyDescent="0.15"/>
    <row r="2672" s="120" customFormat="1" x14ac:dyDescent="0.15"/>
    <row r="2673" s="120" customFormat="1" x14ac:dyDescent="0.15"/>
    <row r="2674" s="120" customFormat="1" x14ac:dyDescent="0.15"/>
    <row r="2675" s="120" customFormat="1" x14ac:dyDescent="0.15"/>
    <row r="2676" s="120" customFormat="1" x14ac:dyDescent="0.15"/>
    <row r="2677" s="120" customFormat="1" x14ac:dyDescent="0.15"/>
    <row r="2678" s="120" customFormat="1" x14ac:dyDescent="0.15"/>
    <row r="2679" s="120" customFormat="1" x14ac:dyDescent="0.15"/>
    <row r="2680" s="120" customFormat="1" x14ac:dyDescent="0.15"/>
    <row r="2681" s="120" customFormat="1" x14ac:dyDescent="0.15"/>
    <row r="2682" s="120" customFormat="1" x14ac:dyDescent="0.15"/>
    <row r="2683" s="120" customFormat="1" x14ac:dyDescent="0.15"/>
    <row r="2684" s="120" customFormat="1" x14ac:dyDescent="0.15"/>
    <row r="2685" s="120" customFormat="1" x14ac:dyDescent="0.15"/>
    <row r="2686" s="120" customFormat="1" x14ac:dyDescent="0.15"/>
    <row r="2687" s="120" customFormat="1" x14ac:dyDescent="0.15"/>
    <row r="2688" s="120" customFormat="1" x14ac:dyDescent="0.15"/>
    <row r="2689" s="120" customFormat="1" x14ac:dyDescent="0.15"/>
    <row r="2690" s="120" customFormat="1" x14ac:dyDescent="0.15"/>
    <row r="2691" s="120" customFormat="1" x14ac:dyDescent="0.15"/>
    <row r="2692" s="120" customFormat="1" x14ac:dyDescent="0.15"/>
    <row r="2693" s="120" customFormat="1" x14ac:dyDescent="0.15"/>
    <row r="2694" s="120" customFormat="1" x14ac:dyDescent="0.15"/>
    <row r="2695" s="120" customFormat="1" x14ac:dyDescent="0.15"/>
    <row r="2696" s="120" customFormat="1" x14ac:dyDescent="0.15"/>
    <row r="2697" s="120" customFormat="1" x14ac:dyDescent="0.15"/>
    <row r="2698" s="120" customFormat="1" x14ac:dyDescent="0.15"/>
    <row r="2699" s="120" customFormat="1" x14ac:dyDescent="0.15"/>
    <row r="2700" s="120" customFormat="1" x14ac:dyDescent="0.15"/>
    <row r="2701" s="120" customFormat="1" x14ac:dyDescent="0.15"/>
    <row r="2702" s="120" customFormat="1" x14ac:dyDescent="0.15"/>
    <row r="2703" s="120" customFormat="1" x14ac:dyDescent="0.15"/>
    <row r="2704" s="120" customFormat="1" x14ac:dyDescent="0.15"/>
    <row r="2705" s="120" customFormat="1" x14ac:dyDescent="0.15"/>
    <row r="2706" s="120" customFormat="1" x14ac:dyDescent="0.15"/>
    <row r="2707" s="120" customFormat="1" x14ac:dyDescent="0.15"/>
    <row r="2708" s="120" customFormat="1" x14ac:dyDescent="0.15"/>
    <row r="2709" s="120" customFormat="1" x14ac:dyDescent="0.15"/>
    <row r="2710" s="120" customFormat="1" x14ac:dyDescent="0.15"/>
    <row r="2711" s="120" customFormat="1" x14ac:dyDescent="0.15"/>
    <row r="2712" s="120" customFormat="1" x14ac:dyDescent="0.15"/>
    <row r="2713" s="120" customFormat="1" x14ac:dyDescent="0.15"/>
    <row r="2714" s="120" customFormat="1" x14ac:dyDescent="0.15"/>
    <row r="2715" s="120" customFormat="1" x14ac:dyDescent="0.15"/>
    <row r="2716" s="120" customFormat="1" x14ac:dyDescent="0.15"/>
    <row r="2717" s="120" customFormat="1" x14ac:dyDescent="0.15"/>
    <row r="2718" s="120" customFormat="1" x14ac:dyDescent="0.15"/>
    <row r="2719" s="120" customFormat="1" x14ac:dyDescent="0.15"/>
    <row r="2720" s="120" customFormat="1" x14ac:dyDescent="0.15"/>
    <row r="2721" s="120" customFormat="1" x14ac:dyDescent="0.15"/>
    <row r="2722" s="120" customFormat="1" x14ac:dyDescent="0.15"/>
    <row r="2723" s="120" customFormat="1" x14ac:dyDescent="0.15"/>
    <row r="2724" s="120" customFormat="1" x14ac:dyDescent="0.15"/>
    <row r="2725" s="120" customFormat="1" x14ac:dyDescent="0.15"/>
    <row r="2726" s="120" customFormat="1" x14ac:dyDescent="0.15"/>
    <row r="2727" s="120" customFormat="1" x14ac:dyDescent="0.15"/>
    <row r="2728" s="120" customFormat="1" x14ac:dyDescent="0.15"/>
    <row r="2729" s="120" customFormat="1" x14ac:dyDescent="0.15"/>
    <row r="2730" s="120" customFormat="1" x14ac:dyDescent="0.15"/>
    <row r="2731" s="120" customFormat="1" x14ac:dyDescent="0.15"/>
    <row r="2732" s="120" customFormat="1" x14ac:dyDescent="0.15"/>
    <row r="2733" s="120" customFormat="1" x14ac:dyDescent="0.15"/>
    <row r="2734" s="120" customFormat="1" x14ac:dyDescent="0.15"/>
    <row r="2735" s="120" customFormat="1" x14ac:dyDescent="0.15"/>
    <row r="2736" s="120" customFormat="1" x14ac:dyDescent="0.15"/>
    <row r="2737" s="120" customFormat="1" x14ac:dyDescent="0.15"/>
    <row r="2738" s="120" customFormat="1" x14ac:dyDescent="0.15"/>
    <row r="2739" s="120" customFormat="1" x14ac:dyDescent="0.15"/>
    <row r="2740" s="120" customFormat="1" x14ac:dyDescent="0.15"/>
    <row r="2741" s="120" customFormat="1" x14ac:dyDescent="0.15"/>
    <row r="2742" s="120" customFormat="1" x14ac:dyDescent="0.15"/>
    <row r="2743" s="120" customFormat="1" x14ac:dyDescent="0.15"/>
    <row r="2744" s="120" customFormat="1" x14ac:dyDescent="0.15"/>
    <row r="2745" s="120" customFormat="1" x14ac:dyDescent="0.15"/>
    <row r="2746" s="120" customFormat="1" x14ac:dyDescent="0.15"/>
    <row r="2747" s="120" customFormat="1" x14ac:dyDescent="0.15"/>
    <row r="2748" s="120" customFormat="1" x14ac:dyDescent="0.15"/>
    <row r="2749" s="120" customFormat="1" x14ac:dyDescent="0.15"/>
    <row r="2750" s="120" customFormat="1" x14ac:dyDescent="0.15"/>
    <row r="2751" s="120" customFormat="1" x14ac:dyDescent="0.15"/>
    <row r="2752" s="120" customFormat="1" x14ac:dyDescent="0.15"/>
    <row r="2753" s="120" customFormat="1" x14ac:dyDescent="0.15"/>
    <row r="2754" s="120" customFormat="1" x14ac:dyDescent="0.15"/>
    <row r="2755" s="120" customFormat="1" x14ac:dyDescent="0.15"/>
    <row r="2756" s="120" customFormat="1" x14ac:dyDescent="0.15"/>
    <row r="2757" s="120" customFormat="1" x14ac:dyDescent="0.15"/>
    <row r="2758" s="120" customFormat="1" x14ac:dyDescent="0.15"/>
    <row r="2759" s="120" customFormat="1" x14ac:dyDescent="0.15"/>
    <row r="2760" s="120" customFormat="1" x14ac:dyDescent="0.15"/>
    <row r="2761" s="120" customFormat="1" x14ac:dyDescent="0.15"/>
    <row r="2762" s="120" customFormat="1" x14ac:dyDescent="0.15"/>
    <row r="2763" s="120" customFormat="1" x14ac:dyDescent="0.15"/>
    <row r="2764" s="120" customFormat="1" x14ac:dyDescent="0.15"/>
    <row r="2765" s="120" customFormat="1" x14ac:dyDescent="0.15"/>
    <row r="2766" s="120" customFormat="1" x14ac:dyDescent="0.15"/>
    <row r="2767" s="120" customFormat="1" x14ac:dyDescent="0.15"/>
    <row r="2768" s="120" customFormat="1" x14ac:dyDescent="0.15"/>
    <row r="2769" s="120" customFormat="1" x14ac:dyDescent="0.15"/>
    <row r="2770" s="120" customFormat="1" x14ac:dyDescent="0.15"/>
    <row r="2771" s="120" customFormat="1" x14ac:dyDescent="0.15"/>
    <row r="2772" s="120" customFormat="1" x14ac:dyDescent="0.15"/>
    <row r="2773" s="120" customFormat="1" x14ac:dyDescent="0.15"/>
    <row r="2774" s="120" customFormat="1" x14ac:dyDescent="0.15"/>
    <row r="2775" s="120" customFormat="1" x14ac:dyDescent="0.15"/>
    <row r="2776" s="120" customFormat="1" x14ac:dyDescent="0.15"/>
    <row r="2777" s="120" customFormat="1" x14ac:dyDescent="0.15"/>
    <row r="2778" s="120" customFormat="1" x14ac:dyDescent="0.15"/>
    <row r="2779" s="120" customFormat="1" x14ac:dyDescent="0.15"/>
    <row r="2780" s="120" customFormat="1" x14ac:dyDescent="0.15"/>
    <row r="2781" s="120" customFormat="1" x14ac:dyDescent="0.15"/>
    <row r="2782" s="120" customFormat="1" x14ac:dyDescent="0.15"/>
    <row r="2783" s="120" customFormat="1" x14ac:dyDescent="0.15"/>
    <row r="2784" s="120" customFormat="1" x14ac:dyDescent="0.15"/>
    <row r="2785" s="120" customFormat="1" x14ac:dyDescent="0.15"/>
    <row r="2786" s="120" customFormat="1" x14ac:dyDescent="0.15"/>
    <row r="2787" s="120" customFormat="1" x14ac:dyDescent="0.15"/>
    <row r="2788" s="120" customFormat="1" x14ac:dyDescent="0.15"/>
    <row r="2789" s="120" customFormat="1" x14ac:dyDescent="0.15"/>
    <row r="2790" s="120" customFormat="1" x14ac:dyDescent="0.15"/>
    <row r="2791" s="120" customFormat="1" x14ac:dyDescent="0.15"/>
    <row r="2792" s="120" customFormat="1" x14ac:dyDescent="0.15"/>
    <row r="2793" s="120" customFormat="1" x14ac:dyDescent="0.15"/>
    <row r="2794" s="120" customFormat="1" x14ac:dyDescent="0.15"/>
    <row r="2795" s="120" customFormat="1" x14ac:dyDescent="0.15"/>
    <row r="2796" s="120" customFormat="1" x14ac:dyDescent="0.15"/>
    <row r="2797" s="120" customFormat="1" x14ac:dyDescent="0.15"/>
    <row r="2798" s="120" customFormat="1" x14ac:dyDescent="0.15"/>
    <row r="2799" s="120" customFormat="1" x14ac:dyDescent="0.15"/>
    <row r="2800" s="120" customFormat="1" x14ac:dyDescent="0.15"/>
    <row r="2801" s="120" customFormat="1" x14ac:dyDescent="0.15"/>
    <row r="2802" s="120" customFormat="1" x14ac:dyDescent="0.15"/>
    <row r="2803" s="120" customFormat="1" x14ac:dyDescent="0.15"/>
    <row r="2804" s="120" customFormat="1" x14ac:dyDescent="0.15"/>
    <row r="2805" s="120" customFormat="1" x14ac:dyDescent="0.15"/>
    <row r="2806" s="120" customFormat="1" x14ac:dyDescent="0.15"/>
  </sheetData>
  <mergeCells count="882">
    <mergeCell ref="B184:C184"/>
    <mergeCell ref="B185:C185"/>
    <mergeCell ref="A218:J218"/>
    <mergeCell ref="B217:C217"/>
    <mergeCell ref="B216:C216"/>
    <mergeCell ref="J214:J215"/>
    <mergeCell ref="I214:I215"/>
    <mergeCell ref="H214:H215"/>
    <mergeCell ref="E214:G214"/>
    <mergeCell ref="D214:D215"/>
    <mergeCell ref="B214:C215"/>
    <mergeCell ref="A214:A215"/>
    <mergeCell ref="A213:Q213"/>
    <mergeCell ref="P212:Q212"/>
    <mergeCell ref="B212:N212"/>
    <mergeCell ref="A196:Q196"/>
    <mergeCell ref="B197:N197"/>
    <mergeCell ref="P197:Q197"/>
    <mergeCell ref="A198:Q198"/>
    <mergeCell ref="A199:A200"/>
    <mergeCell ref="B199:C200"/>
    <mergeCell ref="D199:D200"/>
    <mergeCell ref="E199:G199"/>
    <mergeCell ref="H199:H200"/>
    <mergeCell ref="A473:Q473"/>
    <mergeCell ref="B474:N474"/>
    <mergeCell ref="P474:Q474"/>
    <mergeCell ref="A475:Q475"/>
    <mergeCell ref="A476:A477"/>
    <mergeCell ref="B476:C477"/>
    <mergeCell ref="D476:D477"/>
    <mergeCell ref="E476:G476"/>
    <mergeCell ref="H476:H477"/>
    <mergeCell ref="I476:I477"/>
    <mergeCell ref="J476:J477"/>
    <mergeCell ref="I369:I370"/>
    <mergeCell ref="J369:J370"/>
    <mergeCell ref="B378:C378"/>
    <mergeCell ref="A379:J379"/>
    <mergeCell ref="A380:Q380"/>
    <mergeCell ref="B381:N381"/>
    <mergeCell ref="P381:Q381"/>
    <mergeCell ref="A382:Q382"/>
    <mergeCell ref="A496:Q496"/>
    <mergeCell ref="A489:Q489"/>
    <mergeCell ref="B490:N490"/>
    <mergeCell ref="P490:Q490"/>
    <mergeCell ref="A492:A493"/>
    <mergeCell ref="B492:C493"/>
    <mergeCell ref="D492:D493"/>
    <mergeCell ref="E492:G492"/>
    <mergeCell ref="H492:H493"/>
    <mergeCell ref="I492:I493"/>
    <mergeCell ref="J492:J493"/>
    <mergeCell ref="A495:J495"/>
    <mergeCell ref="A491:Q491"/>
    <mergeCell ref="B478:C478"/>
    <mergeCell ref="B479:C479"/>
    <mergeCell ref="A480:J480"/>
    <mergeCell ref="B324:C325"/>
    <mergeCell ref="D324:D325"/>
    <mergeCell ref="E324:G324"/>
    <mergeCell ref="H324:H325"/>
    <mergeCell ref="I324:I325"/>
    <mergeCell ref="J324:J325"/>
    <mergeCell ref="B371:C371"/>
    <mergeCell ref="A372:J372"/>
    <mergeCell ref="A417:Q417"/>
    <mergeCell ref="B329:C329"/>
    <mergeCell ref="A330:J330"/>
    <mergeCell ref="A338:Q338"/>
    <mergeCell ref="B339:N339"/>
    <mergeCell ref="P339:Q339"/>
    <mergeCell ref="A340:Q340"/>
    <mergeCell ref="A341:A342"/>
    <mergeCell ref="B341:C342"/>
    <mergeCell ref="D341:D342"/>
    <mergeCell ref="E341:G341"/>
    <mergeCell ref="H341:H342"/>
    <mergeCell ref="I341:I342"/>
    <mergeCell ref="J341:J342"/>
    <mergeCell ref="A344:J344"/>
    <mergeCell ref="A352:Q352"/>
    <mergeCell ref="B328:C328"/>
    <mergeCell ref="A311:Q311"/>
    <mergeCell ref="B312:N312"/>
    <mergeCell ref="P312:Q312"/>
    <mergeCell ref="A313:Q313"/>
    <mergeCell ref="A314:A315"/>
    <mergeCell ref="B314:C315"/>
    <mergeCell ref="D314:D315"/>
    <mergeCell ref="E314:G314"/>
    <mergeCell ref="H314:H315"/>
    <mergeCell ref="I314:I315"/>
    <mergeCell ref="J314:J315"/>
    <mergeCell ref="B316:C316"/>
    <mergeCell ref="B317:C317"/>
    <mergeCell ref="B318:C318"/>
    <mergeCell ref="B319:C319"/>
    <mergeCell ref="A320:J320"/>
    <mergeCell ref="B326:C326"/>
    <mergeCell ref="B327:C327"/>
    <mergeCell ref="A321:Q321"/>
    <mergeCell ref="B322:N322"/>
    <mergeCell ref="P322:Q322"/>
    <mergeCell ref="A323:Q323"/>
    <mergeCell ref="A324:A325"/>
    <mergeCell ref="I300:I301"/>
    <mergeCell ref="J300:J301"/>
    <mergeCell ref="A303:J303"/>
    <mergeCell ref="A304:Q304"/>
    <mergeCell ref="B305:N305"/>
    <mergeCell ref="P305:Q305"/>
    <mergeCell ref="A306:Q306"/>
    <mergeCell ref="A307:A308"/>
    <mergeCell ref="B307:C308"/>
    <mergeCell ref="D307:D308"/>
    <mergeCell ref="E307:G307"/>
    <mergeCell ref="H307:H308"/>
    <mergeCell ref="I307:I308"/>
    <mergeCell ref="J307:J308"/>
    <mergeCell ref="B302:C302"/>
    <mergeCell ref="B300:C301"/>
    <mergeCell ref="D300:D301"/>
    <mergeCell ref="E300:G300"/>
    <mergeCell ref="H300:H301"/>
    <mergeCell ref="A300:A301"/>
    <mergeCell ref="A310:J310"/>
    <mergeCell ref="B267:C267"/>
    <mergeCell ref="B284:C284"/>
    <mergeCell ref="A297:Q297"/>
    <mergeCell ref="B298:N298"/>
    <mergeCell ref="P298:Q298"/>
    <mergeCell ref="B295:C295"/>
    <mergeCell ref="E292:G292"/>
    <mergeCell ref="H292:H293"/>
    <mergeCell ref="A291:Q291"/>
    <mergeCell ref="A292:A293"/>
    <mergeCell ref="B292:C293"/>
    <mergeCell ref="B309:C309"/>
    <mergeCell ref="B285:C285"/>
    <mergeCell ref="B286:C286"/>
    <mergeCell ref="B282:C283"/>
    <mergeCell ref="D282:D283"/>
    <mergeCell ref="E282:G282"/>
    <mergeCell ref="I282:I283"/>
    <mergeCell ref="J282:J283"/>
    <mergeCell ref="B287:C287"/>
    <mergeCell ref="A296:J296"/>
    <mergeCell ref="A289:Q289"/>
    <mergeCell ref="B290:N290"/>
    <mergeCell ref="A245:Q245"/>
    <mergeCell ref="A246:A247"/>
    <mergeCell ref="B246:C247"/>
    <mergeCell ref="D246:D247"/>
    <mergeCell ref="E246:G246"/>
    <mergeCell ref="H246:H247"/>
    <mergeCell ref="I246:I247"/>
    <mergeCell ref="J246:J247"/>
    <mergeCell ref="B250:C250"/>
    <mergeCell ref="A252:J252"/>
    <mergeCell ref="B251:C251"/>
    <mergeCell ref="B254:N254"/>
    <mergeCell ref="P254:Q254"/>
    <mergeCell ref="A255:Q255"/>
    <mergeCell ref="A256:A257"/>
    <mergeCell ref="B256:C257"/>
    <mergeCell ref="D256:D257"/>
    <mergeCell ref="E256:G256"/>
    <mergeCell ref="H256:H257"/>
    <mergeCell ref="I256:I257"/>
    <mergeCell ref="J256:J257"/>
    <mergeCell ref="A253:Q253"/>
    <mergeCell ref="A447:Q447"/>
    <mergeCell ref="A448:A449"/>
    <mergeCell ref="B448:C449"/>
    <mergeCell ref="D448:D449"/>
    <mergeCell ref="E448:G448"/>
    <mergeCell ref="H448:H449"/>
    <mergeCell ref="I448:I449"/>
    <mergeCell ref="J448:J449"/>
    <mergeCell ref="I157:I158"/>
    <mergeCell ref="J157:J158"/>
    <mergeCell ref="A157:A158"/>
    <mergeCell ref="D157:D158"/>
    <mergeCell ref="B157:C158"/>
    <mergeCell ref="E157:G157"/>
    <mergeCell ref="H157:H158"/>
    <mergeCell ref="A243:Q243"/>
    <mergeCell ref="B244:N244"/>
    <mergeCell ref="P244:Q244"/>
    <mergeCell ref="A219:Q219"/>
    <mergeCell ref="B220:N220"/>
    <mergeCell ref="P220:Q220"/>
    <mergeCell ref="A222:A223"/>
    <mergeCell ref="B222:C223"/>
    <mergeCell ref="D222:D223"/>
    <mergeCell ref="A482:Q482"/>
    <mergeCell ref="B494:C494"/>
    <mergeCell ref="B464:C464"/>
    <mergeCell ref="A465:J465"/>
    <mergeCell ref="J462:J463"/>
    <mergeCell ref="I462:I463"/>
    <mergeCell ref="H462:H463"/>
    <mergeCell ref="E462:G462"/>
    <mergeCell ref="D462:D463"/>
    <mergeCell ref="B462:C463"/>
    <mergeCell ref="B487:C487"/>
    <mergeCell ref="A488:J488"/>
    <mergeCell ref="B483:N483"/>
    <mergeCell ref="P483:Q483"/>
    <mergeCell ref="A484:Q484"/>
    <mergeCell ref="A485:A486"/>
    <mergeCell ref="B485:C486"/>
    <mergeCell ref="D485:D486"/>
    <mergeCell ref="E485:G485"/>
    <mergeCell ref="H485:H486"/>
    <mergeCell ref="I485:I486"/>
    <mergeCell ref="J485:J486"/>
    <mergeCell ref="A481:Q481"/>
    <mergeCell ref="A469:A470"/>
    <mergeCell ref="A359:Q359"/>
    <mergeCell ref="I362:I363"/>
    <mergeCell ref="J362:J363"/>
    <mergeCell ref="A373:Q373"/>
    <mergeCell ref="B374:N374"/>
    <mergeCell ref="P374:Q374"/>
    <mergeCell ref="A375:Q375"/>
    <mergeCell ref="A376:A377"/>
    <mergeCell ref="B376:C377"/>
    <mergeCell ref="D376:D377"/>
    <mergeCell ref="E376:G376"/>
    <mergeCell ref="H376:H377"/>
    <mergeCell ref="I376:I377"/>
    <mergeCell ref="J376:J377"/>
    <mergeCell ref="A365:J365"/>
    <mergeCell ref="A366:Q366"/>
    <mergeCell ref="B367:N367"/>
    <mergeCell ref="P367:Q367"/>
    <mergeCell ref="A368:Q368"/>
    <mergeCell ref="A369:A370"/>
    <mergeCell ref="B369:C370"/>
    <mergeCell ref="D369:D370"/>
    <mergeCell ref="E369:G369"/>
    <mergeCell ref="H369:H370"/>
    <mergeCell ref="B350:C350"/>
    <mergeCell ref="A351:J351"/>
    <mergeCell ref="B364:C364"/>
    <mergeCell ref="A345:Q345"/>
    <mergeCell ref="B353:N353"/>
    <mergeCell ref="P353:Q353"/>
    <mergeCell ref="A354:Q354"/>
    <mergeCell ref="A355:A356"/>
    <mergeCell ref="B355:C356"/>
    <mergeCell ref="D355:D356"/>
    <mergeCell ref="E355:G355"/>
    <mergeCell ref="H355:H356"/>
    <mergeCell ref="I355:I356"/>
    <mergeCell ref="J355:J356"/>
    <mergeCell ref="B357:C357"/>
    <mergeCell ref="A358:J358"/>
    <mergeCell ref="B360:N360"/>
    <mergeCell ref="P360:Q360"/>
    <mergeCell ref="A361:Q361"/>
    <mergeCell ref="A362:A363"/>
    <mergeCell ref="B362:C363"/>
    <mergeCell ref="D362:D363"/>
    <mergeCell ref="E362:G362"/>
    <mergeCell ref="H362:H363"/>
    <mergeCell ref="A331:Q331"/>
    <mergeCell ref="B332:N332"/>
    <mergeCell ref="P332:Q332"/>
    <mergeCell ref="A348:A349"/>
    <mergeCell ref="B348:C349"/>
    <mergeCell ref="D348:D349"/>
    <mergeCell ref="E348:G348"/>
    <mergeCell ref="H348:H349"/>
    <mergeCell ref="I348:I349"/>
    <mergeCell ref="J348:J349"/>
    <mergeCell ref="B346:N346"/>
    <mergeCell ref="A337:J337"/>
    <mergeCell ref="P346:Q346"/>
    <mergeCell ref="A347:Q347"/>
    <mergeCell ref="A333:Q333"/>
    <mergeCell ref="A334:A335"/>
    <mergeCell ref="B334:C335"/>
    <mergeCell ref="D334:D335"/>
    <mergeCell ref="E334:G334"/>
    <mergeCell ref="H334:H335"/>
    <mergeCell ref="I334:I335"/>
    <mergeCell ref="J334:J335"/>
    <mergeCell ref="B336:C336"/>
    <mergeCell ref="P290:Q290"/>
    <mergeCell ref="H282:H283"/>
    <mergeCell ref="A282:A283"/>
    <mergeCell ref="D292:D293"/>
    <mergeCell ref="A288:J288"/>
    <mergeCell ref="I292:I293"/>
    <mergeCell ref="J292:J293"/>
    <mergeCell ref="B294:C294"/>
    <mergeCell ref="A299:Q299"/>
    <mergeCell ref="B275:C275"/>
    <mergeCell ref="B266:C266"/>
    <mergeCell ref="B248:C248"/>
    <mergeCell ref="B249:C249"/>
    <mergeCell ref="H167:H168"/>
    <mergeCell ref="I239:I240"/>
    <mergeCell ref="A238:Q238"/>
    <mergeCell ref="A239:A240"/>
    <mergeCell ref="A260:J260"/>
    <mergeCell ref="I167:I168"/>
    <mergeCell ref="J167:J168"/>
    <mergeCell ref="B201:C201"/>
    <mergeCell ref="H264:H265"/>
    <mergeCell ref="I264:I265"/>
    <mergeCell ref="B273:C274"/>
    <mergeCell ref="A261:Q261"/>
    <mergeCell ref="P271:Q271"/>
    <mergeCell ref="A263:Q263"/>
    <mergeCell ref="B208:C208"/>
    <mergeCell ref="B209:C209"/>
    <mergeCell ref="A221:Q221"/>
    <mergeCell ref="B224:C224"/>
    <mergeCell ref="B225:C225"/>
    <mergeCell ref="B259:C259"/>
    <mergeCell ref="P180:Q180"/>
    <mergeCell ref="A181:Q181"/>
    <mergeCell ref="A182:A183"/>
    <mergeCell ref="B182:C183"/>
    <mergeCell ref="B258:C258"/>
    <mergeCell ref="A203:Q203"/>
    <mergeCell ref="B204:N204"/>
    <mergeCell ref="P204:Q204"/>
    <mergeCell ref="A205:Q205"/>
    <mergeCell ref="A206:A207"/>
    <mergeCell ref="B206:C207"/>
    <mergeCell ref="D206:D207"/>
    <mergeCell ref="E206:G206"/>
    <mergeCell ref="H206:H207"/>
    <mergeCell ref="I206:I207"/>
    <mergeCell ref="J206:J207"/>
    <mergeCell ref="D239:D240"/>
    <mergeCell ref="A210:J210"/>
    <mergeCell ref="A211:Q211"/>
    <mergeCell ref="A226:J226"/>
    <mergeCell ref="I222:I223"/>
    <mergeCell ref="J222:J223"/>
    <mergeCell ref="E222:G222"/>
    <mergeCell ref="H222:H223"/>
    <mergeCell ref="B169:C169"/>
    <mergeCell ref="A170:J170"/>
    <mergeCell ref="A131:Q131"/>
    <mergeCell ref="B132:N132"/>
    <mergeCell ref="D134:G134"/>
    <mergeCell ref="J111:J112"/>
    <mergeCell ref="I199:I200"/>
    <mergeCell ref="J199:J200"/>
    <mergeCell ref="B194:C194"/>
    <mergeCell ref="A195:J195"/>
    <mergeCell ref="B165:N165"/>
    <mergeCell ref="P165:Q165"/>
    <mergeCell ref="B167:C168"/>
    <mergeCell ref="D167:D168"/>
    <mergeCell ref="E167:G167"/>
    <mergeCell ref="J192:J193"/>
    <mergeCell ref="A189:Q189"/>
    <mergeCell ref="B190:N190"/>
    <mergeCell ref="P190:Q190"/>
    <mergeCell ref="A192:A193"/>
    <mergeCell ref="B192:C193"/>
    <mergeCell ref="D192:D193"/>
    <mergeCell ref="E192:G192"/>
    <mergeCell ref="A191:Q191"/>
    <mergeCell ref="A166:Q166"/>
    <mergeCell ref="A167:A168"/>
    <mergeCell ref="A163:J163"/>
    <mergeCell ref="B160:C160"/>
    <mergeCell ref="B155:N155"/>
    <mergeCell ref="P155:Q155"/>
    <mergeCell ref="A154:Q154"/>
    <mergeCell ref="B162:C162"/>
    <mergeCell ref="B161:C161"/>
    <mergeCell ref="A164:Q164"/>
    <mergeCell ref="B159:C159"/>
    <mergeCell ref="A156:Q156"/>
    <mergeCell ref="O1:Q4"/>
    <mergeCell ref="A1:N1"/>
    <mergeCell ref="A2:N2"/>
    <mergeCell ref="A3:N3"/>
    <mergeCell ref="A4:N4"/>
    <mergeCell ref="D10:D11"/>
    <mergeCell ref="A5:Q5"/>
    <mergeCell ref="A6:Q6"/>
    <mergeCell ref="B12:C12"/>
    <mergeCell ref="B7:Q7"/>
    <mergeCell ref="B8:N8"/>
    <mergeCell ref="P8:Q8"/>
    <mergeCell ref="E10:G10"/>
    <mergeCell ref="H10:H11"/>
    <mergeCell ref="I10:I11"/>
    <mergeCell ref="J10:J11"/>
    <mergeCell ref="B10:C11"/>
    <mergeCell ref="A9:Q9"/>
    <mergeCell ref="E47:G47"/>
    <mergeCell ref="H47:H48"/>
    <mergeCell ref="I47:I48"/>
    <mergeCell ref="J47:J48"/>
    <mergeCell ref="L47:Q50"/>
    <mergeCell ref="A46:Q46"/>
    <mergeCell ref="A47:A48"/>
    <mergeCell ref="B49:C49"/>
    <mergeCell ref="A50:J50"/>
    <mergeCell ref="E101:F101"/>
    <mergeCell ref="E103:F103"/>
    <mergeCell ref="A122:Q122"/>
    <mergeCell ref="B139:C139"/>
    <mergeCell ref="B140:C140"/>
    <mergeCell ref="A111:A112"/>
    <mergeCell ref="B111:C112"/>
    <mergeCell ref="A108:Q108"/>
    <mergeCell ref="A107:J107"/>
    <mergeCell ref="A110:Q110"/>
    <mergeCell ref="B113:C113"/>
    <mergeCell ref="B116:C116"/>
    <mergeCell ref="P109:Q109"/>
    <mergeCell ref="E125:G125"/>
    <mergeCell ref="P132:Q132"/>
    <mergeCell ref="M134:Q144"/>
    <mergeCell ref="A134:A135"/>
    <mergeCell ref="J134:J135"/>
    <mergeCell ref="H134:H135"/>
    <mergeCell ref="B143:C143"/>
    <mergeCell ref="B142:C142"/>
    <mergeCell ref="K134:K135"/>
    <mergeCell ref="B137:C137"/>
    <mergeCell ref="B125:C126"/>
    <mergeCell ref="P460:Q460"/>
    <mergeCell ref="B460:N460"/>
    <mergeCell ref="A459:Q459"/>
    <mergeCell ref="B450:C450"/>
    <mergeCell ref="A451:J451"/>
    <mergeCell ref="B457:C457"/>
    <mergeCell ref="A458:J458"/>
    <mergeCell ref="B415:C415"/>
    <mergeCell ref="A427:A428"/>
    <mergeCell ref="A434:A435"/>
    <mergeCell ref="B434:C435"/>
    <mergeCell ref="H434:H435"/>
    <mergeCell ref="I434:I435"/>
    <mergeCell ref="B418:N418"/>
    <mergeCell ref="P418:Q418"/>
    <mergeCell ref="A419:Q419"/>
    <mergeCell ref="A420:A421"/>
    <mergeCell ref="A440:P440"/>
    <mergeCell ref="A441:A442"/>
    <mergeCell ref="B441:C442"/>
    <mergeCell ref="D441:D442"/>
    <mergeCell ref="E441:G441"/>
    <mergeCell ref="B446:N446"/>
    <mergeCell ref="P446:Q446"/>
    <mergeCell ref="A399:A400"/>
    <mergeCell ref="B399:C400"/>
    <mergeCell ref="D399:D400"/>
    <mergeCell ref="H413:H414"/>
    <mergeCell ref="I399:I400"/>
    <mergeCell ref="J399:J400"/>
    <mergeCell ref="A403:Q403"/>
    <mergeCell ref="B439:N439"/>
    <mergeCell ref="A438:Q438"/>
    <mergeCell ref="P439:Q439"/>
    <mergeCell ref="H399:H400"/>
    <mergeCell ref="A409:J409"/>
    <mergeCell ref="A413:A414"/>
    <mergeCell ref="A410:Q410"/>
    <mergeCell ref="A412:Q412"/>
    <mergeCell ref="B413:C414"/>
    <mergeCell ref="A416:J416"/>
    <mergeCell ref="E406:G406"/>
    <mergeCell ref="B429:C429"/>
    <mergeCell ref="B401:C401"/>
    <mergeCell ref="A405:Q405"/>
    <mergeCell ref="E399:G399"/>
    <mergeCell ref="B408:C408"/>
    <mergeCell ref="I125:I126"/>
    <mergeCell ref="J125:J126"/>
    <mergeCell ref="I111:I112"/>
    <mergeCell ref="B118:C118"/>
    <mergeCell ref="D125:D126"/>
    <mergeCell ref="H125:H126"/>
    <mergeCell ref="B117:C117"/>
    <mergeCell ref="A130:J130"/>
    <mergeCell ref="B119:C119"/>
    <mergeCell ref="B127:C127"/>
    <mergeCell ref="B114:C114"/>
    <mergeCell ref="A121:J121"/>
    <mergeCell ref="B129:C129"/>
    <mergeCell ref="B123:N123"/>
    <mergeCell ref="A124:Q124"/>
    <mergeCell ref="A125:A126"/>
    <mergeCell ref="B128:C128"/>
    <mergeCell ref="P123:Q123"/>
    <mergeCell ref="A133:Q133"/>
    <mergeCell ref="B150:C151"/>
    <mergeCell ref="E150:G150"/>
    <mergeCell ref="H150:H151"/>
    <mergeCell ref="I150:I151"/>
    <mergeCell ref="J150:J151"/>
    <mergeCell ref="L150:Q153"/>
    <mergeCell ref="B152:C152"/>
    <mergeCell ref="A153:J153"/>
    <mergeCell ref="A147:Q147"/>
    <mergeCell ref="A146:Q146"/>
    <mergeCell ref="A149:Q149"/>
    <mergeCell ref="A150:A151"/>
    <mergeCell ref="B141:C141"/>
    <mergeCell ref="B138:C138"/>
    <mergeCell ref="D150:D151"/>
    <mergeCell ref="A144:K144"/>
    <mergeCell ref="P148:Q148"/>
    <mergeCell ref="A145:Q145"/>
    <mergeCell ref="B148:N148"/>
    <mergeCell ref="I134:I135"/>
    <mergeCell ref="B136:C136"/>
    <mergeCell ref="B134:C135"/>
    <mergeCell ref="B230:C231"/>
    <mergeCell ref="B239:C240"/>
    <mergeCell ref="B233:C233"/>
    <mergeCell ref="H230:H231"/>
    <mergeCell ref="I230:I231"/>
    <mergeCell ref="J230:J231"/>
    <mergeCell ref="B228:N228"/>
    <mergeCell ref="P228:Q228"/>
    <mergeCell ref="A229:Q229"/>
    <mergeCell ref="A230:A231"/>
    <mergeCell ref="A236:Q236"/>
    <mergeCell ref="B237:N237"/>
    <mergeCell ref="J239:J240"/>
    <mergeCell ref="B232:C232"/>
    <mergeCell ref="A235:J235"/>
    <mergeCell ref="P237:Q237"/>
    <mergeCell ref="D230:D231"/>
    <mergeCell ref="E230:G230"/>
    <mergeCell ref="B234:C234"/>
    <mergeCell ref="A179:Q179"/>
    <mergeCell ref="B180:N180"/>
    <mergeCell ref="B469:C470"/>
    <mergeCell ref="D469:D470"/>
    <mergeCell ref="E469:G469"/>
    <mergeCell ref="H469:H470"/>
    <mergeCell ref="I469:I470"/>
    <mergeCell ref="J469:J470"/>
    <mergeCell ref="A461:Q461"/>
    <mergeCell ref="A466:Q466"/>
    <mergeCell ref="B467:N467"/>
    <mergeCell ref="P467:Q467"/>
    <mergeCell ref="A468:Q468"/>
    <mergeCell ref="B404:N404"/>
    <mergeCell ref="B390:C391"/>
    <mergeCell ref="P404:Q404"/>
    <mergeCell ref="A406:A407"/>
    <mergeCell ref="A431:Q431"/>
    <mergeCell ref="B432:N432"/>
    <mergeCell ref="B411:N411"/>
    <mergeCell ref="P411:Q411"/>
    <mergeCell ref="A402:J402"/>
    <mergeCell ref="A396:Q396"/>
    <mergeCell ref="B397:N397"/>
    <mergeCell ref="B394:C394"/>
    <mergeCell ref="B471:C471"/>
    <mergeCell ref="A472:J472"/>
    <mergeCell ref="A462:A463"/>
    <mergeCell ref="E239:G239"/>
    <mergeCell ref="H239:H240"/>
    <mergeCell ref="A273:A274"/>
    <mergeCell ref="A279:Q279"/>
    <mergeCell ref="B280:N280"/>
    <mergeCell ref="P280:Q280"/>
    <mergeCell ref="A281:Q281"/>
    <mergeCell ref="A264:A265"/>
    <mergeCell ref="B264:C265"/>
    <mergeCell ref="D264:D265"/>
    <mergeCell ref="E264:G264"/>
    <mergeCell ref="J264:J265"/>
    <mergeCell ref="I273:I274"/>
    <mergeCell ref="J273:J274"/>
    <mergeCell ref="A270:Q270"/>
    <mergeCell ref="A269:J269"/>
    <mergeCell ref="H441:H442"/>
    <mergeCell ref="D273:D274"/>
    <mergeCell ref="I441:I442"/>
    <mergeCell ref="A398:Q398"/>
    <mergeCell ref="B262:N262"/>
    <mergeCell ref="I455:I456"/>
    <mergeCell ref="J455:J456"/>
    <mergeCell ref="A455:A456"/>
    <mergeCell ref="D427:G427"/>
    <mergeCell ref="A430:J430"/>
    <mergeCell ref="D434:G434"/>
    <mergeCell ref="B436:C436"/>
    <mergeCell ref="A437:J437"/>
    <mergeCell ref="B455:C456"/>
    <mergeCell ref="D455:D456"/>
    <mergeCell ref="E455:G455"/>
    <mergeCell ref="H455:H456"/>
    <mergeCell ref="H427:H428"/>
    <mergeCell ref="I427:I428"/>
    <mergeCell ref="B427:C428"/>
    <mergeCell ref="B453:N453"/>
    <mergeCell ref="J434:J435"/>
    <mergeCell ref="A452:Q452"/>
    <mergeCell ref="B443:C443"/>
    <mergeCell ref="D406:D407"/>
    <mergeCell ref="A444:J444"/>
    <mergeCell ref="P397:Q397"/>
    <mergeCell ref="B392:C392"/>
    <mergeCell ref="J441:J442"/>
    <mergeCell ref="P432:Q432"/>
    <mergeCell ref="A433:Q433"/>
    <mergeCell ref="A445:Q445"/>
    <mergeCell ref="P453:Q453"/>
    <mergeCell ref="A454:Q454"/>
    <mergeCell ref="B406:C407"/>
    <mergeCell ref="H406:H407"/>
    <mergeCell ref="I406:I407"/>
    <mergeCell ref="J406:J407"/>
    <mergeCell ref="A424:Q424"/>
    <mergeCell ref="P425:Q425"/>
    <mergeCell ref="J427:J428"/>
    <mergeCell ref="B420:C421"/>
    <mergeCell ref="D420:D421"/>
    <mergeCell ref="E420:G420"/>
    <mergeCell ref="H420:H421"/>
    <mergeCell ref="I420:I421"/>
    <mergeCell ref="J420:J421"/>
    <mergeCell ref="B422:C422"/>
    <mergeCell ref="A423:J423"/>
    <mergeCell ref="B425:N425"/>
    <mergeCell ref="A426:Q426"/>
    <mergeCell ref="J413:J414"/>
    <mergeCell ref="D413:D414"/>
    <mergeCell ref="E413:G413"/>
    <mergeCell ref="I413:I414"/>
    <mergeCell ref="D182:D183"/>
    <mergeCell ref="E182:G182"/>
    <mergeCell ref="H182:H183"/>
    <mergeCell ref="I182:I183"/>
    <mergeCell ref="J182:J183"/>
    <mergeCell ref="H192:H193"/>
    <mergeCell ref="I192:I193"/>
    <mergeCell ref="B388:N388"/>
    <mergeCell ref="J390:J391"/>
    <mergeCell ref="B241:C241"/>
    <mergeCell ref="A227:Q227"/>
    <mergeCell ref="P262:Q262"/>
    <mergeCell ref="A242:J242"/>
    <mergeCell ref="B268:C268"/>
    <mergeCell ref="B271:N271"/>
    <mergeCell ref="A272:Q272"/>
    <mergeCell ref="B276:C276"/>
    <mergeCell ref="B277:C277"/>
    <mergeCell ref="B343:C343"/>
    <mergeCell ref="A386:J386"/>
    <mergeCell ref="B186:C186"/>
    <mergeCell ref="B187:C187"/>
    <mergeCell ref="A202:J202"/>
    <mergeCell ref="A188:J188"/>
    <mergeCell ref="B393:C393"/>
    <mergeCell ref="I383:I384"/>
    <mergeCell ref="J383:J384"/>
    <mergeCell ref="A395:J395"/>
    <mergeCell ref="B385:C385"/>
    <mergeCell ref="D390:D391"/>
    <mergeCell ref="E390:G390"/>
    <mergeCell ref="H390:H391"/>
    <mergeCell ref="I390:I391"/>
    <mergeCell ref="A383:A384"/>
    <mergeCell ref="B383:C384"/>
    <mergeCell ref="H383:H384"/>
    <mergeCell ref="D383:D384"/>
    <mergeCell ref="E383:G383"/>
    <mergeCell ref="A387:Q387"/>
    <mergeCell ref="P388:Q388"/>
    <mergeCell ref="A389:Q389"/>
    <mergeCell ref="A390:A391"/>
    <mergeCell ref="A278:J278"/>
    <mergeCell ref="E273:G273"/>
    <mergeCell ref="H273:H274"/>
    <mergeCell ref="A19:A20"/>
    <mergeCell ref="B19:C20"/>
    <mergeCell ref="D19:D20"/>
    <mergeCell ref="E19:G19"/>
    <mergeCell ref="H19:H20"/>
    <mergeCell ref="I19:I20"/>
    <mergeCell ref="L10:Q15"/>
    <mergeCell ref="A30:Q30"/>
    <mergeCell ref="B31:N31"/>
    <mergeCell ref="P31:Q31"/>
    <mergeCell ref="A25:Q25"/>
    <mergeCell ref="A26:A27"/>
    <mergeCell ref="B26:C27"/>
    <mergeCell ref="D26:D27"/>
    <mergeCell ref="E26:G26"/>
    <mergeCell ref="H26:H27"/>
    <mergeCell ref="I26:I27"/>
    <mergeCell ref="J26:J27"/>
    <mergeCell ref="L26:Q29"/>
    <mergeCell ref="B28:C28"/>
    <mergeCell ref="A29:J29"/>
    <mergeCell ref="J19:J20"/>
    <mergeCell ref="L19:Q22"/>
    <mergeCell ref="A10:A11"/>
    <mergeCell ref="A15:J15"/>
    <mergeCell ref="B13:C13"/>
    <mergeCell ref="B14:C14"/>
    <mergeCell ref="A16:Q16"/>
    <mergeCell ref="B17:N17"/>
    <mergeCell ref="P17:Q17"/>
    <mergeCell ref="A18:Q18"/>
    <mergeCell ref="B45:N45"/>
    <mergeCell ref="P45:Q45"/>
    <mergeCell ref="B21:C21"/>
    <mergeCell ref="A22:J22"/>
    <mergeCell ref="A23:Q23"/>
    <mergeCell ref="B24:N24"/>
    <mergeCell ref="P24:Q24"/>
    <mergeCell ref="A32:Q32"/>
    <mergeCell ref="A33:A34"/>
    <mergeCell ref="B33:C34"/>
    <mergeCell ref="D33:D34"/>
    <mergeCell ref="E33:G33"/>
    <mergeCell ref="H33:H34"/>
    <mergeCell ref="I33:I34"/>
    <mergeCell ref="J33:J34"/>
    <mergeCell ref="L33:Q36"/>
    <mergeCell ref="B35:C35"/>
    <mergeCell ref="A36:J36"/>
    <mergeCell ref="B38:N38"/>
    <mergeCell ref="P38:Q38"/>
    <mergeCell ref="A37:Q37"/>
    <mergeCell ref="I54:I55"/>
    <mergeCell ref="J54:J55"/>
    <mergeCell ref="L54:Q57"/>
    <mergeCell ref="B56:C56"/>
    <mergeCell ref="A57:J57"/>
    <mergeCell ref="I40:I41"/>
    <mergeCell ref="J40:J41"/>
    <mergeCell ref="L40:Q43"/>
    <mergeCell ref="B42:C42"/>
    <mergeCell ref="A43:J43"/>
    <mergeCell ref="A44:Q44"/>
    <mergeCell ref="A39:Q39"/>
    <mergeCell ref="A40:A41"/>
    <mergeCell ref="B40:C41"/>
    <mergeCell ref="D40:D41"/>
    <mergeCell ref="E40:G40"/>
    <mergeCell ref="H40:H41"/>
    <mergeCell ref="A53:Q53"/>
    <mergeCell ref="B47:C48"/>
    <mergeCell ref="D47:D48"/>
    <mergeCell ref="B59:N59"/>
    <mergeCell ref="P59:Q59"/>
    <mergeCell ref="A60:Q60"/>
    <mergeCell ref="A51:Q51"/>
    <mergeCell ref="B52:N52"/>
    <mergeCell ref="P52:Q52"/>
    <mergeCell ref="A58:Q58"/>
    <mergeCell ref="A54:A55"/>
    <mergeCell ref="B54:C55"/>
    <mergeCell ref="D54:D55"/>
    <mergeCell ref="E54:G54"/>
    <mergeCell ref="H54:H55"/>
    <mergeCell ref="A61:A62"/>
    <mergeCell ref="B61:C62"/>
    <mergeCell ref="D61:D62"/>
    <mergeCell ref="E61:G61"/>
    <mergeCell ref="H61:H62"/>
    <mergeCell ref="I61:I62"/>
    <mergeCell ref="J61:J62"/>
    <mergeCell ref="L61:Q64"/>
    <mergeCell ref="B63:C63"/>
    <mergeCell ref="A64:J64"/>
    <mergeCell ref="A65:Q65"/>
    <mergeCell ref="B66:N66"/>
    <mergeCell ref="P66:Q66"/>
    <mergeCell ref="A67:Q67"/>
    <mergeCell ref="A68:A69"/>
    <mergeCell ref="B68:C69"/>
    <mergeCell ref="D68:D69"/>
    <mergeCell ref="E68:G68"/>
    <mergeCell ref="H68:H69"/>
    <mergeCell ref="I68:I69"/>
    <mergeCell ref="J68:J69"/>
    <mergeCell ref="L68:Q73"/>
    <mergeCell ref="B70:C70"/>
    <mergeCell ref="A73:J73"/>
    <mergeCell ref="B71:C71"/>
    <mergeCell ref="B105:C105"/>
    <mergeCell ref="E105:F105"/>
    <mergeCell ref="B104:C104"/>
    <mergeCell ref="E104:F104"/>
    <mergeCell ref="A80:J80"/>
    <mergeCell ref="B93:C94"/>
    <mergeCell ref="D93:D94"/>
    <mergeCell ref="E93:G93"/>
    <mergeCell ref="H93:H94"/>
    <mergeCell ref="I93:I94"/>
    <mergeCell ref="J93:J94"/>
    <mergeCell ref="H100:H101"/>
    <mergeCell ref="I100:I101"/>
    <mergeCell ref="J100:J101"/>
    <mergeCell ref="B95:C95"/>
    <mergeCell ref="A96:J96"/>
    <mergeCell ref="B86:C86"/>
    <mergeCell ref="A81:Q81"/>
    <mergeCell ref="B91:N91"/>
    <mergeCell ref="B87:C87"/>
    <mergeCell ref="B88:C88"/>
    <mergeCell ref="B82:N82"/>
    <mergeCell ref="P82:Q82"/>
    <mergeCell ref="A83:Q83"/>
    <mergeCell ref="L93:Q96"/>
    <mergeCell ref="L77:Q80"/>
    <mergeCell ref="B79:C79"/>
    <mergeCell ref="B72:C72"/>
    <mergeCell ref="A74:Q74"/>
    <mergeCell ref="B75:N75"/>
    <mergeCell ref="P75:Q75"/>
    <mergeCell ref="D77:D78"/>
    <mergeCell ref="E77:G77"/>
    <mergeCell ref="H77:H78"/>
    <mergeCell ref="I77:I78"/>
    <mergeCell ref="J77:J78"/>
    <mergeCell ref="A76:Q76"/>
    <mergeCell ref="A77:A78"/>
    <mergeCell ref="A84:A85"/>
    <mergeCell ref="A89:J89"/>
    <mergeCell ref="B84:C85"/>
    <mergeCell ref="D84:D85"/>
    <mergeCell ref="E84:G84"/>
    <mergeCell ref="H84:H85"/>
    <mergeCell ref="I84:I85"/>
    <mergeCell ref="J84:J85"/>
    <mergeCell ref="L84:Q89"/>
    <mergeCell ref="B77:C78"/>
    <mergeCell ref="B109:N109"/>
    <mergeCell ref="H111:H112"/>
    <mergeCell ref="B120:C120"/>
    <mergeCell ref="A97:Q97"/>
    <mergeCell ref="P91:Q91"/>
    <mergeCell ref="A92:Q92"/>
    <mergeCell ref="A93:A94"/>
    <mergeCell ref="A90:Q90"/>
    <mergeCell ref="B100:C101"/>
    <mergeCell ref="D100:D101"/>
    <mergeCell ref="E100:G100"/>
    <mergeCell ref="E111:G111"/>
    <mergeCell ref="B115:C115"/>
    <mergeCell ref="D111:D112"/>
    <mergeCell ref="P98:Q98"/>
    <mergeCell ref="A99:Q99"/>
    <mergeCell ref="A100:A101"/>
    <mergeCell ref="L100:Q107"/>
    <mergeCell ref="B98:N98"/>
    <mergeCell ref="B102:C102"/>
    <mergeCell ref="E102:F102"/>
    <mergeCell ref="B103:C103"/>
    <mergeCell ref="B106:C106"/>
    <mergeCell ref="E106:F106"/>
    <mergeCell ref="B176:C176"/>
    <mergeCell ref="B177:C177"/>
    <mergeCell ref="A178:J178"/>
    <mergeCell ref="A171:Q171"/>
    <mergeCell ref="B172:N172"/>
    <mergeCell ref="P172:Q172"/>
    <mergeCell ref="A173:Q173"/>
    <mergeCell ref="A174:A175"/>
    <mergeCell ref="B174:C175"/>
    <mergeCell ref="D174:D175"/>
    <mergeCell ref="E174:G174"/>
    <mergeCell ref="H174:H175"/>
    <mergeCell ref="I174:I175"/>
    <mergeCell ref="J174:J175"/>
  </mergeCells>
  <pageMargins left="0.39370078740157483" right="0.27559055118110237" top="0.6692913385826772" bottom="0.55118110236220474" header="0.31496062992125984" footer="0.31496062992125984"/>
  <pageSetup scale="7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 tint="0.39997558519241921"/>
  </sheetPr>
  <dimension ref="A1:T2699"/>
  <sheetViews>
    <sheetView topLeftCell="A73" zoomScaleNormal="100" zoomScaleSheetLayoutView="100" workbookViewId="0">
      <selection activeCell="S102" sqref="S102"/>
    </sheetView>
  </sheetViews>
  <sheetFormatPr baseColWidth="10" defaultColWidth="15.83203125" defaultRowHeight="13" x14ac:dyDescent="0.15"/>
  <cols>
    <col min="1" max="1" width="6.83203125" style="120" customWidth="1"/>
    <col min="2" max="3" width="12.1640625" style="120" customWidth="1"/>
    <col min="4" max="6" width="10.6640625" style="120" customWidth="1"/>
    <col min="7" max="7" width="9.33203125" style="120" customWidth="1"/>
    <col min="8" max="8" width="10.6640625" style="120" customWidth="1"/>
    <col min="9" max="10" width="10.6640625" style="145" customWidth="1"/>
    <col min="11" max="11" width="12.5" style="120" customWidth="1"/>
    <col min="12" max="12" width="13.33203125" style="120" customWidth="1"/>
    <col min="13" max="17" width="10.6640625" style="120" customWidth="1"/>
    <col min="18" max="19" width="10.83203125" style="120" customWidth="1"/>
    <col min="20" max="20" width="22.5" style="120" customWidth="1"/>
    <col min="21" max="256" width="10.83203125" style="120" customWidth="1"/>
    <col min="257" max="16384" width="15.83203125" style="120"/>
  </cols>
  <sheetData>
    <row r="1" spans="1:17" customFormat="1" ht="41.25" customHeight="1" x14ac:dyDescent="0.15">
      <c r="A1" s="765" t="s">
        <v>874</v>
      </c>
      <c r="B1" s="765"/>
      <c r="C1" s="765"/>
      <c r="D1" s="765"/>
      <c r="E1" s="765"/>
      <c r="F1" s="765"/>
      <c r="G1" s="765"/>
      <c r="H1" s="765"/>
      <c r="I1" s="765"/>
      <c r="J1" s="765"/>
      <c r="K1" s="765"/>
      <c r="L1" s="765"/>
      <c r="M1" s="765"/>
      <c r="N1" s="765"/>
      <c r="O1" s="797"/>
      <c r="P1" s="797"/>
      <c r="Q1" s="797"/>
    </row>
    <row r="2" spans="1:17" customFormat="1" ht="14.25" customHeight="1" x14ac:dyDescent="0.15">
      <c r="A2" s="798" t="s">
        <v>875</v>
      </c>
      <c r="B2" s="798"/>
      <c r="C2" s="798"/>
      <c r="D2" s="798"/>
      <c r="E2" s="798"/>
      <c r="F2" s="798"/>
      <c r="G2" s="798"/>
      <c r="H2" s="798"/>
      <c r="I2" s="798"/>
      <c r="J2" s="798"/>
      <c r="K2" s="798"/>
      <c r="L2" s="798"/>
      <c r="M2" s="798"/>
      <c r="N2" s="798"/>
      <c r="O2" s="797"/>
      <c r="P2" s="797"/>
      <c r="Q2" s="797"/>
    </row>
    <row r="3" spans="1:17" customFormat="1" ht="14.25" customHeight="1" x14ac:dyDescent="0.15">
      <c r="A3" s="798" t="s">
        <v>876</v>
      </c>
      <c r="B3" s="798"/>
      <c r="C3" s="798"/>
      <c r="D3" s="798"/>
      <c r="E3" s="798"/>
      <c r="F3" s="798"/>
      <c r="G3" s="798"/>
      <c r="H3" s="798"/>
      <c r="I3" s="798"/>
      <c r="J3" s="798"/>
      <c r="K3" s="798"/>
      <c r="L3" s="798"/>
      <c r="M3" s="798"/>
      <c r="N3" s="798"/>
      <c r="O3" s="797"/>
      <c r="P3" s="797"/>
      <c r="Q3" s="797"/>
    </row>
    <row r="4" spans="1:17" customFormat="1" ht="30.75" customHeight="1" x14ac:dyDescent="0.15">
      <c r="A4" s="768" t="s">
        <v>836</v>
      </c>
      <c r="B4" s="768"/>
      <c r="C4" s="768"/>
      <c r="D4" s="768"/>
      <c r="E4" s="768"/>
      <c r="F4" s="768"/>
      <c r="G4" s="768"/>
      <c r="H4" s="768"/>
      <c r="I4" s="768"/>
      <c r="J4" s="768"/>
      <c r="K4" s="768"/>
      <c r="L4" s="768"/>
      <c r="M4" s="768"/>
      <c r="N4" s="768"/>
      <c r="O4" s="797"/>
      <c r="P4" s="797"/>
      <c r="Q4" s="797"/>
    </row>
    <row r="5" spans="1:17" customFormat="1" ht="19.5" customHeight="1" x14ac:dyDescent="0.15">
      <c r="A5" s="799" t="s">
        <v>966</v>
      </c>
      <c r="B5" s="800"/>
      <c r="C5" s="800"/>
      <c r="D5" s="800"/>
      <c r="E5" s="800"/>
      <c r="F5" s="800"/>
      <c r="G5" s="800"/>
      <c r="H5" s="800"/>
      <c r="I5" s="800"/>
      <c r="J5" s="800"/>
      <c r="K5" s="800"/>
      <c r="L5" s="800"/>
      <c r="M5" s="800"/>
      <c r="N5" s="800"/>
      <c r="O5" s="800"/>
      <c r="P5" s="800"/>
      <c r="Q5" s="801"/>
    </row>
    <row r="6" spans="1:17" x14ac:dyDescent="0.15">
      <c r="A6" s="790"/>
      <c r="B6" s="791"/>
      <c r="C6" s="791"/>
      <c r="D6" s="791"/>
      <c r="E6" s="791"/>
      <c r="F6" s="791"/>
      <c r="G6" s="791"/>
      <c r="H6" s="791"/>
      <c r="I6" s="791"/>
      <c r="J6" s="791"/>
      <c r="K6" s="791"/>
      <c r="L6" s="791"/>
      <c r="M6" s="791"/>
      <c r="N6" s="791"/>
      <c r="O6" s="791"/>
      <c r="P6" s="791"/>
      <c r="Q6" s="792"/>
    </row>
    <row r="7" spans="1:17" customFormat="1" ht="19.5" customHeight="1" x14ac:dyDescent="0.15">
      <c r="A7" s="132" t="s">
        <v>270</v>
      </c>
      <c r="B7" s="818" t="s">
        <v>1082</v>
      </c>
      <c r="C7" s="819"/>
      <c r="D7" s="819"/>
      <c r="E7" s="819"/>
      <c r="F7" s="819"/>
      <c r="G7" s="819"/>
      <c r="H7" s="819"/>
      <c r="I7" s="819"/>
      <c r="J7" s="819"/>
      <c r="K7" s="819"/>
      <c r="L7" s="819"/>
      <c r="M7" s="819"/>
      <c r="N7" s="819"/>
      <c r="O7" s="819"/>
      <c r="P7" s="819"/>
      <c r="Q7" s="820"/>
    </row>
    <row r="8" spans="1:17" s="121" customFormat="1" ht="18" customHeight="1" x14ac:dyDescent="0.15">
      <c r="A8" s="218" t="s">
        <v>0</v>
      </c>
      <c r="B8" s="793" t="s">
        <v>166</v>
      </c>
      <c r="C8" s="794"/>
      <c r="D8" s="794"/>
      <c r="E8" s="794"/>
      <c r="F8" s="794"/>
      <c r="G8" s="794"/>
      <c r="H8" s="794"/>
      <c r="I8" s="794"/>
      <c r="J8" s="794"/>
      <c r="K8" s="794"/>
      <c r="L8" s="794"/>
      <c r="M8" s="794"/>
      <c r="N8" s="821"/>
      <c r="O8" s="216" t="s">
        <v>73</v>
      </c>
      <c r="P8" s="795" t="s">
        <v>5</v>
      </c>
      <c r="Q8" s="796"/>
    </row>
    <row r="9" spans="1:17" x14ac:dyDescent="0.15">
      <c r="A9" s="790"/>
      <c r="B9" s="791"/>
      <c r="C9" s="791"/>
      <c r="D9" s="791"/>
      <c r="E9" s="791"/>
      <c r="F9" s="791"/>
      <c r="G9" s="791"/>
      <c r="H9" s="791"/>
      <c r="I9" s="791"/>
      <c r="J9" s="791"/>
      <c r="K9" s="791"/>
      <c r="L9" s="791"/>
      <c r="M9" s="791"/>
      <c r="N9" s="791"/>
      <c r="O9" s="791"/>
      <c r="P9" s="791"/>
      <c r="Q9" s="792"/>
    </row>
    <row r="10" spans="1:17" s="126" customFormat="1" x14ac:dyDescent="0.15">
      <c r="A10" s="822" t="s">
        <v>150</v>
      </c>
      <c r="B10" s="823" t="s">
        <v>151</v>
      </c>
      <c r="C10" s="823"/>
      <c r="D10" s="802" t="s">
        <v>658</v>
      </c>
      <c r="E10" s="823" t="s">
        <v>152</v>
      </c>
      <c r="F10" s="823"/>
      <c r="G10" s="823"/>
      <c r="H10" s="804" t="s">
        <v>153</v>
      </c>
      <c r="I10" s="802" t="s">
        <v>159</v>
      </c>
      <c r="J10" s="804" t="s">
        <v>73</v>
      </c>
      <c r="K10" s="216" t="s">
        <v>154</v>
      </c>
      <c r="L10" s="806"/>
      <c r="M10" s="807"/>
      <c r="N10" s="807"/>
      <c r="O10" s="807"/>
      <c r="P10" s="807"/>
      <c r="Q10" s="808"/>
    </row>
    <row r="11" spans="1:17" s="130" customFormat="1" x14ac:dyDescent="0.15">
      <c r="A11" s="822"/>
      <c r="B11" s="823"/>
      <c r="C11" s="823"/>
      <c r="D11" s="803"/>
      <c r="E11" s="217" t="s">
        <v>155</v>
      </c>
      <c r="F11" s="217" t="s">
        <v>156</v>
      </c>
      <c r="G11" s="217" t="s">
        <v>157</v>
      </c>
      <c r="H11" s="805"/>
      <c r="I11" s="803"/>
      <c r="J11" s="805"/>
      <c r="K11" s="216" t="s">
        <v>158</v>
      </c>
      <c r="L11" s="809"/>
      <c r="M11" s="810"/>
      <c r="N11" s="810"/>
      <c r="O11" s="810"/>
      <c r="P11" s="810"/>
      <c r="Q11" s="811"/>
    </row>
    <row r="12" spans="1:17" ht="27.75" customHeight="1" x14ac:dyDescent="0.15">
      <c r="A12" s="131"/>
      <c r="B12" s="815" t="s">
        <v>1083</v>
      </c>
      <c r="C12" s="816"/>
      <c r="D12" s="219">
        <v>0</v>
      </c>
      <c r="E12" s="132">
        <v>100.49</v>
      </c>
      <c r="F12" s="132">
        <v>0.5</v>
      </c>
      <c r="G12" s="144">
        <v>0</v>
      </c>
      <c r="H12" s="132">
        <v>1</v>
      </c>
      <c r="I12" s="132">
        <f>E12*F12</f>
        <v>50.244999999999997</v>
      </c>
      <c r="J12" s="144" t="s">
        <v>5</v>
      </c>
      <c r="K12" s="219">
        <f>I12*H12</f>
        <v>50.244999999999997</v>
      </c>
      <c r="L12" s="809"/>
      <c r="M12" s="810"/>
      <c r="N12" s="810"/>
      <c r="O12" s="810"/>
      <c r="P12" s="810"/>
      <c r="Q12" s="811"/>
    </row>
    <row r="13" spans="1:17" ht="22.5" customHeight="1" x14ac:dyDescent="0.15">
      <c r="A13" s="795" t="s">
        <v>149</v>
      </c>
      <c r="B13" s="817"/>
      <c r="C13" s="817"/>
      <c r="D13" s="817"/>
      <c r="E13" s="817"/>
      <c r="F13" s="817"/>
      <c r="G13" s="817"/>
      <c r="H13" s="817"/>
      <c r="I13" s="817"/>
      <c r="J13" s="796"/>
      <c r="K13" s="416">
        <f>SUM(K12:K12)</f>
        <v>50.244999999999997</v>
      </c>
      <c r="L13" s="812"/>
      <c r="M13" s="813"/>
      <c r="N13" s="813"/>
      <c r="O13" s="813"/>
      <c r="P13" s="813"/>
      <c r="Q13" s="814"/>
    </row>
    <row r="14" spans="1:17" x14ac:dyDescent="0.15">
      <c r="A14" s="790"/>
      <c r="B14" s="791"/>
      <c r="C14" s="791"/>
      <c r="D14" s="791"/>
      <c r="E14" s="791"/>
      <c r="F14" s="791"/>
      <c r="G14" s="791"/>
      <c r="H14" s="791"/>
      <c r="I14" s="791"/>
      <c r="J14" s="791"/>
      <c r="K14" s="791"/>
      <c r="L14" s="791"/>
      <c r="M14" s="791"/>
      <c r="N14" s="791"/>
      <c r="O14" s="791"/>
      <c r="P14" s="791"/>
      <c r="Q14" s="792"/>
    </row>
    <row r="15" spans="1:17" s="121" customFormat="1" ht="18" customHeight="1" x14ac:dyDescent="0.15">
      <c r="A15" s="218" t="s">
        <v>0</v>
      </c>
      <c r="B15" s="793" t="s">
        <v>970</v>
      </c>
      <c r="C15" s="794"/>
      <c r="D15" s="794"/>
      <c r="E15" s="794"/>
      <c r="F15" s="794"/>
      <c r="G15" s="794"/>
      <c r="H15" s="794"/>
      <c r="I15" s="794"/>
      <c r="J15" s="794"/>
      <c r="K15" s="794"/>
      <c r="L15" s="794"/>
      <c r="M15" s="794"/>
      <c r="N15" s="821"/>
      <c r="O15" s="216" t="s">
        <v>73</v>
      </c>
      <c r="P15" s="795" t="s">
        <v>5</v>
      </c>
      <c r="Q15" s="796"/>
    </row>
    <row r="16" spans="1:17" x14ac:dyDescent="0.15">
      <c r="A16" s="790"/>
      <c r="B16" s="791"/>
      <c r="C16" s="791"/>
      <c r="D16" s="791"/>
      <c r="E16" s="791"/>
      <c r="F16" s="791"/>
      <c r="G16" s="791"/>
      <c r="H16" s="791"/>
      <c r="I16" s="791"/>
      <c r="J16" s="791"/>
      <c r="K16" s="791"/>
      <c r="L16" s="791"/>
      <c r="M16" s="791"/>
      <c r="N16" s="791"/>
      <c r="O16" s="791"/>
      <c r="P16" s="791"/>
      <c r="Q16" s="792"/>
    </row>
    <row r="17" spans="1:17" s="126" customFormat="1" x14ac:dyDescent="0.15">
      <c r="A17" s="822" t="s">
        <v>150</v>
      </c>
      <c r="B17" s="823" t="s">
        <v>151</v>
      </c>
      <c r="C17" s="823"/>
      <c r="D17" s="802" t="s">
        <v>658</v>
      </c>
      <c r="E17" s="823" t="s">
        <v>152</v>
      </c>
      <c r="F17" s="823"/>
      <c r="G17" s="823"/>
      <c r="H17" s="804" t="s">
        <v>153</v>
      </c>
      <c r="I17" s="802" t="s">
        <v>159</v>
      </c>
      <c r="J17" s="804" t="s">
        <v>73</v>
      </c>
      <c r="K17" s="216" t="s">
        <v>154</v>
      </c>
      <c r="L17" s="806"/>
      <c r="M17" s="807"/>
      <c r="N17" s="807"/>
      <c r="O17" s="807"/>
      <c r="P17" s="807"/>
      <c r="Q17" s="808"/>
    </row>
    <row r="18" spans="1:17" s="130" customFormat="1" x14ac:dyDescent="0.15">
      <c r="A18" s="822"/>
      <c r="B18" s="823"/>
      <c r="C18" s="823"/>
      <c r="D18" s="803"/>
      <c r="E18" s="217" t="s">
        <v>155</v>
      </c>
      <c r="F18" s="217" t="s">
        <v>156</v>
      </c>
      <c r="G18" s="217" t="s">
        <v>157</v>
      </c>
      <c r="H18" s="805"/>
      <c r="I18" s="803"/>
      <c r="J18" s="805"/>
      <c r="K18" s="216" t="s">
        <v>158</v>
      </c>
      <c r="L18" s="809"/>
      <c r="M18" s="810"/>
      <c r="N18" s="810"/>
      <c r="O18" s="810"/>
      <c r="P18" s="810"/>
      <c r="Q18" s="811"/>
    </row>
    <row r="19" spans="1:17" ht="22.5" customHeight="1" x14ac:dyDescent="0.15">
      <c r="A19" s="131"/>
      <c r="B19" s="815" t="s">
        <v>1059</v>
      </c>
      <c r="C19" s="816"/>
      <c r="D19" s="219">
        <v>114.43</v>
      </c>
      <c r="E19" s="132">
        <v>0</v>
      </c>
      <c r="F19" s="144">
        <v>0</v>
      </c>
      <c r="G19" s="144">
        <v>0</v>
      </c>
      <c r="H19" s="132">
        <v>1</v>
      </c>
      <c r="I19" s="132">
        <f>D19</f>
        <v>114.43</v>
      </c>
      <c r="J19" s="144" t="s">
        <v>5</v>
      </c>
      <c r="K19" s="219">
        <f>I19*H19</f>
        <v>114.43</v>
      </c>
      <c r="L19" s="809"/>
      <c r="M19" s="810"/>
      <c r="N19" s="810"/>
      <c r="O19" s="810"/>
      <c r="P19" s="810"/>
      <c r="Q19" s="811"/>
    </row>
    <row r="20" spans="1:17" ht="22.5" customHeight="1" x14ac:dyDescent="0.15">
      <c r="A20" s="795" t="s">
        <v>149</v>
      </c>
      <c r="B20" s="817"/>
      <c r="C20" s="817"/>
      <c r="D20" s="817"/>
      <c r="E20" s="817"/>
      <c r="F20" s="817"/>
      <c r="G20" s="817"/>
      <c r="H20" s="817"/>
      <c r="I20" s="817"/>
      <c r="J20" s="796"/>
      <c r="K20" s="416">
        <f>SUM(K19:K19)</f>
        <v>114.43</v>
      </c>
      <c r="L20" s="812"/>
      <c r="M20" s="813"/>
      <c r="N20" s="813"/>
      <c r="O20" s="813"/>
      <c r="P20" s="813"/>
      <c r="Q20" s="814"/>
    </row>
    <row r="21" spans="1:17" x14ac:dyDescent="0.15">
      <c r="A21" s="790"/>
      <c r="B21" s="791"/>
      <c r="C21" s="791"/>
      <c r="D21" s="791"/>
      <c r="E21" s="791"/>
      <c r="F21" s="791"/>
      <c r="G21" s="791"/>
      <c r="H21" s="791"/>
      <c r="I21" s="791"/>
      <c r="J21" s="791"/>
      <c r="K21" s="791"/>
      <c r="L21" s="791"/>
      <c r="M21" s="791"/>
      <c r="N21" s="791"/>
      <c r="O21" s="791"/>
      <c r="P21" s="791"/>
      <c r="Q21" s="792"/>
    </row>
    <row r="22" spans="1:17" s="121" customFormat="1" ht="18" customHeight="1" x14ac:dyDescent="0.15">
      <c r="A22" s="218" t="s">
        <v>0</v>
      </c>
      <c r="B22" s="793" t="s">
        <v>971</v>
      </c>
      <c r="C22" s="794"/>
      <c r="D22" s="794"/>
      <c r="E22" s="794"/>
      <c r="F22" s="794"/>
      <c r="G22" s="794"/>
      <c r="H22" s="794"/>
      <c r="I22" s="794"/>
      <c r="J22" s="794"/>
      <c r="K22" s="794"/>
      <c r="L22" s="794"/>
      <c r="M22" s="794"/>
      <c r="N22" s="821"/>
      <c r="O22" s="216" t="s">
        <v>73</v>
      </c>
      <c r="P22" s="795" t="s">
        <v>5</v>
      </c>
      <c r="Q22" s="796"/>
    </row>
    <row r="23" spans="1:17" x14ac:dyDescent="0.15">
      <c r="A23" s="790"/>
      <c r="B23" s="791"/>
      <c r="C23" s="791"/>
      <c r="D23" s="791"/>
      <c r="E23" s="791"/>
      <c r="F23" s="791"/>
      <c r="G23" s="791"/>
      <c r="H23" s="791"/>
      <c r="I23" s="791"/>
      <c r="J23" s="791"/>
      <c r="K23" s="791"/>
      <c r="L23" s="791"/>
      <c r="M23" s="791"/>
      <c r="N23" s="791"/>
      <c r="O23" s="791"/>
      <c r="P23" s="791"/>
      <c r="Q23" s="792"/>
    </row>
    <row r="24" spans="1:17" s="126" customFormat="1" x14ac:dyDescent="0.15">
      <c r="A24" s="822" t="s">
        <v>150</v>
      </c>
      <c r="B24" s="823" t="s">
        <v>151</v>
      </c>
      <c r="C24" s="823"/>
      <c r="D24" s="802" t="s">
        <v>658</v>
      </c>
      <c r="E24" s="823" t="s">
        <v>152</v>
      </c>
      <c r="F24" s="823"/>
      <c r="G24" s="823"/>
      <c r="H24" s="804" t="s">
        <v>153</v>
      </c>
      <c r="I24" s="802" t="s">
        <v>159</v>
      </c>
      <c r="J24" s="804" t="s">
        <v>73</v>
      </c>
      <c r="K24" s="216" t="s">
        <v>154</v>
      </c>
      <c r="L24" s="806"/>
      <c r="M24" s="807"/>
      <c r="N24" s="807"/>
      <c r="O24" s="807"/>
      <c r="P24" s="807"/>
      <c r="Q24" s="808"/>
    </row>
    <row r="25" spans="1:17" s="130" customFormat="1" x14ac:dyDescent="0.15">
      <c r="A25" s="822"/>
      <c r="B25" s="823"/>
      <c r="C25" s="823"/>
      <c r="D25" s="803"/>
      <c r="E25" s="217" t="s">
        <v>155</v>
      </c>
      <c r="F25" s="217" t="s">
        <v>156</v>
      </c>
      <c r="G25" s="217" t="s">
        <v>157</v>
      </c>
      <c r="H25" s="805"/>
      <c r="I25" s="803"/>
      <c r="J25" s="805"/>
      <c r="K25" s="216" t="s">
        <v>158</v>
      </c>
      <c r="L25" s="809"/>
      <c r="M25" s="810"/>
      <c r="N25" s="810"/>
      <c r="O25" s="810"/>
      <c r="P25" s="810"/>
      <c r="Q25" s="811"/>
    </row>
    <row r="26" spans="1:17" ht="22.5" customHeight="1" x14ac:dyDescent="0.15">
      <c r="A26" s="131"/>
      <c r="B26" s="815" t="s">
        <v>972</v>
      </c>
      <c r="C26" s="816"/>
      <c r="D26" s="219">
        <v>86.52</v>
      </c>
      <c r="E26" s="132">
        <v>0</v>
      </c>
      <c r="F26" s="144">
        <v>0</v>
      </c>
      <c r="G26" s="144">
        <v>0.03</v>
      </c>
      <c r="H26" s="132">
        <v>1</v>
      </c>
      <c r="I26" s="132">
        <f>D26</f>
        <v>86.52</v>
      </c>
      <c r="J26" s="144" t="s">
        <v>5</v>
      </c>
      <c r="K26" s="219">
        <f>I26*H26</f>
        <v>86.52</v>
      </c>
      <c r="L26" s="809"/>
      <c r="M26" s="810"/>
      <c r="N26" s="810"/>
      <c r="O26" s="810"/>
      <c r="P26" s="810"/>
      <c r="Q26" s="811"/>
    </row>
    <row r="27" spans="1:17" ht="22.5" customHeight="1" x14ac:dyDescent="0.15">
      <c r="A27" s="795" t="s">
        <v>149</v>
      </c>
      <c r="B27" s="817"/>
      <c r="C27" s="817"/>
      <c r="D27" s="817"/>
      <c r="E27" s="817"/>
      <c r="F27" s="817"/>
      <c r="G27" s="817"/>
      <c r="H27" s="817"/>
      <c r="I27" s="817"/>
      <c r="J27" s="796"/>
      <c r="K27" s="416">
        <f>SUM(K26:K26)</f>
        <v>86.52</v>
      </c>
      <c r="L27" s="812"/>
      <c r="M27" s="813"/>
      <c r="N27" s="813"/>
      <c r="O27" s="813"/>
      <c r="P27" s="813"/>
      <c r="Q27" s="814"/>
    </row>
    <row r="28" spans="1:17" x14ac:dyDescent="0.15">
      <c r="A28" s="790"/>
      <c r="B28" s="791"/>
      <c r="C28" s="791"/>
      <c r="D28" s="791"/>
      <c r="E28" s="791"/>
      <c r="F28" s="791"/>
      <c r="G28" s="791"/>
      <c r="H28" s="791"/>
      <c r="I28" s="791"/>
      <c r="J28" s="791"/>
      <c r="K28" s="791"/>
      <c r="L28" s="791"/>
      <c r="M28" s="791"/>
      <c r="N28" s="791"/>
      <c r="O28" s="791"/>
      <c r="P28" s="791"/>
      <c r="Q28" s="792"/>
    </row>
    <row r="29" spans="1:17" s="121" customFormat="1" ht="18" customHeight="1" x14ac:dyDescent="0.15">
      <c r="A29" s="218" t="s">
        <v>0</v>
      </c>
      <c r="B29" s="793" t="s">
        <v>973</v>
      </c>
      <c r="C29" s="794"/>
      <c r="D29" s="794"/>
      <c r="E29" s="794"/>
      <c r="F29" s="794"/>
      <c r="G29" s="794"/>
      <c r="H29" s="794"/>
      <c r="I29" s="794"/>
      <c r="J29" s="794"/>
      <c r="K29" s="794"/>
      <c r="L29" s="794"/>
      <c r="M29" s="794"/>
      <c r="N29" s="821"/>
      <c r="O29" s="216" t="s">
        <v>73</v>
      </c>
      <c r="P29" s="795" t="s">
        <v>193</v>
      </c>
      <c r="Q29" s="796"/>
    </row>
    <row r="30" spans="1:17" x14ac:dyDescent="0.15">
      <c r="A30" s="790"/>
      <c r="B30" s="791"/>
      <c r="C30" s="791"/>
      <c r="D30" s="791"/>
      <c r="E30" s="791"/>
      <c r="F30" s="791"/>
      <c r="G30" s="791"/>
      <c r="H30" s="791"/>
      <c r="I30" s="791"/>
      <c r="J30" s="791"/>
      <c r="K30" s="791"/>
      <c r="L30" s="791"/>
      <c r="M30" s="791"/>
      <c r="N30" s="791"/>
      <c r="O30" s="791"/>
      <c r="P30" s="791"/>
      <c r="Q30" s="792"/>
    </row>
    <row r="31" spans="1:17" s="126" customFormat="1" x14ac:dyDescent="0.15">
      <c r="A31" s="822" t="s">
        <v>150</v>
      </c>
      <c r="B31" s="823" t="s">
        <v>151</v>
      </c>
      <c r="C31" s="823"/>
      <c r="D31" s="802" t="s">
        <v>658</v>
      </c>
      <c r="E31" s="823" t="s">
        <v>152</v>
      </c>
      <c r="F31" s="823"/>
      <c r="G31" s="823"/>
      <c r="H31" s="804" t="s">
        <v>153</v>
      </c>
      <c r="I31" s="802" t="s">
        <v>242</v>
      </c>
      <c r="J31" s="804" t="s">
        <v>73</v>
      </c>
      <c r="K31" s="216" t="s">
        <v>154</v>
      </c>
      <c r="L31" s="806"/>
      <c r="M31" s="807"/>
      <c r="N31" s="807"/>
      <c r="O31" s="807"/>
      <c r="P31" s="807"/>
      <c r="Q31" s="808"/>
    </row>
    <row r="32" spans="1:17" s="130" customFormat="1" x14ac:dyDescent="0.15">
      <c r="A32" s="822"/>
      <c r="B32" s="823"/>
      <c r="C32" s="823"/>
      <c r="D32" s="803"/>
      <c r="E32" s="217" t="s">
        <v>155</v>
      </c>
      <c r="F32" s="217" t="s">
        <v>156</v>
      </c>
      <c r="G32" s="217" t="s">
        <v>157</v>
      </c>
      <c r="H32" s="805"/>
      <c r="I32" s="803"/>
      <c r="J32" s="805"/>
      <c r="K32" s="216" t="s">
        <v>158</v>
      </c>
      <c r="L32" s="809"/>
      <c r="M32" s="810"/>
      <c r="N32" s="810"/>
      <c r="O32" s="810"/>
      <c r="P32" s="810"/>
      <c r="Q32" s="811"/>
    </row>
    <row r="33" spans="1:17" ht="22.5" customHeight="1" x14ac:dyDescent="0.15">
      <c r="A33" s="131"/>
      <c r="B33" s="815" t="s">
        <v>1084</v>
      </c>
      <c r="C33" s="816"/>
      <c r="D33" s="219">
        <v>0</v>
      </c>
      <c r="E33" s="132">
        <v>14.6</v>
      </c>
      <c r="F33" s="144">
        <v>0</v>
      </c>
      <c r="G33" s="144">
        <v>0</v>
      </c>
      <c r="H33" s="132">
        <v>6</v>
      </c>
      <c r="I33" s="132">
        <f>E33</f>
        <v>14.6</v>
      </c>
      <c r="J33" s="144" t="s">
        <v>193</v>
      </c>
      <c r="K33" s="219">
        <f>I33*H33</f>
        <v>87.6</v>
      </c>
      <c r="L33" s="809"/>
      <c r="M33" s="810"/>
      <c r="N33" s="810"/>
      <c r="O33" s="810"/>
      <c r="P33" s="810"/>
      <c r="Q33" s="811"/>
    </row>
    <row r="34" spans="1:17" ht="22.5" customHeight="1" x14ac:dyDescent="0.15">
      <c r="A34" s="131"/>
      <c r="B34" s="815" t="s">
        <v>1085</v>
      </c>
      <c r="C34" s="816"/>
      <c r="D34" s="219">
        <v>0</v>
      </c>
      <c r="E34" s="132">
        <v>12.15</v>
      </c>
      <c r="F34" s="144">
        <v>0</v>
      </c>
      <c r="G34" s="144">
        <v>0</v>
      </c>
      <c r="H34" s="132">
        <v>2</v>
      </c>
      <c r="I34" s="132">
        <f>E34</f>
        <v>12.15</v>
      </c>
      <c r="J34" s="144" t="s">
        <v>193</v>
      </c>
      <c r="K34" s="219">
        <f>I34*H34</f>
        <v>24.3</v>
      </c>
      <c r="L34" s="809"/>
      <c r="M34" s="810"/>
      <c r="N34" s="810"/>
      <c r="O34" s="810"/>
      <c r="P34" s="810"/>
      <c r="Q34" s="811"/>
    </row>
    <row r="35" spans="1:17" ht="22.5" customHeight="1" x14ac:dyDescent="0.15">
      <c r="A35" s="795" t="s">
        <v>149</v>
      </c>
      <c r="B35" s="817"/>
      <c r="C35" s="817"/>
      <c r="D35" s="817"/>
      <c r="E35" s="817"/>
      <c r="F35" s="817"/>
      <c r="G35" s="817"/>
      <c r="H35" s="817"/>
      <c r="I35" s="817"/>
      <c r="J35" s="796"/>
      <c r="K35" s="416">
        <f>SUM(K33:K34)</f>
        <v>111.89999999999999</v>
      </c>
      <c r="L35" s="812"/>
      <c r="M35" s="813"/>
      <c r="N35" s="813"/>
      <c r="O35" s="813"/>
      <c r="P35" s="813"/>
      <c r="Q35" s="814"/>
    </row>
    <row r="36" spans="1:17" x14ac:dyDescent="0.15">
      <c r="A36" s="790"/>
      <c r="B36" s="791"/>
      <c r="C36" s="791"/>
      <c r="D36" s="791"/>
      <c r="E36" s="791"/>
      <c r="F36" s="791"/>
      <c r="G36" s="791"/>
      <c r="H36" s="791"/>
      <c r="I36" s="791"/>
      <c r="J36" s="791"/>
      <c r="K36" s="791"/>
      <c r="L36" s="791"/>
      <c r="M36" s="791"/>
      <c r="N36" s="791"/>
      <c r="O36" s="791"/>
      <c r="P36" s="791"/>
      <c r="Q36" s="792"/>
    </row>
    <row r="37" spans="1:17" s="121" customFormat="1" ht="18" customHeight="1" x14ac:dyDescent="0.15">
      <c r="A37" s="218" t="s">
        <v>0</v>
      </c>
      <c r="B37" s="793" t="s">
        <v>977</v>
      </c>
      <c r="C37" s="794"/>
      <c r="D37" s="794"/>
      <c r="E37" s="794"/>
      <c r="F37" s="794"/>
      <c r="G37" s="794"/>
      <c r="H37" s="794"/>
      <c r="I37" s="794"/>
      <c r="J37" s="794"/>
      <c r="K37" s="794"/>
      <c r="L37" s="794"/>
      <c r="M37" s="794"/>
      <c r="N37" s="821"/>
      <c r="O37" s="216" t="s">
        <v>73</v>
      </c>
      <c r="P37" s="795" t="s">
        <v>19</v>
      </c>
      <c r="Q37" s="796"/>
    </row>
    <row r="38" spans="1:17" x14ac:dyDescent="0.15">
      <c r="A38" s="790"/>
      <c r="B38" s="791"/>
      <c r="C38" s="791"/>
      <c r="D38" s="791"/>
      <c r="E38" s="791"/>
      <c r="F38" s="791"/>
      <c r="G38" s="791"/>
      <c r="H38" s="791"/>
      <c r="I38" s="791"/>
      <c r="J38" s="791"/>
      <c r="K38" s="791"/>
      <c r="L38" s="791"/>
      <c r="M38" s="791"/>
      <c r="N38" s="791"/>
      <c r="O38" s="791"/>
      <c r="P38" s="791"/>
      <c r="Q38" s="792"/>
    </row>
    <row r="39" spans="1:17" s="126" customFormat="1" x14ac:dyDescent="0.15">
      <c r="A39" s="822" t="s">
        <v>150</v>
      </c>
      <c r="B39" s="823" t="s">
        <v>151</v>
      </c>
      <c r="C39" s="823"/>
      <c r="D39" s="802" t="s">
        <v>658</v>
      </c>
      <c r="E39" s="823" t="s">
        <v>152</v>
      </c>
      <c r="F39" s="823"/>
      <c r="G39" s="823"/>
      <c r="H39" s="804" t="s">
        <v>153</v>
      </c>
      <c r="I39" s="802" t="s">
        <v>976</v>
      </c>
      <c r="J39" s="804" t="s">
        <v>73</v>
      </c>
      <c r="K39" s="216" t="s">
        <v>154</v>
      </c>
      <c r="L39" s="806"/>
      <c r="M39" s="807"/>
      <c r="N39" s="807"/>
      <c r="O39" s="807"/>
      <c r="P39" s="807"/>
      <c r="Q39" s="808"/>
    </row>
    <row r="40" spans="1:17" s="130" customFormat="1" x14ac:dyDescent="0.15">
      <c r="A40" s="822"/>
      <c r="B40" s="823"/>
      <c r="C40" s="823"/>
      <c r="D40" s="803"/>
      <c r="E40" s="217" t="s">
        <v>155</v>
      </c>
      <c r="F40" s="217" t="s">
        <v>156</v>
      </c>
      <c r="G40" s="217" t="s">
        <v>157</v>
      </c>
      <c r="H40" s="805"/>
      <c r="I40" s="803"/>
      <c r="J40" s="805"/>
      <c r="K40" s="216" t="s">
        <v>158</v>
      </c>
      <c r="L40" s="809"/>
      <c r="M40" s="810"/>
      <c r="N40" s="810"/>
      <c r="O40" s="810"/>
      <c r="P40" s="810"/>
      <c r="Q40" s="811"/>
    </row>
    <row r="41" spans="1:17" ht="22.5" customHeight="1" x14ac:dyDescent="0.15">
      <c r="A41" s="131"/>
      <c r="B41" s="815" t="s">
        <v>975</v>
      </c>
      <c r="C41" s="816"/>
      <c r="D41" s="219">
        <v>0</v>
      </c>
      <c r="E41" s="132">
        <v>0</v>
      </c>
      <c r="F41" s="144">
        <v>0</v>
      </c>
      <c r="G41" s="144">
        <v>0</v>
      </c>
      <c r="H41" s="132">
        <v>1</v>
      </c>
      <c r="I41" s="132">
        <v>1</v>
      </c>
      <c r="J41" s="144" t="s">
        <v>19</v>
      </c>
      <c r="K41" s="219">
        <f>I41*H41</f>
        <v>1</v>
      </c>
      <c r="L41" s="809"/>
      <c r="M41" s="810"/>
      <c r="N41" s="810"/>
      <c r="O41" s="810"/>
      <c r="P41" s="810"/>
      <c r="Q41" s="811"/>
    </row>
    <row r="42" spans="1:17" ht="22.5" customHeight="1" x14ac:dyDescent="0.15">
      <c r="A42" s="795" t="s">
        <v>149</v>
      </c>
      <c r="B42" s="817"/>
      <c r="C42" s="817"/>
      <c r="D42" s="817"/>
      <c r="E42" s="817"/>
      <c r="F42" s="817"/>
      <c r="G42" s="817"/>
      <c r="H42" s="817"/>
      <c r="I42" s="817"/>
      <c r="J42" s="796"/>
      <c r="K42" s="416">
        <f>SUM(K41:K41)</f>
        <v>1</v>
      </c>
      <c r="L42" s="812"/>
      <c r="M42" s="813"/>
      <c r="N42" s="813"/>
      <c r="O42" s="813"/>
      <c r="P42" s="813"/>
      <c r="Q42" s="814"/>
    </row>
    <row r="43" spans="1:17" x14ac:dyDescent="0.15">
      <c r="A43" s="790"/>
      <c r="B43" s="791"/>
      <c r="C43" s="791"/>
      <c r="D43" s="791"/>
      <c r="E43" s="791"/>
      <c r="F43" s="791"/>
      <c r="G43" s="791"/>
      <c r="H43" s="791"/>
      <c r="I43" s="791"/>
      <c r="J43" s="791"/>
      <c r="K43" s="791"/>
      <c r="L43" s="791"/>
      <c r="M43" s="791"/>
      <c r="N43" s="791"/>
      <c r="O43" s="791"/>
      <c r="P43" s="791"/>
      <c r="Q43" s="792"/>
    </row>
    <row r="44" spans="1:17" s="121" customFormat="1" ht="18" customHeight="1" x14ac:dyDescent="0.15">
      <c r="A44" s="218" t="s">
        <v>0</v>
      </c>
      <c r="B44" s="793" t="s">
        <v>995</v>
      </c>
      <c r="C44" s="794"/>
      <c r="D44" s="794"/>
      <c r="E44" s="794"/>
      <c r="F44" s="794"/>
      <c r="G44" s="794"/>
      <c r="H44" s="794"/>
      <c r="I44" s="794"/>
      <c r="J44" s="794"/>
      <c r="K44" s="794"/>
      <c r="L44" s="794"/>
      <c r="M44" s="794"/>
      <c r="N44" s="821"/>
      <c r="O44" s="216" t="s">
        <v>73</v>
      </c>
      <c r="P44" s="795" t="s">
        <v>5</v>
      </c>
      <c r="Q44" s="796"/>
    </row>
    <row r="45" spans="1:17" x14ac:dyDescent="0.15">
      <c r="A45" s="790"/>
      <c r="B45" s="791"/>
      <c r="C45" s="791"/>
      <c r="D45" s="791"/>
      <c r="E45" s="791"/>
      <c r="F45" s="791"/>
      <c r="G45" s="791"/>
      <c r="H45" s="791"/>
      <c r="I45" s="791"/>
      <c r="J45" s="791"/>
      <c r="K45" s="791"/>
      <c r="L45" s="791"/>
      <c r="M45" s="791"/>
      <c r="N45" s="791"/>
      <c r="O45" s="791"/>
      <c r="P45" s="791"/>
      <c r="Q45" s="792"/>
    </row>
    <row r="46" spans="1:17" s="126" customFormat="1" x14ac:dyDescent="0.15">
      <c r="A46" s="822" t="s">
        <v>150</v>
      </c>
      <c r="B46" s="823" t="s">
        <v>151</v>
      </c>
      <c r="C46" s="823"/>
      <c r="D46" s="802" t="s">
        <v>658</v>
      </c>
      <c r="E46" s="823" t="s">
        <v>152</v>
      </c>
      <c r="F46" s="823"/>
      <c r="G46" s="823"/>
      <c r="H46" s="804" t="s">
        <v>153</v>
      </c>
      <c r="I46" s="802" t="s">
        <v>159</v>
      </c>
      <c r="J46" s="804" t="s">
        <v>73</v>
      </c>
      <c r="K46" s="216" t="s">
        <v>154</v>
      </c>
      <c r="L46" s="806"/>
      <c r="M46" s="807"/>
      <c r="N46" s="807"/>
      <c r="O46" s="807"/>
      <c r="P46" s="807"/>
      <c r="Q46" s="808"/>
    </row>
    <row r="47" spans="1:17" s="130" customFormat="1" x14ac:dyDescent="0.15">
      <c r="A47" s="822"/>
      <c r="B47" s="823"/>
      <c r="C47" s="823"/>
      <c r="D47" s="803"/>
      <c r="E47" s="217" t="s">
        <v>155</v>
      </c>
      <c r="F47" s="217" t="s">
        <v>156</v>
      </c>
      <c r="G47" s="217" t="s">
        <v>157</v>
      </c>
      <c r="H47" s="805"/>
      <c r="I47" s="803"/>
      <c r="J47" s="805"/>
      <c r="K47" s="216" t="s">
        <v>158</v>
      </c>
      <c r="L47" s="809"/>
      <c r="M47" s="810"/>
      <c r="N47" s="810"/>
      <c r="O47" s="810"/>
      <c r="P47" s="810"/>
      <c r="Q47" s="811"/>
    </row>
    <row r="48" spans="1:17" ht="22.5" customHeight="1" x14ac:dyDescent="0.15">
      <c r="A48" s="131"/>
      <c r="B48" s="815" t="s">
        <v>1552</v>
      </c>
      <c r="C48" s="816"/>
      <c r="D48" s="219">
        <f>133.8*2</f>
        <v>267.60000000000002</v>
      </c>
      <c r="E48" s="132">
        <v>0</v>
      </c>
      <c r="F48" s="144">
        <v>0</v>
      </c>
      <c r="G48" s="144">
        <v>5.0000000000000001E-3</v>
      </c>
      <c r="H48" s="132">
        <v>1</v>
      </c>
      <c r="I48" s="132">
        <f>D48</f>
        <v>267.60000000000002</v>
      </c>
      <c r="J48" s="144" t="s">
        <v>5</v>
      </c>
      <c r="K48" s="219">
        <f>I48*H48</f>
        <v>267.60000000000002</v>
      </c>
      <c r="L48" s="809"/>
      <c r="M48" s="810"/>
      <c r="N48" s="810"/>
      <c r="O48" s="810"/>
      <c r="P48" s="810"/>
      <c r="Q48" s="811"/>
    </row>
    <row r="49" spans="1:17" ht="22.5" customHeight="1" x14ac:dyDescent="0.15">
      <c r="A49" s="795" t="s">
        <v>149</v>
      </c>
      <c r="B49" s="817"/>
      <c r="C49" s="817"/>
      <c r="D49" s="817"/>
      <c r="E49" s="817"/>
      <c r="F49" s="817"/>
      <c r="G49" s="817"/>
      <c r="H49" s="817"/>
      <c r="I49" s="817"/>
      <c r="J49" s="796"/>
      <c r="K49" s="416">
        <f>SUM(K48:K48)</f>
        <v>267.60000000000002</v>
      </c>
      <c r="L49" s="812"/>
      <c r="M49" s="813"/>
      <c r="N49" s="813"/>
      <c r="O49" s="813"/>
      <c r="P49" s="813"/>
      <c r="Q49" s="814"/>
    </row>
    <row r="50" spans="1:17" x14ac:dyDescent="0.15">
      <c r="A50" s="790"/>
      <c r="B50" s="791"/>
      <c r="C50" s="791"/>
      <c r="D50" s="791"/>
      <c r="E50" s="791"/>
      <c r="F50" s="791"/>
      <c r="G50" s="791"/>
      <c r="H50" s="791"/>
      <c r="I50" s="791"/>
      <c r="J50" s="791"/>
      <c r="K50" s="791"/>
      <c r="L50" s="791"/>
      <c r="M50" s="791"/>
      <c r="N50" s="791"/>
      <c r="O50" s="791"/>
      <c r="P50" s="791"/>
      <c r="Q50" s="792"/>
    </row>
    <row r="51" spans="1:17" s="121" customFormat="1" ht="18" customHeight="1" x14ac:dyDescent="0.15">
      <c r="A51" s="218" t="s">
        <v>0</v>
      </c>
      <c r="B51" s="793" t="s">
        <v>1184</v>
      </c>
      <c r="C51" s="794"/>
      <c r="D51" s="794"/>
      <c r="E51" s="794"/>
      <c r="F51" s="794"/>
      <c r="G51" s="794"/>
      <c r="H51" s="794"/>
      <c r="I51" s="794"/>
      <c r="J51" s="794"/>
      <c r="K51" s="794"/>
      <c r="L51" s="794"/>
      <c r="M51" s="794"/>
      <c r="N51" s="821"/>
      <c r="O51" s="216" t="s">
        <v>73</v>
      </c>
      <c r="P51" s="795" t="s">
        <v>319</v>
      </c>
      <c r="Q51" s="796"/>
    </row>
    <row r="52" spans="1:17" x14ac:dyDescent="0.15">
      <c r="A52" s="790"/>
      <c r="B52" s="791"/>
      <c r="C52" s="791"/>
      <c r="D52" s="791"/>
      <c r="E52" s="791"/>
      <c r="F52" s="791"/>
      <c r="G52" s="791"/>
      <c r="H52" s="791"/>
      <c r="I52" s="791"/>
      <c r="J52" s="791"/>
      <c r="K52" s="791"/>
      <c r="L52" s="791"/>
      <c r="M52" s="791"/>
      <c r="N52" s="791"/>
      <c r="O52" s="791"/>
      <c r="P52" s="791"/>
      <c r="Q52" s="792"/>
    </row>
    <row r="53" spans="1:17" s="126" customFormat="1" x14ac:dyDescent="0.15">
      <c r="A53" s="822" t="s">
        <v>150</v>
      </c>
      <c r="B53" s="823" t="s">
        <v>151</v>
      </c>
      <c r="C53" s="823"/>
      <c r="D53" s="802" t="s">
        <v>658</v>
      </c>
      <c r="E53" s="823" t="s">
        <v>152</v>
      </c>
      <c r="F53" s="823"/>
      <c r="G53" s="823"/>
      <c r="H53" s="804" t="s">
        <v>153</v>
      </c>
      <c r="I53" s="802" t="s">
        <v>479</v>
      </c>
      <c r="J53" s="804" t="s">
        <v>73</v>
      </c>
      <c r="K53" s="216" t="s">
        <v>154</v>
      </c>
      <c r="L53" s="806"/>
      <c r="M53" s="807"/>
      <c r="N53" s="807"/>
      <c r="O53" s="807"/>
      <c r="P53" s="807"/>
      <c r="Q53" s="808"/>
    </row>
    <row r="54" spans="1:17" s="130" customFormat="1" x14ac:dyDescent="0.15">
      <c r="A54" s="822"/>
      <c r="B54" s="823"/>
      <c r="C54" s="823"/>
      <c r="D54" s="803"/>
      <c r="E54" s="217" t="s">
        <v>155</v>
      </c>
      <c r="F54" s="217" t="s">
        <v>156</v>
      </c>
      <c r="G54" s="217" t="s">
        <v>157</v>
      </c>
      <c r="H54" s="805"/>
      <c r="I54" s="803"/>
      <c r="J54" s="805"/>
      <c r="K54" s="216" t="s">
        <v>158</v>
      </c>
      <c r="L54" s="809"/>
      <c r="M54" s="810"/>
      <c r="N54" s="810"/>
      <c r="O54" s="810"/>
      <c r="P54" s="810"/>
      <c r="Q54" s="811"/>
    </row>
    <row r="55" spans="1:17" ht="27.75" customHeight="1" x14ac:dyDescent="0.15">
      <c r="A55" s="131"/>
      <c r="B55" s="815" t="s">
        <v>1086</v>
      </c>
      <c r="C55" s="816"/>
      <c r="D55" s="219">
        <v>0</v>
      </c>
      <c r="E55" s="132">
        <v>0</v>
      </c>
      <c r="F55" s="144">
        <v>0</v>
      </c>
      <c r="G55" s="144">
        <v>0</v>
      </c>
      <c r="H55" s="132">
        <v>6</v>
      </c>
      <c r="I55" s="132">
        <v>1</v>
      </c>
      <c r="J55" s="144" t="s">
        <v>519</v>
      </c>
      <c r="K55" s="219">
        <f>I55*H55</f>
        <v>6</v>
      </c>
      <c r="L55" s="809"/>
      <c r="M55" s="810"/>
      <c r="N55" s="810"/>
      <c r="O55" s="810"/>
      <c r="P55" s="810"/>
      <c r="Q55" s="811"/>
    </row>
    <row r="56" spans="1:17" ht="22.5" customHeight="1" x14ac:dyDescent="0.15">
      <c r="A56" s="795" t="s">
        <v>149</v>
      </c>
      <c r="B56" s="817"/>
      <c r="C56" s="817"/>
      <c r="D56" s="817"/>
      <c r="E56" s="817"/>
      <c r="F56" s="817"/>
      <c r="G56" s="817"/>
      <c r="H56" s="817"/>
      <c r="I56" s="817"/>
      <c r="J56" s="796"/>
      <c r="K56" s="416">
        <f>SUM(K55:K55)</f>
        <v>6</v>
      </c>
      <c r="L56" s="812"/>
      <c r="M56" s="813"/>
      <c r="N56" s="813"/>
      <c r="O56" s="813"/>
      <c r="P56" s="813"/>
      <c r="Q56" s="814"/>
    </row>
    <row r="57" spans="1:17" x14ac:dyDescent="0.15">
      <c r="A57" s="790"/>
      <c r="B57" s="791"/>
      <c r="C57" s="791"/>
      <c r="D57" s="791"/>
      <c r="E57" s="791"/>
      <c r="F57" s="791"/>
      <c r="G57" s="791"/>
      <c r="H57" s="791"/>
      <c r="I57" s="791"/>
      <c r="J57" s="791"/>
      <c r="K57" s="791"/>
      <c r="L57" s="791"/>
      <c r="M57" s="791"/>
      <c r="N57" s="791"/>
      <c r="O57" s="791"/>
      <c r="P57" s="791"/>
      <c r="Q57" s="792"/>
    </row>
    <row r="58" spans="1:17" s="121" customFormat="1" ht="18" customHeight="1" x14ac:dyDescent="0.15">
      <c r="A58" s="218" t="s">
        <v>0</v>
      </c>
      <c r="B58" s="827" t="s">
        <v>1532</v>
      </c>
      <c r="C58" s="828"/>
      <c r="D58" s="828"/>
      <c r="E58" s="828"/>
      <c r="F58" s="828"/>
      <c r="G58" s="828"/>
      <c r="H58" s="828"/>
      <c r="I58" s="828"/>
      <c r="J58" s="828"/>
      <c r="K58" s="828"/>
      <c r="L58" s="828"/>
      <c r="M58" s="828"/>
      <c r="N58" s="829"/>
      <c r="O58" s="216" t="s">
        <v>73</v>
      </c>
      <c r="P58" s="795" t="s">
        <v>6</v>
      </c>
      <c r="Q58" s="796"/>
    </row>
    <row r="59" spans="1:17" x14ac:dyDescent="0.15">
      <c r="A59" s="790"/>
      <c r="B59" s="791"/>
      <c r="C59" s="791"/>
      <c r="D59" s="791"/>
      <c r="E59" s="791"/>
      <c r="F59" s="791"/>
      <c r="G59" s="791"/>
      <c r="H59" s="791"/>
      <c r="I59" s="791"/>
      <c r="J59" s="791"/>
      <c r="K59" s="791"/>
      <c r="L59" s="791"/>
      <c r="M59" s="791"/>
      <c r="N59" s="791"/>
      <c r="O59" s="791"/>
      <c r="P59" s="791"/>
      <c r="Q59" s="792"/>
    </row>
    <row r="60" spans="1:17" s="126" customFormat="1" x14ac:dyDescent="0.15">
      <c r="A60" s="822" t="s">
        <v>150</v>
      </c>
      <c r="B60" s="823" t="s">
        <v>151</v>
      </c>
      <c r="C60" s="823"/>
      <c r="D60" s="802" t="s">
        <v>493</v>
      </c>
      <c r="E60" s="823" t="s">
        <v>152</v>
      </c>
      <c r="F60" s="823"/>
      <c r="G60" s="823"/>
      <c r="H60" s="804" t="s">
        <v>153</v>
      </c>
      <c r="I60" s="802" t="s">
        <v>160</v>
      </c>
      <c r="J60" s="804" t="s">
        <v>73</v>
      </c>
      <c r="K60" s="216" t="s">
        <v>154</v>
      </c>
      <c r="L60" s="806"/>
      <c r="M60" s="807"/>
      <c r="N60" s="807"/>
      <c r="O60" s="807"/>
      <c r="P60" s="807"/>
      <c r="Q60" s="808"/>
    </row>
    <row r="61" spans="1:17" s="130" customFormat="1" x14ac:dyDescent="0.15">
      <c r="A61" s="822"/>
      <c r="B61" s="823"/>
      <c r="C61" s="823"/>
      <c r="D61" s="803"/>
      <c r="E61" s="825" t="s">
        <v>657</v>
      </c>
      <c r="F61" s="826"/>
      <c r="G61" s="217" t="s">
        <v>659</v>
      </c>
      <c r="H61" s="805"/>
      <c r="I61" s="803"/>
      <c r="J61" s="805"/>
      <c r="K61" s="216" t="s">
        <v>158</v>
      </c>
      <c r="L61" s="809"/>
      <c r="M61" s="810"/>
      <c r="N61" s="810"/>
      <c r="O61" s="810"/>
      <c r="P61" s="810"/>
      <c r="Q61" s="811"/>
    </row>
    <row r="62" spans="1:17" ht="21.75" customHeight="1" x14ac:dyDescent="0.15">
      <c r="A62" s="132" t="s">
        <v>185</v>
      </c>
      <c r="B62" s="862" t="s">
        <v>656</v>
      </c>
      <c r="C62" s="863"/>
      <c r="D62" s="863"/>
      <c r="E62" s="863"/>
      <c r="F62" s="863"/>
      <c r="G62" s="863"/>
      <c r="H62" s="863"/>
      <c r="I62" s="863"/>
      <c r="J62" s="863"/>
      <c r="K62" s="864"/>
      <c r="L62" s="809"/>
      <c r="M62" s="810"/>
      <c r="N62" s="810"/>
      <c r="O62" s="810"/>
      <c r="P62" s="810"/>
      <c r="Q62" s="811"/>
    </row>
    <row r="63" spans="1:17" ht="19.5" customHeight="1" x14ac:dyDescent="0.15">
      <c r="A63" s="131"/>
      <c r="B63" s="815" t="s">
        <v>991</v>
      </c>
      <c r="C63" s="816"/>
      <c r="D63" s="219">
        <v>1.3</v>
      </c>
      <c r="E63" s="824">
        <f>K20</f>
        <v>114.43</v>
      </c>
      <c r="F63" s="824"/>
      <c r="G63" s="219">
        <v>0.05</v>
      </c>
      <c r="H63" s="132">
        <v>1</v>
      </c>
      <c r="I63" s="132">
        <f>E63*G63</f>
        <v>5.7215000000000007</v>
      </c>
      <c r="J63" s="144" t="s">
        <v>6</v>
      </c>
      <c r="K63" s="219">
        <f>I63*D63</f>
        <v>7.4379500000000007</v>
      </c>
      <c r="L63" s="809"/>
      <c r="M63" s="810"/>
      <c r="N63" s="810"/>
      <c r="O63" s="810"/>
      <c r="P63" s="810"/>
      <c r="Q63" s="811"/>
    </row>
    <row r="64" spans="1:17" ht="19.5" customHeight="1" x14ac:dyDescent="0.15">
      <c r="A64" s="131"/>
      <c r="B64" s="815" t="s">
        <v>990</v>
      </c>
      <c r="C64" s="816"/>
      <c r="D64" s="219">
        <v>1.3</v>
      </c>
      <c r="E64" s="824">
        <f>K27</f>
        <v>86.52</v>
      </c>
      <c r="F64" s="824"/>
      <c r="G64" s="219">
        <v>0.05</v>
      </c>
      <c r="H64" s="132">
        <v>1</v>
      </c>
      <c r="I64" s="132">
        <f>E64*G64</f>
        <v>4.3259999999999996</v>
      </c>
      <c r="J64" s="144" t="s">
        <v>6</v>
      </c>
      <c r="K64" s="219">
        <f>I64*D64</f>
        <v>5.6238000000000001</v>
      </c>
      <c r="L64" s="809"/>
      <c r="M64" s="810"/>
      <c r="N64" s="810"/>
      <c r="O64" s="810"/>
      <c r="P64" s="810"/>
      <c r="Q64" s="811"/>
    </row>
    <row r="65" spans="1:19" ht="22.5" customHeight="1" x14ac:dyDescent="0.15">
      <c r="A65" s="795" t="s">
        <v>149</v>
      </c>
      <c r="B65" s="817"/>
      <c r="C65" s="817"/>
      <c r="D65" s="817"/>
      <c r="E65" s="817"/>
      <c r="F65" s="817"/>
      <c r="G65" s="817"/>
      <c r="H65" s="817"/>
      <c r="I65" s="817"/>
      <c r="J65" s="796"/>
      <c r="K65" s="416">
        <f>SUM(K63:K64)</f>
        <v>13.06175</v>
      </c>
      <c r="L65" s="812"/>
      <c r="M65" s="813"/>
      <c r="N65" s="813"/>
      <c r="O65" s="813"/>
      <c r="P65" s="813"/>
      <c r="Q65" s="814"/>
    </row>
    <row r="66" spans="1:19" x14ac:dyDescent="0.15">
      <c r="A66" s="790"/>
      <c r="B66" s="791"/>
      <c r="C66" s="791"/>
      <c r="D66" s="791"/>
      <c r="E66" s="791"/>
      <c r="F66" s="791"/>
      <c r="G66" s="791"/>
      <c r="H66" s="791"/>
      <c r="I66" s="791"/>
      <c r="J66" s="791"/>
      <c r="K66" s="791"/>
      <c r="L66" s="791"/>
      <c r="M66" s="791"/>
      <c r="N66" s="791"/>
      <c r="O66" s="791"/>
      <c r="P66" s="791"/>
      <c r="Q66" s="792"/>
    </row>
    <row r="67" spans="1:19" s="121" customFormat="1" ht="18" customHeight="1" x14ac:dyDescent="0.15">
      <c r="A67" s="218" t="s">
        <v>0</v>
      </c>
      <c r="B67" s="830" t="s">
        <v>561</v>
      </c>
      <c r="C67" s="831"/>
      <c r="D67" s="831"/>
      <c r="E67" s="831"/>
      <c r="F67" s="831"/>
      <c r="G67" s="831"/>
      <c r="H67" s="831"/>
      <c r="I67" s="831"/>
      <c r="J67" s="831"/>
      <c r="K67" s="831"/>
      <c r="L67" s="831"/>
      <c r="M67" s="831"/>
      <c r="N67" s="831"/>
      <c r="O67" s="216" t="s">
        <v>73</v>
      </c>
      <c r="P67" s="795" t="s">
        <v>6</v>
      </c>
      <c r="Q67" s="796"/>
    </row>
    <row r="68" spans="1:19" x14ac:dyDescent="0.15">
      <c r="A68" s="790"/>
      <c r="B68" s="791"/>
      <c r="C68" s="791"/>
      <c r="D68" s="791"/>
      <c r="E68" s="791"/>
      <c r="F68" s="791"/>
      <c r="G68" s="791"/>
      <c r="H68" s="791"/>
      <c r="I68" s="791"/>
      <c r="J68" s="791"/>
      <c r="K68" s="791"/>
      <c r="L68" s="791"/>
      <c r="M68" s="791"/>
      <c r="N68" s="791"/>
      <c r="O68" s="791"/>
      <c r="P68" s="791"/>
      <c r="Q68" s="792"/>
    </row>
    <row r="69" spans="1:19" s="126" customFormat="1" x14ac:dyDescent="0.15">
      <c r="A69" s="822" t="s">
        <v>150</v>
      </c>
      <c r="B69" s="823" t="s">
        <v>151</v>
      </c>
      <c r="C69" s="823"/>
      <c r="D69" s="802"/>
      <c r="E69" s="823" t="s">
        <v>152</v>
      </c>
      <c r="F69" s="823"/>
      <c r="G69" s="823"/>
      <c r="H69" s="802" t="s">
        <v>153</v>
      </c>
      <c r="I69" s="802" t="s">
        <v>160</v>
      </c>
      <c r="J69" s="804" t="s">
        <v>73</v>
      </c>
      <c r="K69" s="216" t="s">
        <v>154</v>
      </c>
      <c r="L69" s="123"/>
      <c r="M69" s="124"/>
      <c r="N69" s="124"/>
      <c r="O69" s="124"/>
      <c r="P69" s="124"/>
      <c r="Q69" s="125"/>
    </row>
    <row r="70" spans="1:19" s="130" customFormat="1" x14ac:dyDescent="0.15">
      <c r="A70" s="822"/>
      <c r="B70" s="823"/>
      <c r="C70" s="823"/>
      <c r="D70" s="803"/>
      <c r="E70" s="217" t="s">
        <v>155</v>
      </c>
      <c r="F70" s="217" t="s">
        <v>156</v>
      </c>
      <c r="G70" s="217" t="s">
        <v>157</v>
      </c>
      <c r="H70" s="803"/>
      <c r="I70" s="803"/>
      <c r="J70" s="805"/>
      <c r="K70" s="216" t="s">
        <v>158</v>
      </c>
      <c r="L70" s="127"/>
      <c r="M70" s="128"/>
      <c r="N70" s="128"/>
      <c r="O70" s="128"/>
      <c r="P70" s="128"/>
      <c r="Q70" s="129"/>
    </row>
    <row r="71" spans="1:19" ht="21.75" customHeight="1" x14ac:dyDescent="0.15">
      <c r="A71" s="132" t="s">
        <v>185</v>
      </c>
      <c r="B71" s="862" t="s">
        <v>656</v>
      </c>
      <c r="C71" s="863"/>
      <c r="D71" s="863"/>
      <c r="E71" s="863"/>
      <c r="F71" s="863"/>
      <c r="G71" s="863"/>
      <c r="H71" s="863"/>
      <c r="I71" s="863"/>
      <c r="J71" s="863"/>
      <c r="K71" s="864"/>
      <c r="L71" s="127"/>
      <c r="M71" s="128"/>
      <c r="N71" s="128"/>
      <c r="O71" s="128"/>
      <c r="P71" s="128"/>
      <c r="Q71" s="129"/>
    </row>
    <row r="72" spans="1:19" ht="31.5" customHeight="1" x14ac:dyDescent="0.15">
      <c r="A72" s="148"/>
      <c r="B72" s="788" t="s">
        <v>1533</v>
      </c>
      <c r="C72" s="789"/>
      <c r="D72" s="149"/>
      <c r="E72" s="143">
        <v>0.4</v>
      </c>
      <c r="F72" s="143">
        <v>0.4</v>
      </c>
      <c r="G72" s="143">
        <v>0.9</v>
      </c>
      <c r="H72" s="143">
        <v>33</v>
      </c>
      <c r="I72" s="143">
        <f t="shared" ref="I72:I74" si="0">(E72*F72*G72)</f>
        <v>0.14400000000000004</v>
      </c>
      <c r="J72" s="133" t="s">
        <v>6</v>
      </c>
      <c r="K72" s="143">
        <f t="shared" ref="K72:K74" si="1">I72*H72</f>
        <v>4.7520000000000016</v>
      </c>
      <c r="L72" s="127"/>
      <c r="M72" s="128"/>
      <c r="N72" s="128"/>
      <c r="O72" s="128"/>
      <c r="P72" s="128"/>
      <c r="Q72" s="129"/>
      <c r="S72" s="369"/>
    </row>
    <row r="73" spans="1:19" ht="31.5" customHeight="1" x14ac:dyDescent="0.15">
      <c r="A73" s="148"/>
      <c r="B73" s="788" t="s">
        <v>1091</v>
      </c>
      <c r="C73" s="789"/>
      <c r="D73" s="149"/>
      <c r="E73" s="143">
        <v>100.49</v>
      </c>
      <c r="F73" s="143">
        <v>0.25</v>
      </c>
      <c r="G73" s="143">
        <v>0.25</v>
      </c>
      <c r="H73" s="143">
        <v>1</v>
      </c>
      <c r="I73" s="143">
        <f t="shared" si="0"/>
        <v>6.2806249999999997</v>
      </c>
      <c r="J73" s="133" t="s">
        <v>6</v>
      </c>
      <c r="K73" s="143">
        <f t="shared" si="1"/>
        <v>6.2806249999999997</v>
      </c>
      <c r="L73" s="127"/>
      <c r="M73" s="128"/>
      <c r="N73" s="128"/>
      <c r="O73" s="128"/>
      <c r="P73" s="128"/>
      <c r="Q73" s="129"/>
    </row>
    <row r="74" spans="1:19" ht="31.5" customHeight="1" x14ac:dyDescent="0.15">
      <c r="A74" s="148"/>
      <c r="B74" s="788" t="s">
        <v>1005</v>
      </c>
      <c r="C74" s="789"/>
      <c r="D74" s="149"/>
      <c r="E74" s="143">
        <v>2.5</v>
      </c>
      <c r="F74" s="143">
        <v>1.5</v>
      </c>
      <c r="G74" s="143">
        <v>1.6</v>
      </c>
      <c r="H74" s="143">
        <v>1</v>
      </c>
      <c r="I74" s="143">
        <f t="shared" si="0"/>
        <v>6</v>
      </c>
      <c r="J74" s="133" t="s">
        <v>6</v>
      </c>
      <c r="K74" s="143">
        <f t="shared" si="1"/>
        <v>6</v>
      </c>
      <c r="L74" s="127"/>
      <c r="M74" s="128"/>
      <c r="N74" s="128"/>
      <c r="O74" s="128"/>
      <c r="P74" s="128"/>
      <c r="Q74" s="129"/>
    </row>
    <row r="75" spans="1:19" ht="14" x14ac:dyDescent="0.15">
      <c r="A75" s="795" t="s">
        <v>149</v>
      </c>
      <c r="B75" s="817"/>
      <c r="C75" s="817"/>
      <c r="D75" s="817"/>
      <c r="E75" s="817"/>
      <c r="F75" s="817"/>
      <c r="G75" s="817"/>
      <c r="H75" s="817"/>
      <c r="I75" s="817"/>
      <c r="J75" s="796"/>
      <c r="K75" s="416">
        <f>SUM(K72:K74)</f>
        <v>17.032625000000003</v>
      </c>
      <c r="L75" s="134"/>
      <c r="M75" s="135"/>
      <c r="N75" s="135"/>
      <c r="O75" s="135"/>
      <c r="P75" s="135"/>
      <c r="Q75" s="136"/>
    </row>
    <row r="76" spans="1:19" x14ac:dyDescent="0.15">
      <c r="A76" s="790"/>
      <c r="B76" s="791"/>
      <c r="C76" s="791"/>
      <c r="D76" s="791"/>
      <c r="E76" s="791"/>
      <c r="F76" s="791"/>
      <c r="G76" s="791"/>
      <c r="H76" s="791"/>
      <c r="I76" s="791"/>
      <c r="J76" s="791"/>
      <c r="K76" s="791"/>
      <c r="L76" s="791"/>
      <c r="M76" s="791"/>
      <c r="N76" s="791"/>
      <c r="O76" s="791"/>
      <c r="P76" s="791"/>
      <c r="Q76" s="792"/>
    </row>
    <row r="77" spans="1:19" s="121" customFormat="1" ht="18" customHeight="1" x14ac:dyDescent="0.15">
      <c r="A77" s="218" t="s">
        <v>0</v>
      </c>
      <c r="B77" s="830" t="s">
        <v>523</v>
      </c>
      <c r="C77" s="831"/>
      <c r="D77" s="831"/>
      <c r="E77" s="831"/>
      <c r="F77" s="831"/>
      <c r="G77" s="831"/>
      <c r="H77" s="831"/>
      <c r="I77" s="831"/>
      <c r="J77" s="831"/>
      <c r="K77" s="831"/>
      <c r="L77" s="831"/>
      <c r="M77" s="831"/>
      <c r="N77" s="831"/>
      <c r="O77" s="216" t="s">
        <v>73</v>
      </c>
      <c r="P77" s="795" t="s">
        <v>6</v>
      </c>
      <c r="Q77" s="796"/>
    </row>
    <row r="78" spans="1:19" x14ac:dyDescent="0.15">
      <c r="A78" s="790"/>
      <c r="B78" s="791"/>
      <c r="C78" s="791"/>
      <c r="D78" s="791"/>
      <c r="E78" s="791"/>
      <c r="F78" s="791"/>
      <c r="G78" s="791"/>
      <c r="H78" s="791"/>
      <c r="I78" s="791"/>
      <c r="J78" s="791"/>
      <c r="K78" s="791"/>
      <c r="L78" s="791"/>
      <c r="M78" s="791"/>
      <c r="N78" s="791"/>
      <c r="O78" s="791"/>
      <c r="P78" s="791"/>
      <c r="Q78" s="792"/>
    </row>
    <row r="79" spans="1:19" s="126" customFormat="1" x14ac:dyDescent="0.15">
      <c r="A79" s="822" t="s">
        <v>150</v>
      </c>
      <c r="B79" s="823" t="s">
        <v>151</v>
      </c>
      <c r="C79" s="823"/>
      <c r="D79" s="832" t="s">
        <v>490</v>
      </c>
      <c r="E79" s="823" t="s">
        <v>152</v>
      </c>
      <c r="F79" s="823"/>
      <c r="G79" s="823"/>
      <c r="H79" s="802" t="s">
        <v>153</v>
      </c>
      <c r="I79" s="802" t="s">
        <v>160</v>
      </c>
      <c r="J79" s="804" t="s">
        <v>73</v>
      </c>
      <c r="K79" s="216" t="s">
        <v>154</v>
      </c>
      <c r="L79" s="123"/>
      <c r="M79" s="124"/>
      <c r="N79" s="124"/>
      <c r="O79" s="124"/>
      <c r="P79" s="124"/>
      <c r="Q79" s="125"/>
    </row>
    <row r="80" spans="1:19" s="130" customFormat="1" x14ac:dyDescent="0.15">
      <c r="A80" s="822"/>
      <c r="B80" s="823"/>
      <c r="C80" s="823"/>
      <c r="D80" s="833"/>
      <c r="E80" s="217" t="s">
        <v>155</v>
      </c>
      <c r="F80" s="217" t="s">
        <v>156</v>
      </c>
      <c r="G80" s="217" t="s">
        <v>157</v>
      </c>
      <c r="H80" s="803"/>
      <c r="I80" s="803"/>
      <c r="J80" s="805"/>
      <c r="K80" s="216" t="s">
        <v>158</v>
      </c>
      <c r="L80" s="127"/>
      <c r="M80" s="128"/>
      <c r="N80" s="128"/>
      <c r="O80" s="128"/>
      <c r="P80" s="128"/>
      <c r="Q80" s="129"/>
    </row>
    <row r="81" spans="1:17" ht="33" customHeight="1" x14ac:dyDescent="0.15">
      <c r="A81" s="148"/>
      <c r="B81" s="788" t="s">
        <v>1533</v>
      </c>
      <c r="C81" s="789"/>
      <c r="D81" s="143">
        <f>(0.25*0.25*0.4*H81)</f>
        <v>0.82500000000000007</v>
      </c>
      <c r="E81" s="143">
        <v>0.4</v>
      </c>
      <c r="F81" s="143">
        <v>0.4</v>
      </c>
      <c r="G81" s="143">
        <v>0.4</v>
      </c>
      <c r="H81" s="143">
        <v>33</v>
      </c>
      <c r="I81" s="143">
        <f t="shared" ref="I81" si="2">(E81*F81*G81)</f>
        <v>6.4000000000000015E-2</v>
      </c>
      <c r="J81" s="133" t="s">
        <v>6</v>
      </c>
      <c r="K81" s="143">
        <f t="shared" ref="K81" si="3">(I81*H81)-D81</f>
        <v>1.2870000000000004</v>
      </c>
      <c r="L81" s="127"/>
      <c r="M81" s="128"/>
      <c r="N81" s="128"/>
      <c r="O81" s="128"/>
      <c r="P81" s="128"/>
      <c r="Q81" s="129"/>
    </row>
    <row r="82" spans="1:17" ht="14" x14ac:dyDescent="0.15">
      <c r="A82" s="795" t="s">
        <v>149</v>
      </c>
      <c r="B82" s="817"/>
      <c r="C82" s="817"/>
      <c r="D82" s="817"/>
      <c r="E82" s="817"/>
      <c r="F82" s="817"/>
      <c r="G82" s="817"/>
      <c r="H82" s="817"/>
      <c r="I82" s="817"/>
      <c r="J82" s="796"/>
      <c r="K82" s="416">
        <f>SUM(K81:K81)</f>
        <v>1.2870000000000004</v>
      </c>
      <c r="L82" s="134"/>
      <c r="M82" s="135"/>
      <c r="N82" s="135"/>
      <c r="O82" s="135"/>
      <c r="P82" s="135"/>
      <c r="Q82" s="136"/>
    </row>
    <row r="83" spans="1:17" x14ac:dyDescent="0.15">
      <c r="A83" s="790"/>
      <c r="B83" s="791"/>
      <c r="C83" s="791"/>
      <c r="D83" s="791"/>
      <c r="E83" s="791"/>
      <c r="F83" s="791"/>
      <c r="G83" s="791"/>
      <c r="H83" s="791"/>
      <c r="I83" s="791"/>
      <c r="J83" s="791"/>
      <c r="K83" s="791"/>
      <c r="L83" s="791"/>
      <c r="M83" s="791"/>
      <c r="N83" s="791"/>
      <c r="O83" s="791"/>
      <c r="P83" s="791"/>
      <c r="Q83" s="792"/>
    </row>
    <row r="84" spans="1:17" s="121" customFormat="1" ht="18" customHeight="1" x14ac:dyDescent="0.15">
      <c r="A84" s="218" t="s">
        <v>0</v>
      </c>
      <c r="B84" s="830" t="s">
        <v>1003</v>
      </c>
      <c r="C84" s="831"/>
      <c r="D84" s="831"/>
      <c r="E84" s="831"/>
      <c r="F84" s="831"/>
      <c r="G84" s="831"/>
      <c r="H84" s="831"/>
      <c r="I84" s="831"/>
      <c r="J84" s="831"/>
      <c r="K84" s="831"/>
      <c r="L84" s="831"/>
      <c r="M84" s="831"/>
      <c r="N84" s="831"/>
      <c r="O84" s="216" t="s">
        <v>73</v>
      </c>
      <c r="P84" s="795" t="s">
        <v>6</v>
      </c>
      <c r="Q84" s="796"/>
    </row>
    <row r="85" spans="1:17" x14ac:dyDescent="0.15">
      <c r="A85" s="790"/>
      <c r="B85" s="791"/>
      <c r="C85" s="791"/>
      <c r="D85" s="791"/>
      <c r="E85" s="791"/>
      <c r="F85" s="791"/>
      <c r="G85" s="791"/>
      <c r="H85" s="791"/>
      <c r="I85" s="791"/>
      <c r="J85" s="791"/>
      <c r="K85" s="791"/>
      <c r="L85" s="791"/>
      <c r="M85" s="791"/>
      <c r="N85" s="791"/>
      <c r="O85" s="791"/>
      <c r="P85" s="791"/>
      <c r="Q85" s="792"/>
    </row>
    <row r="86" spans="1:17" s="126" customFormat="1" x14ac:dyDescent="0.15">
      <c r="A86" s="822" t="s">
        <v>150</v>
      </c>
      <c r="B86" s="823" t="s">
        <v>151</v>
      </c>
      <c r="C86" s="823"/>
      <c r="D86" s="825" t="s">
        <v>152</v>
      </c>
      <c r="E86" s="826"/>
      <c r="F86" s="826"/>
      <c r="G86" s="834"/>
      <c r="H86" s="802" t="s">
        <v>153</v>
      </c>
      <c r="I86" s="802" t="s">
        <v>160</v>
      </c>
      <c r="J86" s="832" t="s">
        <v>495</v>
      </c>
      <c r="K86" s="804" t="s">
        <v>73</v>
      </c>
      <c r="L86" s="216" t="s">
        <v>154</v>
      </c>
      <c r="M86" s="806"/>
      <c r="N86" s="807"/>
      <c r="O86" s="807"/>
      <c r="P86" s="807"/>
      <c r="Q86" s="808"/>
    </row>
    <row r="87" spans="1:17" s="130" customFormat="1" x14ac:dyDescent="0.15">
      <c r="A87" s="822"/>
      <c r="B87" s="823"/>
      <c r="C87" s="823"/>
      <c r="D87" s="217" t="s">
        <v>624</v>
      </c>
      <c r="E87" s="217" t="s">
        <v>155</v>
      </c>
      <c r="F87" s="217" t="s">
        <v>156</v>
      </c>
      <c r="G87" s="217" t="s">
        <v>157</v>
      </c>
      <c r="H87" s="803"/>
      <c r="I87" s="803"/>
      <c r="J87" s="833"/>
      <c r="K87" s="805"/>
      <c r="L87" s="216" t="s">
        <v>158</v>
      </c>
      <c r="M87" s="809"/>
      <c r="N87" s="810"/>
      <c r="O87" s="810"/>
      <c r="P87" s="810"/>
      <c r="Q87" s="811"/>
    </row>
    <row r="88" spans="1:17" ht="33" customHeight="1" x14ac:dyDescent="0.15">
      <c r="A88" s="148"/>
      <c r="B88" s="788" t="s">
        <v>1533</v>
      </c>
      <c r="C88" s="789"/>
      <c r="D88" s="143">
        <v>0</v>
      </c>
      <c r="E88" s="143">
        <v>0.4</v>
      </c>
      <c r="F88" s="143">
        <v>0.4</v>
      </c>
      <c r="G88" s="143">
        <v>0.1</v>
      </c>
      <c r="H88" s="143">
        <v>33</v>
      </c>
      <c r="I88" s="143">
        <f t="shared" ref="I88" si="4">E88*F88*G88</f>
        <v>1.6000000000000004E-2</v>
      </c>
      <c r="J88" s="143">
        <v>0</v>
      </c>
      <c r="K88" s="133" t="s">
        <v>6</v>
      </c>
      <c r="L88" s="143">
        <f>H88*I88</f>
        <v>0.52800000000000014</v>
      </c>
      <c r="M88" s="809"/>
      <c r="N88" s="810"/>
      <c r="O88" s="810"/>
      <c r="P88" s="810"/>
      <c r="Q88" s="811"/>
    </row>
    <row r="89" spans="1:17" ht="27" customHeight="1" x14ac:dyDescent="0.15">
      <c r="A89" s="148"/>
      <c r="B89" s="815" t="s">
        <v>1089</v>
      </c>
      <c r="C89" s="816"/>
      <c r="D89" s="671">
        <v>37.47</v>
      </c>
      <c r="E89" s="143">
        <v>0</v>
      </c>
      <c r="F89" s="143">
        <v>0</v>
      </c>
      <c r="G89" s="143">
        <v>0.15</v>
      </c>
      <c r="H89" s="143">
        <v>1</v>
      </c>
      <c r="I89" s="143">
        <f>D89*G89</f>
        <v>5.6204999999999998</v>
      </c>
      <c r="J89" s="143">
        <v>0</v>
      </c>
      <c r="K89" s="133" t="s">
        <v>6</v>
      </c>
      <c r="L89" s="143">
        <f>I89*H89</f>
        <v>5.6204999999999998</v>
      </c>
      <c r="M89" s="809"/>
      <c r="N89" s="810"/>
      <c r="O89" s="810"/>
      <c r="P89" s="810"/>
      <c r="Q89" s="811"/>
    </row>
    <row r="90" spans="1:17" ht="33" customHeight="1" x14ac:dyDescent="0.15">
      <c r="A90" s="148"/>
      <c r="B90" s="788" t="s">
        <v>1005</v>
      </c>
      <c r="C90" s="789"/>
      <c r="D90" s="143">
        <v>0</v>
      </c>
      <c r="E90" s="143">
        <v>2.5</v>
      </c>
      <c r="F90" s="143">
        <v>1.5</v>
      </c>
      <c r="G90" s="143">
        <v>0.1</v>
      </c>
      <c r="H90" s="143">
        <v>1</v>
      </c>
      <c r="I90" s="143">
        <f t="shared" ref="I90" si="5">E90*F90*G90</f>
        <v>0.375</v>
      </c>
      <c r="J90" s="143">
        <v>0</v>
      </c>
      <c r="K90" s="133" t="s">
        <v>6</v>
      </c>
      <c r="L90" s="143">
        <f t="shared" ref="L90" si="6">H90*I90</f>
        <v>0.375</v>
      </c>
      <c r="M90" s="809"/>
      <c r="N90" s="810"/>
      <c r="O90" s="810"/>
      <c r="P90" s="810"/>
      <c r="Q90" s="811"/>
    </row>
    <row r="91" spans="1:17" ht="14" x14ac:dyDescent="0.15">
      <c r="A91" s="795" t="s">
        <v>149</v>
      </c>
      <c r="B91" s="817"/>
      <c r="C91" s="817"/>
      <c r="D91" s="817"/>
      <c r="E91" s="817"/>
      <c r="F91" s="817"/>
      <c r="G91" s="817"/>
      <c r="H91" s="817"/>
      <c r="I91" s="817"/>
      <c r="J91" s="817"/>
      <c r="K91" s="796"/>
      <c r="L91" s="416">
        <f>SUM(L88:L90)</f>
        <v>6.5235000000000003</v>
      </c>
      <c r="M91" s="812"/>
      <c r="N91" s="813"/>
      <c r="O91" s="813"/>
      <c r="P91" s="813"/>
      <c r="Q91" s="814"/>
    </row>
    <row r="92" spans="1:17" x14ac:dyDescent="0.15">
      <c r="A92" s="790"/>
      <c r="B92" s="791"/>
      <c r="C92" s="791"/>
      <c r="D92" s="791"/>
      <c r="E92" s="791"/>
      <c r="F92" s="791"/>
      <c r="G92" s="791"/>
      <c r="H92" s="791"/>
      <c r="I92" s="791"/>
      <c r="J92" s="791"/>
      <c r="K92" s="791"/>
      <c r="L92" s="791"/>
      <c r="M92" s="791"/>
      <c r="N92" s="791"/>
      <c r="O92" s="791"/>
      <c r="P92" s="791"/>
      <c r="Q92" s="792"/>
    </row>
    <row r="93" spans="1:17" s="121" customFormat="1" ht="18" customHeight="1" x14ac:dyDescent="0.15">
      <c r="A93" s="218" t="s">
        <v>0</v>
      </c>
      <c r="B93" s="830" t="s">
        <v>562</v>
      </c>
      <c r="C93" s="831"/>
      <c r="D93" s="831"/>
      <c r="E93" s="831"/>
      <c r="F93" s="831"/>
      <c r="G93" s="831"/>
      <c r="H93" s="831"/>
      <c r="I93" s="831"/>
      <c r="J93" s="831"/>
      <c r="K93" s="831"/>
      <c r="L93" s="831"/>
      <c r="M93" s="831"/>
      <c r="N93" s="831"/>
      <c r="O93" s="216" t="s">
        <v>73</v>
      </c>
      <c r="P93" s="795" t="s">
        <v>6</v>
      </c>
      <c r="Q93" s="796"/>
    </row>
    <row r="94" spans="1:17" x14ac:dyDescent="0.15">
      <c r="A94" s="790"/>
      <c r="B94" s="791"/>
      <c r="C94" s="791"/>
      <c r="D94" s="791"/>
      <c r="E94" s="791"/>
      <c r="F94" s="791"/>
      <c r="G94" s="791"/>
      <c r="H94" s="791"/>
      <c r="I94" s="791"/>
      <c r="J94" s="791"/>
      <c r="K94" s="791"/>
      <c r="L94" s="791"/>
      <c r="M94" s="791"/>
      <c r="N94" s="791"/>
      <c r="O94" s="791"/>
      <c r="P94" s="791"/>
      <c r="Q94" s="792"/>
    </row>
    <row r="95" spans="1:17" s="126" customFormat="1" x14ac:dyDescent="0.15">
      <c r="A95" s="822" t="s">
        <v>150</v>
      </c>
      <c r="B95" s="823" t="s">
        <v>151</v>
      </c>
      <c r="C95" s="823"/>
      <c r="D95" s="802" t="s">
        <v>493</v>
      </c>
      <c r="E95" s="823" t="s">
        <v>152</v>
      </c>
      <c r="F95" s="823"/>
      <c r="G95" s="823"/>
      <c r="H95" s="804" t="s">
        <v>153</v>
      </c>
      <c r="I95" s="802" t="s">
        <v>160</v>
      </c>
      <c r="J95" s="804" t="s">
        <v>73</v>
      </c>
      <c r="K95" s="216" t="s">
        <v>154</v>
      </c>
      <c r="L95" s="806"/>
      <c r="M95" s="807"/>
      <c r="N95" s="807"/>
      <c r="O95" s="807"/>
      <c r="P95" s="807"/>
      <c r="Q95" s="808"/>
    </row>
    <row r="96" spans="1:17" s="130" customFormat="1" x14ac:dyDescent="0.15">
      <c r="A96" s="822"/>
      <c r="B96" s="823"/>
      <c r="C96" s="823"/>
      <c r="D96" s="803"/>
      <c r="E96" s="217" t="s">
        <v>155</v>
      </c>
      <c r="F96" s="217" t="s">
        <v>156</v>
      </c>
      <c r="G96" s="217" t="s">
        <v>157</v>
      </c>
      <c r="H96" s="805"/>
      <c r="I96" s="803"/>
      <c r="J96" s="805"/>
      <c r="K96" s="216" t="s">
        <v>158</v>
      </c>
      <c r="L96" s="809"/>
      <c r="M96" s="810"/>
      <c r="N96" s="810"/>
      <c r="O96" s="810"/>
      <c r="P96" s="810"/>
      <c r="Q96" s="811"/>
    </row>
    <row r="97" spans="1:20" ht="28.5" customHeight="1" x14ac:dyDescent="0.15">
      <c r="A97" s="131"/>
      <c r="B97" s="788" t="s">
        <v>496</v>
      </c>
      <c r="C97" s="789"/>
      <c r="D97" s="219">
        <v>1.3</v>
      </c>
      <c r="E97" s="143">
        <v>0</v>
      </c>
      <c r="F97" s="672">
        <v>0</v>
      </c>
      <c r="G97" s="672">
        <v>0</v>
      </c>
      <c r="H97" s="143">
        <v>1</v>
      </c>
      <c r="I97" s="143">
        <f>K75-K82</f>
        <v>15.745625000000002</v>
      </c>
      <c r="J97" s="672" t="s">
        <v>5</v>
      </c>
      <c r="K97" s="671">
        <f>I97*D97</f>
        <v>20.469312500000004</v>
      </c>
      <c r="L97" s="809"/>
      <c r="M97" s="810"/>
      <c r="N97" s="810"/>
      <c r="O97" s="810"/>
      <c r="P97" s="810"/>
      <c r="Q97" s="811"/>
    </row>
    <row r="98" spans="1:20" ht="22.5" customHeight="1" x14ac:dyDescent="0.15">
      <c r="A98" s="795" t="s">
        <v>149</v>
      </c>
      <c r="B98" s="817"/>
      <c r="C98" s="817"/>
      <c r="D98" s="817"/>
      <c r="E98" s="817"/>
      <c r="F98" s="817"/>
      <c r="G98" s="817"/>
      <c r="H98" s="817"/>
      <c r="I98" s="817"/>
      <c r="J98" s="796"/>
      <c r="K98" s="416">
        <f>SUM(K97:K97)</f>
        <v>20.469312500000004</v>
      </c>
      <c r="L98" s="812"/>
      <c r="M98" s="813"/>
      <c r="N98" s="813"/>
      <c r="O98" s="813"/>
      <c r="P98" s="813"/>
      <c r="Q98" s="814"/>
    </row>
    <row r="99" spans="1:20" x14ac:dyDescent="0.15">
      <c r="A99" s="790"/>
      <c r="B99" s="791"/>
      <c r="C99" s="791"/>
      <c r="D99" s="791"/>
      <c r="E99" s="791"/>
      <c r="F99" s="791"/>
      <c r="G99" s="791"/>
      <c r="H99" s="791"/>
      <c r="I99" s="791"/>
      <c r="J99" s="791"/>
      <c r="K99" s="791"/>
      <c r="L99" s="791"/>
      <c r="M99" s="791"/>
      <c r="N99" s="791"/>
      <c r="O99" s="791"/>
      <c r="P99" s="791"/>
      <c r="Q99" s="792"/>
    </row>
    <row r="100" spans="1:20" s="121" customFormat="1" ht="18" customHeight="1" x14ac:dyDescent="0.15">
      <c r="A100" s="218" t="s">
        <v>0</v>
      </c>
      <c r="B100" s="793" t="s">
        <v>566</v>
      </c>
      <c r="C100" s="794"/>
      <c r="D100" s="794"/>
      <c r="E100" s="794"/>
      <c r="F100" s="794"/>
      <c r="G100" s="794"/>
      <c r="H100" s="794"/>
      <c r="I100" s="794"/>
      <c r="J100" s="794"/>
      <c r="K100" s="794"/>
      <c r="L100" s="794"/>
      <c r="M100" s="794"/>
      <c r="N100" s="794"/>
      <c r="O100" s="216" t="s">
        <v>73</v>
      </c>
      <c r="P100" s="795" t="s">
        <v>6</v>
      </c>
      <c r="Q100" s="796"/>
    </row>
    <row r="101" spans="1:20" x14ac:dyDescent="0.15">
      <c r="A101" s="790"/>
      <c r="B101" s="791"/>
      <c r="C101" s="791"/>
      <c r="D101" s="791"/>
      <c r="E101" s="791"/>
      <c r="F101" s="791"/>
      <c r="G101" s="791"/>
      <c r="H101" s="791"/>
      <c r="I101" s="791"/>
      <c r="J101" s="791"/>
      <c r="K101" s="791"/>
      <c r="L101" s="791"/>
      <c r="M101" s="791"/>
      <c r="N101" s="791"/>
      <c r="O101" s="791"/>
      <c r="P101" s="791"/>
      <c r="Q101" s="792"/>
    </row>
    <row r="102" spans="1:20" s="126" customFormat="1" x14ac:dyDescent="0.15">
      <c r="A102" s="822" t="s">
        <v>150</v>
      </c>
      <c r="B102" s="823" t="s">
        <v>151</v>
      </c>
      <c r="C102" s="823"/>
      <c r="D102" s="802"/>
      <c r="E102" s="823" t="s">
        <v>152</v>
      </c>
      <c r="F102" s="823"/>
      <c r="G102" s="823"/>
      <c r="H102" s="802" t="s">
        <v>153</v>
      </c>
      <c r="I102" s="802" t="s">
        <v>160</v>
      </c>
      <c r="J102" s="804" t="s">
        <v>73</v>
      </c>
      <c r="K102" s="216" t="s">
        <v>154</v>
      </c>
      <c r="L102" s="123"/>
      <c r="M102" s="124"/>
      <c r="N102" s="124"/>
      <c r="O102" s="124"/>
      <c r="P102" s="124"/>
      <c r="Q102" s="125"/>
    </row>
    <row r="103" spans="1:20" s="130" customFormat="1" x14ac:dyDescent="0.15">
      <c r="A103" s="822"/>
      <c r="B103" s="823"/>
      <c r="C103" s="823"/>
      <c r="D103" s="803"/>
      <c r="E103" s="217" t="s">
        <v>155</v>
      </c>
      <c r="F103" s="217" t="s">
        <v>156</v>
      </c>
      <c r="G103" s="217" t="s">
        <v>157</v>
      </c>
      <c r="H103" s="803"/>
      <c r="I103" s="803"/>
      <c r="J103" s="805"/>
      <c r="K103" s="216" t="s">
        <v>158</v>
      </c>
      <c r="L103" s="127"/>
      <c r="M103" s="128"/>
      <c r="N103" s="128"/>
      <c r="O103" s="128"/>
      <c r="P103" s="128"/>
      <c r="Q103" s="129"/>
    </row>
    <row r="104" spans="1:20" ht="21.75" customHeight="1" x14ac:dyDescent="0.15">
      <c r="A104" s="132"/>
      <c r="B104" s="862"/>
      <c r="C104" s="863"/>
      <c r="D104" s="863"/>
      <c r="E104" s="863"/>
      <c r="F104" s="863"/>
      <c r="G104" s="863"/>
      <c r="H104" s="863"/>
      <c r="I104" s="863"/>
      <c r="J104" s="863"/>
      <c r="K104" s="864"/>
      <c r="L104" s="127"/>
      <c r="M104" s="128"/>
      <c r="N104" s="128"/>
      <c r="O104" s="128"/>
      <c r="P104" s="128"/>
      <c r="Q104" s="129"/>
      <c r="T104" s="221"/>
    </row>
    <row r="105" spans="1:20" ht="31.5" customHeight="1" x14ac:dyDescent="0.15">
      <c r="A105" s="148"/>
      <c r="B105" s="788" t="s">
        <v>1533</v>
      </c>
      <c r="C105" s="789"/>
      <c r="D105" s="149"/>
      <c r="E105" s="143">
        <v>0.4</v>
      </c>
      <c r="F105" s="143">
        <v>0.4</v>
      </c>
      <c r="G105" s="143">
        <v>0.05</v>
      </c>
      <c r="H105" s="143">
        <v>33</v>
      </c>
      <c r="I105" s="143">
        <f t="shared" ref="I105" si="7">(E105*F105*G105)</f>
        <v>8.0000000000000019E-3</v>
      </c>
      <c r="J105" s="133" t="s">
        <v>6</v>
      </c>
      <c r="K105" s="143">
        <f t="shared" ref="K105" si="8">I105*H105</f>
        <v>0.26400000000000007</v>
      </c>
      <c r="L105" s="127"/>
      <c r="M105" s="128"/>
      <c r="N105" s="128"/>
      <c r="O105" s="128"/>
      <c r="P105" s="128"/>
      <c r="Q105" s="129"/>
      <c r="S105" s="369"/>
    </row>
    <row r="106" spans="1:20" ht="31.5" customHeight="1" x14ac:dyDescent="0.15">
      <c r="A106" s="148"/>
      <c r="B106" s="788" t="s">
        <v>1005</v>
      </c>
      <c r="C106" s="789"/>
      <c r="D106" s="149"/>
      <c r="E106" s="143">
        <v>2.5</v>
      </c>
      <c r="F106" s="143">
        <v>1.5</v>
      </c>
      <c r="G106" s="143">
        <v>0.05</v>
      </c>
      <c r="H106" s="143">
        <v>1</v>
      </c>
      <c r="I106" s="143">
        <f t="shared" ref="I106" si="9">(E106*F106*G106)</f>
        <v>0.1875</v>
      </c>
      <c r="J106" s="133" t="s">
        <v>6</v>
      </c>
      <c r="K106" s="143">
        <f t="shared" ref="K106" si="10">I106*H106</f>
        <v>0.1875</v>
      </c>
      <c r="L106" s="127"/>
      <c r="M106" s="128"/>
      <c r="N106" s="128"/>
      <c r="O106" s="128"/>
      <c r="P106" s="128"/>
      <c r="Q106" s="129"/>
      <c r="S106" s="369"/>
    </row>
    <row r="107" spans="1:20" ht="14" x14ac:dyDescent="0.15">
      <c r="A107" s="795" t="s">
        <v>149</v>
      </c>
      <c r="B107" s="817"/>
      <c r="C107" s="817"/>
      <c r="D107" s="817"/>
      <c r="E107" s="817"/>
      <c r="F107" s="817"/>
      <c r="G107" s="817"/>
      <c r="H107" s="817"/>
      <c r="I107" s="817"/>
      <c r="J107" s="796"/>
      <c r="K107" s="416">
        <f>SUM(K105:K106)</f>
        <v>0.45150000000000007</v>
      </c>
      <c r="L107" s="134"/>
      <c r="M107" s="135"/>
      <c r="N107" s="135"/>
      <c r="O107" s="135"/>
      <c r="P107" s="135"/>
      <c r="Q107" s="136"/>
      <c r="R107" s="221"/>
    </row>
    <row r="108" spans="1:20" x14ac:dyDescent="0.15">
      <c r="A108" s="790"/>
      <c r="B108" s="791"/>
      <c r="C108" s="791"/>
      <c r="D108" s="791"/>
      <c r="E108" s="791"/>
      <c r="F108" s="791"/>
      <c r="G108" s="791"/>
      <c r="H108" s="791"/>
      <c r="I108" s="791"/>
      <c r="J108" s="791"/>
      <c r="K108" s="791"/>
      <c r="L108" s="791"/>
      <c r="M108" s="791"/>
      <c r="N108" s="791"/>
      <c r="O108" s="791"/>
      <c r="P108" s="791"/>
      <c r="Q108" s="792"/>
    </row>
    <row r="109" spans="1:20" s="121" customFormat="1" ht="18" customHeight="1" x14ac:dyDescent="0.15">
      <c r="A109" s="218" t="s">
        <v>0</v>
      </c>
      <c r="B109" s="793" t="s">
        <v>1544</v>
      </c>
      <c r="C109" s="794"/>
      <c r="D109" s="794"/>
      <c r="E109" s="794"/>
      <c r="F109" s="794"/>
      <c r="G109" s="794"/>
      <c r="H109" s="794"/>
      <c r="I109" s="794"/>
      <c r="J109" s="794"/>
      <c r="K109" s="794"/>
      <c r="L109" s="794"/>
      <c r="M109" s="794"/>
      <c r="N109" s="794"/>
      <c r="O109" s="216" t="s">
        <v>73</v>
      </c>
      <c r="P109" s="795" t="s">
        <v>319</v>
      </c>
      <c r="Q109" s="796"/>
    </row>
    <row r="110" spans="1:20" x14ac:dyDescent="0.15">
      <c r="A110" s="790"/>
      <c r="B110" s="791"/>
      <c r="C110" s="791"/>
      <c r="D110" s="791"/>
      <c r="E110" s="791"/>
      <c r="F110" s="791"/>
      <c r="G110" s="791"/>
      <c r="H110" s="791"/>
      <c r="I110" s="791"/>
      <c r="J110" s="791"/>
      <c r="K110" s="791"/>
      <c r="L110" s="791"/>
      <c r="M110" s="791"/>
      <c r="N110" s="791"/>
      <c r="O110" s="791"/>
      <c r="P110" s="791"/>
      <c r="Q110" s="792"/>
    </row>
    <row r="111" spans="1:20" s="126" customFormat="1" x14ac:dyDescent="0.15">
      <c r="A111" s="822" t="s">
        <v>150</v>
      </c>
      <c r="B111" s="823" t="s">
        <v>151</v>
      </c>
      <c r="C111" s="823"/>
      <c r="D111" s="802"/>
      <c r="E111" s="823" t="s">
        <v>152</v>
      </c>
      <c r="F111" s="823"/>
      <c r="G111" s="823"/>
      <c r="H111" s="802" t="s">
        <v>153</v>
      </c>
      <c r="I111" s="802" t="s">
        <v>479</v>
      </c>
      <c r="J111" s="804" t="s">
        <v>73</v>
      </c>
      <c r="K111" s="216" t="s">
        <v>154</v>
      </c>
      <c r="L111" s="123"/>
      <c r="M111" s="124"/>
      <c r="N111" s="124"/>
      <c r="O111" s="124"/>
      <c r="P111" s="124"/>
      <c r="Q111" s="125"/>
    </row>
    <row r="112" spans="1:20" s="130" customFormat="1" x14ac:dyDescent="0.15">
      <c r="A112" s="822"/>
      <c r="B112" s="823"/>
      <c r="C112" s="823"/>
      <c r="D112" s="803"/>
      <c r="E112" s="217" t="s">
        <v>155</v>
      </c>
      <c r="F112" s="217" t="s">
        <v>156</v>
      </c>
      <c r="G112" s="217" t="s">
        <v>157</v>
      </c>
      <c r="H112" s="803"/>
      <c r="I112" s="803"/>
      <c r="J112" s="805"/>
      <c r="K112" s="216" t="s">
        <v>158</v>
      </c>
      <c r="L112" s="127"/>
      <c r="M112" s="128"/>
      <c r="N112" s="128"/>
      <c r="O112" s="128"/>
      <c r="P112" s="128"/>
      <c r="Q112" s="129"/>
    </row>
    <row r="113" spans="1:17" ht="27.75" customHeight="1" x14ac:dyDescent="0.15">
      <c r="A113" s="148"/>
      <c r="B113" s="788" t="s">
        <v>1457</v>
      </c>
      <c r="C113" s="789"/>
      <c r="D113" s="149"/>
      <c r="E113" s="143">
        <v>0.6</v>
      </c>
      <c r="F113" s="143">
        <v>0.6</v>
      </c>
      <c r="G113" s="143">
        <v>0.3</v>
      </c>
      <c r="H113" s="143">
        <v>33</v>
      </c>
      <c r="I113" s="143">
        <v>1</v>
      </c>
      <c r="J113" s="133" t="s">
        <v>319</v>
      </c>
      <c r="K113" s="143">
        <f>I113*H113</f>
        <v>33</v>
      </c>
      <c r="L113" s="127"/>
      <c r="M113" s="128"/>
      <c r="N113" s="128"/>
      <c r="O113" s="128"/>
      <c r="P113" s="128"/>
      <c r="Q113" s="129"/>
    </row>
    <row r="114" spans="1:17" ht="14" x14ac:dyDescent="0.15">
      <c r="A114" s="795" t="s">
        <v>149</v>
      </c>
      <c r="B114" s="817"/>
      <c r="C114" s="817"/>
      <c r="D114" s="817"/>
      <c r="E114" s="817"/>
      <c r="F114" s="817"/>
      <c r="G114" s="817"/>
      <c r="H114" s="817"/>
      <c r="I114" s="817"/>
      <c r="J114" s="796"/>
      <c r="K114" s="416">
        <f>SUM(K113:K113)</f>
        <v>33</v>
      </c>
      <c r="L114" s="134"/>
      <c r="M114" s="135"/>
      <c r="N114" s="135"/>
      <c r="O114" s="135"/>
      <c r="P114" s="135"/>
      <c r="Q114" s="136"/>
    </row>
    <row r="115" spans="1:17" x14ac:dyDescent="0.15">
      <c r="A115" s="790"/>
      <c r="B115" s="791"/>
      <c r="C115" s="791"/>
      <c r="D115" s="791"/>
      <c r="E115" s="791"/>
      <c r="F115" s="791"/>
      <c r="G115" s="791"/>
      <c r="H115" s="791"/>
      <c r="I115" s="791"/>
      <c r="J115" s="791"/>
      <c r="K115" s="791"/>
      <c r="L115" s="791"/>
      <c r="M115" s="791"/>
      <c r="N115" s="791"/>
      <c r="O115" s="791"/>
      <c r="P115" s="791"/>
      <c r="Q115" s="792"/>
    </row>
    <row r="116" spans="1:17" s="121" customFormat="1" ht="18" customHeight="1" x14ac:dyDescent="0.15">
      <c r="A116" s="218" t="s">
        <v>0</v>
      </c>
      <c r="B116" s="793" t="s">
        <v>1554</v>
      </c>
      <c r="C116" s="794"/>
      <c r="D116" s="794"/>
      <c r="E116" s="794"/>
      <c r="F116" s="794"/>
      <c r="G116" s="794"/>
      <c r="H116" s="794"/>
      <c r="I116" s="794"/>
      <c r="J116" s="794"/>
      <c r="K116" s="794"/>
      <c r="L116" s="794"/>
      <c r="M116" s="794"/>
      <c r="N116" s="794"/>
      <c r="O116" s="216" t="s">
        <v>73</v>
      </c>
      <c r="P116" s="795" t="s">
        <v>193</v>
      </c>
      <c r="Q116" s="796"/>
    </row>
    <row r="117" spans="1:17" x14ac:dyDescent="0.15">
      <c r="A117" s="790"/>
      <c r="B117" s="791"/>
      <c r="C117" s="791"/>
      <c r="D117" s="791"/>
      <c r="E117" s="791"/>
      <c r="F117" s="791"/>
      <c r="G117" s="791"/>
      <c r="H117" s="791"/>
      <c r="I117" s="791"/>
      <c r="J117" s="791"/>
      <c r="K117" s="791"/>
      <c r="L117" s="791"/>
      <c r="M117" s="791"/>
      <c r="N117" s="791"/>
      <c r="O117" s="791"/>
      <c r="P117" s="791"/>
      <c r="Q117" s="792"/>
    </row>
    <row r="118" spans="1:17" s="126" customFormat="1" x14ac:dyDescent="0.15">
      <c r="A118" s="822" t="s">
        <v>150</v>
      </c>
      <c r="B118" s="823" t="s">
        <v>151</v>
      </c>
      <c r="C118" s="823"/>
      <c r="D118" s="802"/>
      <c r="E118" s="823" t="s">
        <v>152</v>
      </c>
      <c r="F118" s="823"/>
      <c r="G118" s="823"/>
      <c r="H118" s="802" t="s">
        <v>153</v>
      </c>
      <c r="I118" s="802" t="s">
        <v>242</v>
      </c>
      <c r="J118" s="804" t="s">
        <v>73</v>
      </c>
      <c r="K118" s="216" t="s">
        <v>154</v>
      </c>
      <c r="L118" s="123"/>
      <c r="M118" s="124"/>
      <c r="N118" s="124"/>
      <c r="O118" s="124"/>
      <c r="P118" s="124"/>
      <c r="Q118" s="125"/>
    </row>
    <row r="119" spans="1:17" s="130" customFormat="1" x14ac:dyDescent="0.15">
      <c r="A119" s="822"/>
      <c r="B119" s="823"/>
      <c r="C119" s="823"/>
      <c r="D119" s="803"/>
      <c r="E119" s="217" t="s">
        <v>155</v>
      </c>
      <c r="F119" s="217" t="s">
        <v>156</v>
      </c>
      <c r="G119" s="217" t="s">
        <v>157</v>
      </c>
      <c r="H119" s="803"/>
      <c r="I119" s="803"/>
      <c r="J119" s="805"/>
      <c r="K119" s="216" t="s">
        <v>158</v>
      </c>
      <c r="L119" s="127"/>
      <c r="M119" s="128"/>
      <c r="N119" s="128"/>
      <c r="O119" s="128"/>
      <c r="P119" s="128"/>
      <c r="Q119" s="129"/>
    </row>
    <row r="120" spans="1:17" ht="39.75" customHeight="1" x14ac:dyDescent="0.15">
      <c r="A120" s="148"/>
      <c r="B120" s="788" t="s">
        <v>1091</v>
      </c>
      <c r="C120" s="789"/>
      <c r="D120" s="149"/>
      <c r="E120" s="143">
        <v>100.49</v>
      </c>
      <c r="F120" s="143">
        <v>0.25</v>
      </c>
      <c r="G120" s="143">
        <v>0.25</v>
      </c>
      <c r="H120" s="143">
        <v>1</v>
      </c>
      <c r="I120" s="143">
        <f t="shared" ref="I120" si="11">E120</f>
        <v>100.49</v>
      </c>
      <c r="J120" s="133" t="s">
        <v>193</v>
      </c>
      <c r="K120" s="143">
        <f t="shared" ref="K120" si="12">I120*H120</f>
        <v>100.49</v>
      </c>
      <c r="L120" s="127"/>
      <c r="M120" s="128"/>
      <c r="N120" s="128"/>
      <c r="O120" s="128"/>
      <c r="P120" s="128"/>
      <c r="Q120" s="129"/>
    </row>
    <row r="121" spans="1:17" ht="14" x14ac:dyDescent="0.15">
      <c r="A121" s="795" t="s">
        <v>149</v>
      </c>
      <c r="B121" s="817"/>
      <c r="C121" s="817"/>
      <c r="D121" s="817"/>
      <c r="E121" s="817"/>
      <c r="F121" s="817"/>
      <c r="G121" s="817"/>
      <c r="H121" s="817"/>
      <c r="I121" s="817"/>
      <c r="J121" s="796"/>
      <c r="K121" s="416">
        <f>SUM(K120:K120)</f>
        <v>100.49</v>
      </c>
      <c r="L121" s="134"/>
      <c r="M121" s="135"/>
      <c r="N121" s="135"/>
      <c r="O121" s="135"/>
      <c r="P121" s="135"/>
      <c r="Q121" s="136"/>
    </row>
    <row r="122" spans="1:17" x14ac:dyDescent="0.15">
      <c r="A122" s="790"/>
      <c r="B122" s="791"/>
      <c r="C122" s="791"/>
      <c r="D122" s="791"/>
      <c r="E122" s="791"/>
      <c r="F122" s="791"/>
      <c r="G122" s="791"/>
      <c r="H122" s="791"/>
      <c r="I122" s="791"/>
      <c r="J122" s="791"/>
      <c r="K122" s="791"/>
      <c r="L122" s="791"/>
      <c r="M122" s="791"/>
      <c r="N122" s="791"/>
      <c r="O122" s="791"/>
      <c r="P122" s="791"/>
      <c r="Q122" s="792"/>
    </row>
    <row r="123" spans="1:17" s="121" customFormat="1" ht="18" customHeight="1" x14ac:dyDescent="0.15">
      <c r="A123" s="218" t="s">
        <v>0</v>
      </c>
      <c r="B123" s="793" t="s">
        <v>1563</v>
      </c>
      <c r="C123" s="794"/>
      <c r="D123" s="794"/>
      <c r="E123" s="794"/>
      <c r="F123" s="794"/>
      <c r="G123" s="794"/>
      <c r="H123" s="794"/>
      <c r="I123" s="794"/>
      <c r="J123" s="794"/>
      <c r="K123" s="794"/>
      <c r="L123" s="794"/>
      <c r="M123" s="794"/>
      <c r="N123" s="794"/>
      <c r="O123" s="216" t="s">
        <v>73</v>
      </c>
      <c r="P123" s="795" t="s">
        <v>193</v>
      </c>
      <c r="Q123" s="796"/>
    </row>
    <row r="124" spans="1:17" x14ac:dyDescent="0.15">
      <c r="A124" s="790"/>
      <c r="B124" s="791"/>
      <c r="C124" s="791"/>
      <c r="D124" s="791"/>
      <c r="E124" s="791"/>
      <c r="F124" s="791"/>
      <c r="G124" s="791"/>
      <c r="H124" s="791"/>
      <c r="I124" s="791"/>
      <c r="J124" s="791"/>
      <c r="K124" s="791"/>
      <c r="L124" s="791"/>
      <c r="M124" s="791"/>
      <c r="N124" s="791"/>
      <c r="O124" s="791"/>
      <c r="P124" s="791"/>
      <c r="Q124" s="792"/>
    </row>
    <row r="125" spans="1:17" s="126" customFormat="1" x14ac:dyDescent="0.15">
      <c r="A125" s="822" t="s">
        <v>150</v>
      </c>
      <c r="B125" s="823" t="s">
        <v>151</v>
      </c>
      <c r="C125" s="823"/>
      <c r="D125" s="802"/>
      <c r="E125" s="823" t="s">
        <v>152</v>
      </c>
      <c r="F125" s="823"/>
      <c r="G125" s="823"/>
      <c r="H125" s="802" t="s">
        <v>153</v>
      </c>
      <c r="I125" s="802" t="s">
        <v>242</v>
      </c>
      <c r="J125" s="804" t="s">
        <v>73</v>
      </c>
      <c r="K125" s="216" t="s">
        <v>154</v>
      </c>
      <c r="L125" s="123"/>
      <c r="M125" s="124"/>
      <c r="N125" s="124"/>
      <c r="O125" s="124"/>
      <c r="P125" s="124"/>
      <c r="Q125" s="125"/>
    </row>
    <row r="126" spans="1:17" s="130" customFormat="1" x14ac:dyDescent="0.15">
      <c r="A126" s="822"/>
      <c r="B126" s="823"/>
      <c r="C126" s="823"/>
      <c r="D126" s="803"/>
      <c r="E126" s="217" t="s">
        <v>155</v>
      </c>
      <c r="F126" s="217" t="s">
        <v>156</v>
      </c>
      <c r="G126" s="217" t="s">
        <v>157</v>
      </c>
      <c r="H126" s="803"/>
      <c r="I126" s="803"/>
      <c r="J126" s="805"/>
      <c r="K126" s="216" t="s">
        <v>158</v>
      </c>
      <c r="L126" s="127"/>
      <c r="M126" s="128"/>
      <c r="N126" s="128"/>
      <c r="O126" s="128"/>
      <c r="P126" s="128"/>
      <c r="Q126" s="129"/>
    </row>
    <row r="127" spans="1:17" ht="39.75" customHeight="1" x14ac:dyDescent="0.15">
      <c r="A127" s="148"/>
      <c r="B127" s="788" t="s">
        <v>1516</v>
      </c>
      <c r="C127" s="789"/>
      <c r="D127" s="149"/>
      <c r="E127" s="143">
        <v>2.5</v>
      </c>
      <c r="F127" s="143">
        <v>0.2</v>
      </c>
      <c r="G127" s="143">
        <v>0.25</v>
      </c>
      <c r="H127" s="143">
        <v>33</v>
      </c>
      <c r="I127" s="143">
        <f t="shared" ref="I127" si="13">E127</f>
        <v>2.5</v>
      </c>
      <c r="J127" s="133" t="s">
        <v>193</v>
      </c>
      <c r="K127" s="143">
        <f t="shared" ref="K127" si="14">I127*H127</f>
        <v>82.5</v>
      </c>
      <c r="L127" s="127"/>
      <c r="M127" s="128"/>
      <c r="N127" s="128"/>
      <c r="O127" s="128"/>
      <c r="P127" s="128"/>
      <c r="Q127" s="129"/>
    </row>
    <row r="128" spans="1:17" ht="14" x14ac:dyDescent="0.15">
      <c r="A128" s="795" t="s">
        <v>149</v>
      </c>
      <c r="B128" s="817"/>
      <c r="C128" s="817"/>
      <c r="D128" s="817"/>
      <c r="E128" s="817"/>
      <c r="F128" s="817"/>
      <c r="G128" s="817"/>
      <c r="H128" s="817"/>
      <c r="I128" s="817"/>
      <c r="J128" s="796"/>
      <c r="K128" s="416">
        <f>SUM(K127:K127)</f>
        <v>82.5</v>
      </c>
      <c r="L128" s="134"/>
      <c r="M128" s="135"/>
      <c r="N128" s="135"/>
      <c r="O128" s="135"/>
      <c r="P128" s="135"/>
      <c r="Q128" s="136"/>
    </row>
    <row r="129" spans="1:17" x14ac:dyDescent="0.15">
      <c r="A129" s="790"/>
      <c r="B129" s="791"/>
      <c r="C129" s="791"/>
      <c r="D129" s="791"/>
      <c r="E129" s="791"/>
      <c r="F129" s="791"/>
      <c r="G129" s="791"/>
      <c r="H129" s="791"/>
      <c r="I129" s="791"/>
      <c r="J129" s="791"/>
      <c r="K129" s="791"/>
      <c r="L129" s="791"/>
      <c r="M129" s="791"/>
      <c r="N129" s="791"/>
      <c r="O129" s="791"/>
      <c r="P129" s="791"/>
      <c r="Q129" s="792"/>
    </row>
    <row r="130" spans="1:17" s="121" customFormat="1" ht="18" customHeight="1" x14ac:dyDescent="0.15">
      <c r="A130" s="218" t="s">
        <v>0</v>
      </c>
      <c r="B130" s="793" t="s">
        <v>1567</v>
      </c>
      <c r="C130" s="794"/>
      <c r="D130" s="794"/>
      <c r="E130" s="794"/>
      <c r="F130" s="794"/>
      <c r="G130" s="794"/>
      <c r="H130" s="794"/>
      <c r="I130" s="794"/>
      <c r="J130" s="794"/>
      <c r="K130" s="794"/>
      <c r="L130" s="794"/>
      <c r="M130" s="794"/>
      <c r="N130" s="794"/>
      <c r="O130" s="216" t="s">
        <v>73</v>
      </c>
      <c r="P130" s="795" t="s">
        <v>193</v>
      </c>
      <c r="Q130" s="796"/>
    </row>
    <row r="131" spans="1:17" x14ac:dyDescent="0.15">
      <c r="A131" s="790"/>
      <c r="B131" s="791"/>
      <c r="C131" s="791"/>
      <c r="D131" s="791"/>
      <c r="E131" s="791"/>
      <c r="F131" s="791"/>
      <c r="G131" s="791"/>
      <c r="H131" s="791"/>
      <c r="I131" s="791"/>
      <c r="J131" s="791"/>
      <c r="K131" s="791"/>
      <c r="L131" s="791"/>
      <c r="M131" s="791"/>
      <c r="N131" s="791"/>
      <c r="O131" s="791"/>
      <c r="P131" s="791"/>
      <c r="Q131" s="792"/>
    </row>
    <row r="132" spans="1:17" s="126" customFormat="1" x14ac:dyDescent="0.15">
      <c r="A132" s="822" t="s">
        <v>150</v>
      </c>
      <c r="B132" s="823" t="s">
        <v>151</v>
      </c>
      <c r="C132" s="823"/>
      <c r="D132" s="802"/>
      <c r="E132" s="823" t="s">
        <v>152</v>
      </c>
      <c r="F132" s="823"/>
      <c r="G132" s="823"/>
      <c r="H132" s="802" t="s">
        <v>153</v>
      </c>
      <c r="I132" s="802" t="s">
        <v>242</v>
      </c>
      <c r="J132" s="804" t="s">
        <v>73</v>
      </c>
      <c r="K132" s="216" t="s">
        <v>154</v>
      </c>
      <c r="L132" s="123"/>
      <c r="M132" s="124"/>
      <c r="N132" s="124"/>
      <c r="O132" s="124"/>
      <c r="P132" s="124"/>
      <c r="Q132" s="125"/>
    </row>
    <row r="133" spans="1:17" s="130" customFormat="1" x14ac:dyDescent="0.15">
      <c r="A133" s="822"/>
      <c r="B133" s="823"/>
      <c r="C133" s="823"/>
      <c r="D133" s="803"/>
      <c r="E133" s="217" t="s">
        <v>155</v>
      </c>
      <c r="F133" s="217" t="s">
        <v>156</v>
      </c>
      <c r="G133" s="217" t="s">
        <v>157</v>
      </c>
      <c r="H133" s="803"/>
      <c r="I133" s="803"/>
      <c r="J133" s="805"/>
      <c r="K133" s="216" t="s">
        <v>158</v>
      </c>
      <c r="L133" s="127"/>
      <c r="M133" s="128"/>
      <c r="N133" s="128"/>
      <c r="O133" s="128"/>
      <c r="P133" s="128"/>
      <c r="Q133" s="129"/>
    </row>
    <row r="134" spans="1:17" ht="48" customHeight="1" x14ac:dyDescent="0.15">
      <c r="A134" s="148"/>
      <c r="B134" s="788" t="s">
        <v>1566</v>
      </c>
      <c r="C134" s="789"/>
      <c r="D134" s="149"/>
      <c r="E134" s="143">
        <v>100.49</v>
      </c>
      <c r="F134" s="143">
        <v>0.1</v>
      </c>
      <c r="G134" s="143">
        <v>0.25</v>
      </c>
      <c r="H134" s="143">
        <v>1</v>
      </c>
      <c r="I134" s="143">
        <f t="shared" ref="I134" si="15">E134</f>
        <v>100.49</v>
      </c>
      <c r="J134" s="133" t="s">
        <v>193</v>
      </c>
      <c r="K134" s="143">
        <f t="shared" ref="K134" si="16">I134*H134</f>
        <v>100.49</v>
      </c>
      <c r="L134" s="127"/>
      <c r="M134" s="128"/>
      <c r="N134" s="128"/>
      <c r="O134" s="128"/>
      <c r="P134" s="128"/>
      <c r="Q134" s="129"/>
    </row>
    <row r="135" spans="1:17" ht="14" x14ac:dyDescent="0.15">
      <c r="A135" s="795" t="s">
        <v>149</v>
      </c>
      <c r="B135" s="817"/>
      <c r="C135" s="817"/>
      <c r="D135" s="817"/>
      <c r="E135" s="817"/>
      <c r="F135" s="817"/>
      <c r="G135" s="817"/>
      <c r="H135" s="817"/>
      <c r="I135" s="817"/>
      <c r="J135" s="796"/>
      <c r="K135" s="416">
        <f>SUM(K134:K134)</f>
        <v>100.49</v>
      </c>
      <c r="L135" s="134"/>
      <c r="M135" s="135"/>
      <c r="N135" s="135"/>
      <c r="O135" s="135"/>
      <c r="P135" s="135"/>
      <c r="Q135" s="136"/>
    </row>
    <row r="136" spans="1:17" x14ac:dyDescent="0.15">
      <c r="A136" s="790"/>
      <c r="B136" s="791"/>
      <c r="C136" s="791"/>
      <c r="D136" s="791"/>
      <c r="E136" s="791"/>
      <c r="F136" s="791"/>
      <c r="G136" s="791"/>
      <c r="H136" s="791"/>
      <c r="I136" s="791"/>
      <c r="J136" s="791"/>
      <c r="K136" s="791"/>
      <c r="L136" s="791"/>
      <c r="M136" s="791"/>
      <c r="N136" s="791"/>
      <c r="O136" s="791"/>
      <c r="P136" s="791"/>
      <c r="Q136" s="792"/>
    </row>
    <row r="137" spans="1:17" s="121" customFormat="1" ht="18" customHeight="1" x14ac:dyDescent="0.15">
      <c r="A137" s="218" t="s">
        <v>0</v>
      </c>
      <c r="B137" s="835" t="s">
        <v>1571</v>
      </c>
      <c r="C137" s="836"/>
      <c r="D137" s="836"/>
      <c r="E137" s="836"/>
      <c r="F137" s="836"/>
      <c r="G137" s="836"/>
      <c r="H137" s="836"/>
      <c r="I137" s="836"/>
      <c r="J137" s="836"/>
      <c r="K137" s="836"/>
      <c r="L137" s="836"/>
      <c r="M137" s="836"/>
      <c r="N137" s="837"/>
      <c r="O137" s="216" t="s">
        <v>73</v>
      </c>
      <c r="P137" s="795" t="s">
        <v>5</v>
      </c>
      <c r="Q137" s="796"/>
    </row>
    <row r="138" spans="1:17" x14ac:dyDescent="0.15">
      <c r="A138" s="790"/>
      <c r="B138" s="791"/>
      <c r="C138" s="791"/>
      <c r="D138" s="791"/>
      <c r="E138" s="791"/>
      <c r="F138" s="791"/>
      <c r="G138" s="791"/>
      <c r="H138" s="791"/>
      <c r="I138" s="791"/>
      <c r="J138" s="791"/>
      <c r="K138" s="791"/>
      <c r="L138" s="791"/>
      <c r="M138" s="791"/>
      <c r="N138" s="791"/>
      <c r="O138" s="791"/>
      <c r="P138" s="791"/>
      <c r="Q138" s="792"/>
    </row>
    <row r="139" spans="1:17" s="126" customFormat="1" x14ac:dyDescent="0.15">
      <c r="A139" s="822" t="s">
        <v>150</v>
      </c>
      <c r="B139" s="823" t="s">
        <v>151</v>
      </c>
      <c r="C139" s="823"/>
      <c r="D139" s="832" t="s">
        <v>264</v>
      </c>
      <c r="E139" s="823" t="s">
        <v>152</v>
      </c>
      <c r="F139" s="823"/>
      <c r="G139" s="823"/>
      <c r="H139" s="802" t="s">
        <v>153</v>
      </c>
      <c r="I139" s="802" t="s">
        <v>159</v>
      </c>
      <c r="J139" s="804" t="s">
        <v>73</v>
      </c>
      <c r="K139" s="216" t="s">
        <v>154</v>
      </c>
      <c r="L139" s="123"/>
      <c r="M139" s="124"/>
      <c r="N139" s="124"/>
      <c r="O139" s="124"/>
      <c r="P139" s="124"/>
      <c r="Q139" s="125"/>
    </row>
    <row r="140" spans="1:17" s="130" customFormat="1" x14ac:dyDescent="0.15">
      <c r="A140" s="822"/>
      <c r="B140" s="823"/>
      <c r="C140" s="823"/>
      <c r="D140" s="833"/>
      <c r="E140" s="217" t="s">
        <v>155</v>
      </c>
      <c r="F140" s="217" t="s">
        <v>156</v>
      </c>
      <c r="G140" s="217" t="s">
        <v>157</v>
      </c>
      <c r="H140" s="803"/>
      <c r="I140" s="803"/>
      <c r="J140" s="805"/>
      <c r="K140" s="216" t="s">
        <v>158</v>
      </c>
      <c r="L140" s="127"/>
      <c r="M140" s="128"/>
      <c r="N140" s="128"/>
      <c r="O140" s="128"/>
      <c r="P140" s="128"/>
      <c r="Q140" s="129"/>
    </row>
    <row r="141" spans="1:17" ht="19.5" customHeight="1" x14ac:dyDescent="0.15">
      <c r="A141" s="148"/>
      <c r="B141" s="815" t="s">
        <v>1019</v>
      </c>
      <c r="C141" s="816"/>
      <c r="D141" s="671">
        <v>0</v>
      </c>
      <c r="E141" s="143">
        <v>23.1</v>
      </c>
      <c r="F141" s="143">
        <v>1</v>
      </c>
      <c r="G141" s="143">
        <v>0.1</v>
      </c>
      <c r="H141" s="143">
        <v>1</v>
      </c>
      <c r="I141" s="143">
        <f t="shared" ref="I141:I143" si="17">F141*E141</f>
        <v>23.1</v>
      </c>
      <c r="J141" s="133" t="s">
        <v>5</v>
      </c>
      <c r="K141" s="143">
        <f t="shared" ref="K141:K143" si="18">(I141*H141)-D141</f>
        <v>23.1</v>
      </c>
      <c r="L141" s="127"/>
      <c r="M141" s="128"/>
      <c r="N141" s="128"/>
      <c r="O141" s="128"/>
      <c r="P141" s="128"/>
      <c r="Q141" s="129"/>
    </row>
    <row r="142" spans="1:17" ht="19.5" customHeight="1" x14ac:dyDescent="0.15">
      <c r="A142" s="148"/>
      <c r="B142" s="815" t="s">
        <v>1020</v>
      </c>
      <c r="C142" s="816"/>
      <c r="D142" s="671">
        <v>0</v>
      </c>
      <c r="E142" s="143">
        <v>1</v>
      </c>
      <c r="F142" s="143">
        <v>2</v>
      </c>
      <c r="G142" s="143">
        <v>0.1</v>
      </c>
      <c r="H142" s="143">
        <v>1</v>
      </c>
      <c r="I142" s="143">
        <f t="shared" ref="I142" si="19">F142*E142</f>
        <v>2</v>
      </c>
      <c r="J142" s="133" t="s">
        <v>5</v>
      </c>
      <c r="K142" s="143">
        <f t="shared" ref="K142" si="20">(I142*H142)-D142</f>
        <v>2</v>
      </c>
      <c r="L142" s="127"/>
      <c r="M142" s="128"/>
      <c r="N142" s="128"/>
      <c r="O142" s="128"/>
      <c r="P142" s="128"/>
      <c r="Q142" s="129"/>
    </row>
    <row r="143" spans="1:17" ht="19.5" customHeight="1" x14ac:dyDescent="0.15">
      <c r="A143" s="148"/>
      <c r="B143" s="815" t="s">
        <v>1164</v>
      </c>
      <c r="C143" s="816"/>
      <c r="D143" s="671">
        <v>0</v>
      </c>
      <c r="E143" s="143">
        <v>7</v>
      </c>
      <c r="F143" s="143">
        <v>1</v>
      </c>
      <c r="G143" s="143">
        <v>0.1</v>
      </c>
      <c r="H143" s="143">
        <v>1</v>
      </c>
      <c r="I143" s="143">
        <f t="shared" si="17"/>
        <v>7</v>
      </c>
      <c r="J143" s="133" t="s">
        <v>5</v>
      </c>
      <c r="K143" s="143">
        <f t="shared" si="18"/>
        <v>7</v>
      </c>
      <c r="L143" s="127"/>
      <c r="M143" s="128"/>
      <c r="N143" s="128"/>
      <c r="O143" s="128"/>
      <c r="P143" s="128"/>
      <c r="Q143" s="129"/>
    </row>
    <row r="144" spans="1:17" ht="14" x14ac:dyDescent="0.15">
      <c r="A144" s="795" t="s">
        <v>149</v>
      </c>
      <c r="B144" s="817"/>
      <c r="C144" s="817"/>
      <c r="D144" s="817"/>
      <c r="E144" s="817"/>
      <c r="F144" s="817"/>
      <c r="G144" s="817"/>
      <c r="H144" s="817"/>
      <c r="I144" s="817"/>
      <c r="J144" s="796"/>
      <c r="K144" s="416">
        <f>SUM(K141:K143)</f>
        <v>32.1</v>
      </c>
      <c r="L144" s="134"/>
      <c r="M144" s="135"/>
      <c r="N144" s="135"/>
      <c r="O144" s="135"/>
      <c r="P144" s="135"/>
      <c r="Q144" s="136"/>
    </row>
    <row r="145" spans="1:17" x14ac:dyDescent="0.15">
      <c r="A145" s="790"/>
      <c r="B145" s="791"/>
      <c r="C145" s="791"/>
      <c r="D145" s="791"/>
      <c r="E145" s="791"/>
      <c r="F145" s="791"/>
      <c r="G145" s="791"/>
      <c r="H145" s="791"/>
      <c r="I145" s="791"/>
      <c r="J145" s="791"/>
      <c r="K145" s="791"/>
      <c r="L145" s="791"/>
      <c r="M145" s="791"/>
      <c r="N145" s="791"/>
      <c r="O145" s="791"/>
      <c r="P145" s="791"/>
      <c r="Q145" s="792"/>
    </row>
    <row r="146" spans="1:17" s="121" customFormat="1" ht="18" customHeight="1" x14ac:dyDescent="0.15">
      <c r="A146" s="218" t="s">
        <v>0</v>
      </c>
      <c r="B146" s="838" t="s">
        <v>180</v>
      </c>
      <c r="C146" s="839"/>
      <c r="D146" s="839"/>
      <c r="E146" s="839"/>
      <c r="F146" s="839"/>
      <c r="G146" s="839"/>
      <c r="H146" s="839"/>
      <c r="I146" s="839"/>
      <c r="J146" s="839"/>
      <c r="K146" s="839"/>
      <c r="L146" s="839"/>
      <c r="M146" s="839"/>
      <c r="N146" s="840"/>
      <c r="O146" s="216" t="s">
        <v>73</v>
      </c>
      <c r="P146" s="795" t="s">
        <v>5</v>
      </c>
      <c r="Q146" s="796"/>
    </row>
    <row r="147" spans="1:17" x14ac:dyDescent="0.15">
      <c r="A147" s="790"/>
      <c r="B147" s="791"/>
      <c r="C147" s="791"/>
      <c r="D147" s="791"/>
      <c r="E147" s="791"/>
      <c r="F147" s="791"/>
      <c r="G147" s="791"/>
      <c r="H147" s="791"/>
      <c r="I147" s="791"/>
      <c r="J147" s="791"/>
      <c r="K147" s="791"/>
      <c r="L147" s="791"/>
      <c r="M147" s="791"/>
      <c r="N147" s="791"/>
      <c r="O147" s="791"/>
      <c r="P147" s="791"/>
      <c r="Q147" s="792"/>
    </row>
    <row r="148" spans="1:17" s="126" customFormat="1" x14ac:dyDescent="0.15">
      <c r="A148" s="822" t="s">
        <v>150</v>
      </c>
      <c r="B148" s="823" t="s">
        <v>151</v>
      </c>
      <c r="C148" s="823"/>
      <c r="D148" s="832" t="s">
        <v>241</v>
      </c>
      <c r="E148" s="823" t="s">
        <v>152</v>
      </c>
      <c r="F148" s="823"/>
      <c r="G148" s="823"/>
      <c r="H148" s="802" t="s">
        <v>153</v>
      </c>
      <c r="I148" s="802" t="s">
        <v>159</v>
      </c>
      <c r="J148" s="804" t="s">
        <v>73</v>
      </c>
      <c r="K148" s="216" t="s">
        <v>154</v>
      </c>
      <c r="L148" s="123"/>
      <c r="M148" s="124"/>
      <c r="N148" s="124"/>
      <c r="O148" s="124"/>
      <c r="P148" s="124"/>
      <c r="Q148" s="125"/>
    </row>
    <row r="149" spans="1:17" s="130" customFormat="1" x14ac:dyDescent="0.15">
      <c r="A149" s="822"/>
      <c r="B149" s="823"/>
      <c r="C149" s="823"/>
      <c r="D149" s="833"/>
      <c r="E149" s="217" t="s">
        <v>155</v>
      </c>
      <c r="F149" s="217" t="s">
        <v>156</v>
      </c>
      <c r="G149" s="217" t="s">
        <v>157</v>
      </c>
      <c r="H149" s="803"/>
      <c r="I149" s="803"/>
      <c r="J149" s="805"/>
      <c r="K149" s="216" t="s">
        <v>158</v>
      </c>
      <c r="L149" s="127"/>
      <c r="M149" s="128"/>
      <c r="N149" s="128"/>
      <c r="O149" s="128"/>
      <c r="P149" s="128"/>
      <c r="Q149" s="129"/>
    </row>
    <row r="150" spans="1:17" ht="21.75" customHeight="1" x14ac:dyDescent="0.15">
      <c r="A150" s="148"/>
      <c r="B150" s="815" t="s">
        <v>1083</v>
      </c>
      <c r="C150" s="816"/>
      <c r="D150" s="143">
        <v>0</v>
      </c>
      <c r="E150" s="143">
        <f>100.49-(33*0.25)</f>
        <v>92.24</v>
      </c>
      <c r="F150" s="143">
        <v>0.09</v>
      </c>
      <c r="G150" s="143">
        <v>2</v>
      </c>
      <c r="H150" s="143">
        <v>1</v>
      </c>
      <c r="I150" s="143">
        <f t="shared" ref="I150" si="21">G150*E150</f>
        <v>184.48</v>
      </c>
      <c r="J150" s="133" t="s">
        <v>5</v>
      </c>
      <c r="K150" s="143">
        <f t="shared" ref="K150" si="22">(I150*H150)-D150</f>
        <v>184.48</v>
      </c>
      <c r="L150" s="127"/>
      <c r="M150" s="128"/>
      <c r="N150" s="128"/>
      <c r="O150" s="128"/>
      <c r="P150" s="128"/>
      <c r="Q150" s="129"/>
    </row>
    <row r="151" spans="1:17" ht="14" x14ac:dyDescent="0.15">
      <c r="A151" s="795" t="s">
        <v>149</v>
      </c>
      <c r="B151" s="817"/>
      <c r="C151" s="817"/>
      <c r="D151" s="817"/>
      <c r="E151" s="817"/>
      <c r="F151" s="817"/>
      <c r="G151" s="817"/>
      <c r="H151" s="817"/>
      <c r="I151" s="817"/>
      <c r="J151" s="796"/>
      <c r="K151" s="416">
        <f>SUM(K150:K150)</f>
        <v>184.48</v>
      </c>
      <c r="L151" s="134"/>
      <c r="M151" s="135"/>
      <c r="N151" s="135"/>
      <c r="O151" s="135"/>
      <c r="P151" s="135"/>
      <c r="Q151" s="136"/>
    </row>
    <row r="152" spans="1:17" x14ac:dyDescent="0.15">
      <c r="A152" s="790"/>
      <c r="B152" s="791"/>
      <c r="C152" s="791"/>
      <c r="D152" s="791"/>
      <c r="E152" s="791"/>
      <c r="F152" s="791"/>
      <c r="G152" s="791"/>
      <c r="H152" s="791"/>
      <c r="I152" s="791"/>
      <c r="J152" s="791"/>
      <c r="K152" s="791"/>
      <c r="L152" s="791"/>
      <c r="M152" s="791"/>
      <c r="N152" s="791"/>
      <c r="O152" s="791"/>
      <c r="P152" s="791"/>
      <c r="Q152" s="792"/>
    </row>
    <row r="153" spans="1:17" s="121" customFormat="1" ht="18" customHeight="1" x14ac:dyDescent="0.15">
      <c r="A153" s="218" t="s">
        <v>0</v>
      </c>
      <c r="B153" s="838" t="s">
        <v>1026</v>
      </c>
      <c r="C153" s="839"/>
      <c r="D153" s="839"/>
      <c r="E153" s="839"/>
      <c r="F153" s="839"/>
      <c r="G153" s="839"/>
      <c r="H153" s="839"/>
      <c r="I153" s="839"/>
      <c r="J153" s="839"/>
      <c r="K153" s="839"/>
      <c r="L153" s="839"/>
      <c r="M153" s="839"/>
      <c r="N153" s="839"/>
      <c r="O153" s="216" t="s">
        <v>73</v>
      </c>
      <c r="P153" s="795" t="s">
        <v>5</v>
      </c>
      <c r="Q153" s="796"/>
    </row>
    <row r="154" spans="1:17" x14ac:dyDescent="0.15">
      <c r="A154" s="790"/>
      <c r="B154" s="791"/>
      <c r="C154" s="791"/>
      <c r="D154" s="791"/>
      <c r="E154" s="791"/>
      <c r="F154" s="791"/>
      <c r="G154" s="791"/>
      <c r="H154" s="791"/>
      <c r="I154" s="791"/>
      <c r="J154" s="791"/>
      <c r="K154" s="791"/>
      <c r="L154" s="791"/>
      <c r="M154" s="791"/>
      <c r="N154" s="791"/>
      <c r="O154" s="791"/>
      <c r="P154" s="791"/>
      <c r="Q154" s="792"/>
    </row>
    <row r="155" spans="1:17" s="126" customFormat="1" ht="12.75" customHeight="1" x14ac:dyDescent="0.15">
      <c r="A155" s="822" t="s">
        <v>150</v>
      </c>
      <c r="B155" s="823" t="s">
        <v>151</v>
      </c>
      <c r="C155" s="823"/>
      <c r="D155" s="832" t="s">
        <v>241</v>
      </c>
      <c r="E155" s="823" t="s">
        <v>152</v>
      </c>
      <c r="F155" s="823"/>
      <c r="G155" s="823"/>
      <c r="H155" s="802" t="s">
        <v>153</v>
      </c>
      <c r="I155" s="802" t="s">
        <v>159</v>
      </c>
      <c r="J155" s="804" t="s">
        <v>73</v>
      </c>
      <c r="K155" s="216" t="s">
        <v>154</v>
      </c>
      <c r="L155" s="123"/>
      <c r="M155" s="124"/>
      <c r="N155" s="124"/>
      <c r="O155" s="124"/>
      <c r="P155" s="124"/>
      <c r="Q155" s="125"/>
    </row>
    <row r="156" spans="1:17" s="130" customFormat="1" x14ac:dyDescent="0.15">
      <c r="A156" s="822"/>
      <c r="B156" s="823"/>
      <c r="C156" s="823"/>
      <c r="D156" s="833"/>
      <c r="E156" s="217" t="s">
        <v>155</v>
      </c>
      <c r="F156" s="217" t="s">
        <v>206</v>
      </c>
      <c r="G156" s="217" t="s">
        <v>1093</v>
      </c>
      <c r="H156" s="803"/>
      <c r="I156" s="803"/>
      <c r="J156" s="805"/>
      <c r="K156" s="216" t="s">
        <v>158</v>
      </c>
      <c r="L156" s="127"/>
      <c r="M156" s="128"/>
      <c r="N156" s="128"/>
      <c r="O156" s="128"/>
      <c r="P156" s="128"/>
      <c r="Q156" s="129"/>
    </row>
    <row r="157" spans="1:17" ht="20.25" customHeight="1" x14ac:dyDescent="0.15">
      <c r="A157" s="148"/>
      <c r="B157" s="815" t="s">
        <v>1083</v>
      </c>
      <c r="C157" s="816"/>
      <c r="D157" s="143">
        <v>0</v>
      </c>
      <c r="E157" s="143">
        <f>100.49-(33*0.2)</f>
        <v>93.89</v>
      </c>
      <c r="F157" s="143">
        <v>0.02</v>
      </c>
      <c r="G157" s="143">
        <v>2</v>
      </c>
      <c r="H157" s="143">
        <v>2</v>
      </c>
      <c r="I157" s="143">
        <f t="shared" ref="I157" si="23">G157*E157</f>
        <v>187.78</v>
      </c>
      <c r="J157" s="133" t="s">
        <v>5</v>
      </c>
      <c r="K157" s="143">
        <f t="shared" ref="K157" si="24">(I157*H157)-D157</f>
        <v>375.56</v>
      </c>
      <c r="L157" s="127"/>
      <c r="M157" s="128"/>
      <c r="N157" s="128"/>
      <c r="O157" s="128"/>
      <c r="P157" s="128"/>
      <c r="Q157" s="129"/>
    </row>
    <row r="158" spans="1:17" ht="20.25" customHeight="1" x14ac:dyDescent="0.15">
      <c r="A158" s="148"/>
      <c r="B158" s="788" t="s">
        <v>988</v>
      </c>
      <c r="C158" s="789"/>
      <c r="D158" s="143">
        <v>0</v>
      </c>
      <c r="E158" s="143">
        <v>0.2</v>
      </c>
      <c r="F158" s="143">
        <v>0.02</v>
      </c>
      <c r="G158" s="143">
        <v>2</v>
      </c>
      <c r="H158" s="143">
        <v>66</v>
      </c>
      <c r="I158" s="143">
        <f t="shared" ref="I158" si="25">G158*E158</f>
        <v>0.4</v>
      </c>
      <c r="J158" s="133" t="s">
        <v>5</v>
      </c>
      <c r="K158" s="143">
        <f t="shared" ref="K158" si="26">(I158*H158)-D158</f>
        <v>26.400000000000002</v>
      </c>
      <c r="L158" s="127"/>
      <c r="M158" s="128"/>
      <c r="N158" s="128"/>
      <c r="O158" s="128"/>
      <c r="P158" s="128"/>
      <c r="Q158" s="129"/>
    </row>
    <row r="159" spans="1:17" ht="20.25" customHeight="1" x14ac:dyDescent="0.15">
      <c r="A159" s="148"/>
      <c r="B159" s="788" t="s">
        <v>1092</v>
      </c>
      <c r="C159" s="789"/>
      <c r="D159" s="143">
        <v>0</v>
      </c>
      <c r="E159" s="143">
        <v>100.49</v>
      </c>
      <c r="F159" s="143">
        <v>0.02</v>
      </c>
      <c r="G159" s="143">
        <v>0.6</v>
      </c>
      <c r="H159" s="143">
        <v>1</v>
      </c>
      <c r="I159" s="143">
        <f t="shared" ref="I159" si="27">G159*E159</f>
        <v>60.293999999999997</v>
      </c>
      <c r="J159" s="133" t="s">
        <v>5</v>
      </c>
      <c r="K159" s="143">
        <f t="shared" ref="K159" si="28">(I159*H159)-D159</f>
        <v>60.293999999999997</v>
      </c>
      <c r="L159" s="127"/>
      <c r="M159" s="128"/>
      <c r="N159" s="128"/>
      <c r="O159" s="128"/>
      <c r="P159" s="128"/>
      <c r="Q159" s="129"/>
    </row>
    <row r="160" spans="1:17" ht="20.25" customHeight="1" x14ac:dyDescent="0.15">
      <c r="A160" s="148"/>
      <c r="B160" s="788" t="s">
        <v>1094</v>
      </c>
      <c r="C160" s="789"/>
      <c r="D160" s="143">
        <v>0</v>
      </c>
      <c r="E160" s="143">
        <v>100.49</v>
      </c>
      <c r="F160" s="143">
        <v>0.02</v>
      </c>
      <c r="G160" s="143">
        <v>0.1</v>
      </c>
      <c r="H160" s="143">
        <v>2</v>
      </c>
      <c r="I160" s="143">
        <f t="shared" ref="I160" si="29">G160*E160</f>
        <v>10.048999999999999</v>
      </c>
      <c r="J160" s="133" t="s">
        <v>5</v>
      </c>
      <c r="K160" s="143">
        <f t="shared" ref="K160" si="30">(I160*H160)-D160</f>
        <v>20.097999999999999</v>
      </c>
      <c r="L160" s="127"/>
      <c r="M160" s="128"/>
      <c r="N160" s="128"/>
      <c r="O160" s="128"/>
      <c r="P160" s="128"/>
      <c r="Q160" s="129"/>
    </row>
    <row r="161" spans="1:17" ht="14" x14ac:dyDescent="0.15">
      <c r="A161" s="795" t="s">
        <v>149</v>
      </c>
      <c r="B161" s="817"/>
      <c r="C161" s="817"/>
      <c r="D161" s="817"/>
      <c r="E161" s="817"/>
      <c r="F161" s="817"/>
      <c r="G161" s="817"/>
      <c r="H161" s="817"/>
      <c r="I161" s="817"/>
      <c r="J161" s="796"/>
      <c r="K161" s="416">
        <f>SUM(K157:K160)</f>
        <v>482.35199999999998</v>
      </c>
      <c r="L161" s="134"/>
      <c r="M161" s="135"/>
      <c r="N161" s="135"/>
      <c r="O161" s="135"/>
      <c r="P161" s="135"/>
      <c r="Q161" s="136"/>
    </row>
    <row r="162" spans="1:17" x14ac:dyDescent="0.15">
      <c r="A162" s="790"/>
      <c r="B162" s="791"/>
      <c r="C162" s="791"/>
      <c r="D162" s="791"/>
      <c r="E162" s="791"/>
      <c r="F162" s="791"/>
      <c r="G162" s="791"/>
      <c r="H162" s="791"/>
      <c r="I162" s="791"/>
      <c r="J162" s="791"/>
      <c r="K162" s="791"/>
      <c r="L162" s="791"/>
      <c r="M162" s="791"/>
      <c r="N162" s="791"/>
      <c r="O162" s="791"/>
      <c r="P162" s="791"/>
      <c r="Q162" s="792"/>
    </row>
    <row r="163" spans="1:17" s="121" customFormat="1" ht="18" customHeight="1" x14ac:dyDescent="0.15">
      <c r="A163" s="218" t="s">
        <v>0</v>
      </c>
      <c r="B163" s="838" t="s">
        <v>1095</v>
      </c>
      <c r="C163" s="839"/>
      <c r="D163" s="839"/>
      <c r="E163" s="839"/>
      <c r="F163" s="839"/>
      <c r="G163" s="839"/>
      <c r="H163" s="839"/>
      <c r="I163" s="839"/>
      <c r="J163" s="839"/>
      <c r="K163" s="839"/>
      <c r="L163" s="839"/>
      <c r="M163" s="839"/>
      <c r="N163" s="839"/>
      <c r="O163" s="216" t="s">
        <v>73</v>
      </c>
      <c r="P163" s="795" t="s">
        <v>5</v>
      </c>
      <c r="Q163" s="796"/>
    </row>
    <row r="164" spans="1:17" x14ac:dyDescent="0.15">
      <c r="A164" s="790"/>
      <c r="B164" s="791"/>
      <c r="C164" s="791"/>
      <c r="D164" s="791"/>
      <c r="E164" s="791"/>
      <c r="F164" s="791"/>
      <c r="G164" s="791"/>
      <c r="H164" s="791"/>
      <c r="I164" s="791"/>
      <c r="J164" s="791"/>
      <c r="K164" s="791"/>
      <c r="L164" s="791"/>
      <c r="M164" s="791"/>
      <c r="N164" s="791"/>
      <c r="O164" s="791"/>
      <c r="P164" s="791"/>
      <c r="Q164" s="792"/>
    </row>
    <row r="165" spans="1:17" s="126" customFormat="1" ht="12.75" customHeight="1" x14ac:dyDescent="0.15">
      <c r="A165" s="822" t="s">
        <v>150</v>
      </c>
      <c r="B165" s="823" t="s">
        <v>151</v>
      </c>
      <c r="C165" s="823"/>
      <c r="D165" s="832" t="s">
        <v>241</v>
      </c>
      <c r="E165" s="823" t="s">
        <v>152</v>
      </c>
      <c r="F165" s="823"/>
      <c r="G165" s="823"/>
      <c r="H165" s="802" t="s">
        <v>153</v>
      </c>
      <c r="I165" s="802" t="s">
        <v>1096</v>
      </c>
      <c r="J165" s="804" t="s">
        <v>73</v>
      </c>
      <c r="K165" s="216" t="s">
        <v>154</v>
      </c>
      <c r="L165" s="123"/>
      <c r="M165" s="124"/>
      <c r="N165" s="124"/>
      <c r="O165" s="124"/>
      <c r="P165" s="124"/>
      <c r="Q165" s="125"/>
    </row>
    <row r="166" spans="1:17" s="130" customFormat="1" x14ac:dyDescent="0.15">
      <c r="A166" s="822"/>
      <c r="B166" s="823"/>
      <c r="C166" s="823"/>
      <c r="D166" s="833"/>
      <c r="E166" s="217" t="s">
        <v>155</v>
      </c>
      <c r="F166" s="217" t="s">
        <v>206</v>
      </c>
      <c r="G166" s="217" t="s">
        <v>1093</v>
      </c>
      <c r="H166" s="803"/>
      <c r="I166" s="803"/>
      <c r="J166" s="805"/>
      <c r="K166" s="216" t="s">
        <v>158</v>
      </c>
      <c r="L166" s="127"/>
      <c r="M166" s="128"/>
      <c r="N166" s="128"/>
      <c r="O166" s="128"/>
      <c r="P166" s="128"/>
      <c r="Q166" s="129"/>
    </row>
    <row r="167" spans="1:17" ht="29.25" customHeight="1" x14ac:dyDescent="0.15">
      <c r="A167" s="148"/>
      <c r="B167" s="815" t="s">
        <v>1097</v>
      </c>
      <c r="C167" s="816"/>
      <c r="D167" s="143">
        <v>0</v>
      </c>
      <c r="E167" s="143">
        <v>7</v>
      </c>
      <c r="F167" s="143">
        <v>0.02</v>
      </c>
      <c r="G167" s="143">
        <v>7.0000000000000007E-2</v>
      </c>
      <c r="H167" s="143">
        <v>32</v>
      </c>
      <c r="I167" s="143">
        <f>E167</f>
        <v>7</v>
      </c>
      <c r="J167" s="133" t="s">
        <v>7</v>
      </c>
      <c r="K167" s="143">
        <f t="shared" ref="K167" si="31">(I167*H167)-D167</f>
        <v>224</v>
      </c>
      <c r="L167" s="127"/>
      <c r="M167" s="128"/>
      <c r="N167" s="128"/>
      <c r="O167" s="128"/>
      <c r="P167" s="128"/>
      <c r="Q167" s="129"/>
    </row>
    <row r="168" spans="1:17" ht="29.25" customHeight="1" x14ac:dyDescent="0.15">
      <c r="A168" s="148"/>
      <c r="B168" s="815" t="s">
        <v>1098</v>
      </c>
      <c r="C168" s="816"/>
      <c r="D168" s="143">
        <v>0</v>
      </c>
      <c r="E168" s="143">
        <v>5</v>
      </c>
      <c r="F168" s="143">
        <v>0.02</v>
      </c>
      <c r="G168" s="143">
        <v>7.0000000000000007E-2</v>
      </c>
      <c r="H168" s="143">
        <v>2</v>
      </c>
      <c r="I168" s="143">
        <f>E168</f>
        <v>5</v>
      </c>
      <c r="J168" s="133" t="s">
        <v>7</v>
      </c>
      <c r="K168" s="143">
        <f t="shared" ref="K168" si="32">(I168*H168)-D168</f>
        <v>10</v>
      </c>
      <c r="L168" s="127"/>
      <c r="M168" s="128"/>
      <c r="N168" s="128"/>
      <c r="O168" s="128"/>
      <c r="P168" s="128"/>
      <c r="Q168" s="129"/>
    </row>
    <row r="169" spans="1:17" ht="14" x14ac:dyDescent="0.15">
      <c r="A169" s="795" t="s">
        <v>149</v>
      </c>
      <c r="B169" s="817"/>
      <c r="C169" s="817"/>
      <c r="D169" s="817"/>
      <c r="E169" s="817"/>
      <c r="F169" s="817"/>
      <c r="G169" s="817"/>
      <c r="H169" s="817"/>
      <c r="I169" s="817"/>
      <c r="J169" s="796"/>
      <c r="K169" s="416">
        <f>SUM(K167:K168)</f>
        <v>234</v>
      </c>
      <c r="L169" s="134"/>
      <c r="M169" s="135"/>
      <c r="N169" s="135"/>
      <c r="O169" s="135"/>
      <c r="P169" s="135"/>
      <c r="Q169" s="136"/>
    </row>
    <row r="170" spans="1:17" x14ac:dyDescent="0.15">
      <c r="A170" s="790"/>
      <c r="B170" s="791"/>
      <c r="C170" s="791"/>
      <c r="D170" s="791"/>
      <c r="E170" s="791"/>
      <c r="F170" s="791"/>
      <c r="G170" s="791"/>
      <c r="H170" s="791"/>
      <c r="I170" s="791"/>
      <c r="J170" s="791"/>
      <c r="K170" s="791"/>
      <c r="L170" s="791"/>
      <c r="M170" s="791"/>
      <c r="N170" s="791"/>
      <c r="O170" s="791"/>
      <c r="P170" s="791"/>
      <c r="Q170" s="792"/>
    </row>
    <row r="171" spans="1:17" s="121" customFormat="1" ht="18" customHeight="1" x14ac:dyDescent="0.15">
      <c r="A171" s="218" t="s">
        <v>0</v>
      </c>
      <c r="B171" s="859" t="s">
        <v>1032</v>
      </c>
      <c r="C171" s="860"/>
      <c r="D171" s="860"/>
      <c r="E171" s="860"/>
      <c r="F171" s="860"/>
      <c r="G171" s="860"/>
      <c r="H171" s="860"/>
      <c r="I171" s="860"/>
      <c r="J171" s="860"/>
      <c r="K171" s="860"/>
      <c r="L171" s="860"/>
      <c r="M171" s="860"/>
      <c r="N171" s="860"/>
      <c r="O171" s="216" t="s">
        <v>73</v>
      </c>
      <c r="P171" s="795" t="s">
        <v>5</v>
      </c>
      <c r="Q171" s="796"/>
    </row>
    <row r="172" spans="1:17" x14ac:dyDescent="0.15">
      <c r="A172" s="790"/>
      <c r="B172" s="791"/>
      <c r="C172" s="791"/>
      <c r="D172" s="791"/>
      <c r="E172" s="791"/>
      <c r="F172" s="791"/>
      <c r="G172" s="791"/>
      <c r="H172" s="791"/>
      <c r="I172" s="791"/>
      <c r="J172" s="791"/>
      <c r="K172" s="791"/>
      <c r="L172" s="791"/>
      <c r="M172" s="791"/>
      <c r="N172" s="791"/>
      <c r="O172" s="791"/>
      <c r="P172" s="791"/>
      <c r="Q172" s="792"/>
    </row>
    <row r="173" spans="1:17" s="126" customFormat="1" ht="12.75" customHeight="1" x14ac:dyDescent="0.15">
      <c r="A173" s="822" t="s">
        <v>150</v>
      </c>
      <c r="B173" s="823" t="s">
        <v>151</v>
      </c>
      <c r="C173" s="823"/>
      <c r="D173" s="832" t="s">
        <v>241</v>
      </c>
      <c r="E173" s="823" t="s">
        <v>152</v>
      </c>
      <c r="F173" s="823"/>
      <c r="G173" s="823"/>
      <c r="H173" s="802" t="s">
        <v>153</v>
      </c>
      <c r="I173" s="802" t="s">
        <v>159</v>
      </c>
      <c r="J173" s="804" t="s">
        <v>73</v>
      </c>
      <c r="K173" s="216" t="s">
        <v>154</v>
      </c>
      <c r="L173" s="123"/>
      <c r="M173" s="124"/>
      <c r="N173" s="124"/>
      <c r="O173" s="124"/>
      <c r="P173" s="124"/>
      <c r="Q173" s="125"/>
    </row>
    <row r="174" spans="1:17" s="130" customFormat="1" x14ac:dyDescent="0.15">
      <c r="A174" s="822"/>
      <c r="B174" s="823"/>
      <c r="C174" s="823"/>
      <c r="D174" s="833"/>
      <c r="E174" s="217" t="s">
        <v>155</v>
      </c>
      <c r="F174" s="217" t="s">
        <v>156</v>
      </c>
      <c r="G174" s="217" t="s">
        <v>157</v>
      </c>
      <c r="H174" s="803"/>
      <c r="I174" s="803"/>
      <c r="J174" s="805"/>
      <c r="K174" s="216" t="s">
        <v>158</v>
      </c>
      <c r="L174" s="127"/>
      <c r="M174" s="128"/>
      <c r="N174" s="128"/>
      <c r="O174" s="128"/>
      <c r="P174" s="128"/>
      <c r="Q174" s="129"/>
    </row>
    <row r="175" spans="1:17" ht="29.25" customHeight="1" x14ac:dyDescent="0.15">
      <c r="A175" s="148"/>
      <c r="B175" s="788" t="s">
        <v>1028</v>
      </c>
      <c r="C175" s="789"/>
      <c r="D175" s="143">
        <f>+(233.8*2)+152.11+D136/2</f>
        <v>619.71</v>
      </c>
      <c r="E175" s="143">
        <v>0</v>
      </c>
      <c r="F175" s="143">
        <v>0</v>
      </c>
      <c r="G175" s="143">
        <v>0</v>
      </c>
      <c r="H175" s="143">
        <v>1</v>
      </c>
      <c r="I175" s="143">
        <f>D175</f>
        <v>619.71</v>
      </c>
      <c r="J175" s="133" t="s">
        <v>5</v>
      </c>
      <c r="K175" s="143">
        <f>I175*H175</f>
        <v>619.71</v>
      </c>
      <c r="L175" s="127"/>
      <c r="M175" s="128"/>
      <c r="N175" s="128"/>
      <c r="O175" s="128"/>
      <c r="P175" s="128"/>
      <c r="Q175" s="129"/>
    </row>
    <row r="176" spans="1:17" ht="14" x14ac:dyDescent="0.15">
      <c r="A176" s="795" t="s">
        <v>149</v>
      </c>
      <c r="B176" s="817"/>
      <c r="C176" s="817"/>
      <c r="D176" s="817"/>
      <c r="E176" s="817"/>
      <c r="F176" s="817"/>
      <c r="G176" s="817"/>
      <c r="H176" s="817"/>
      <c r="I176" s="817"/>
      <c r="J176" s="796"/>
      <c r="K176" s="416">
        <f>SUM(K175:K175)</f>
        <v>619.71</v>
      </c>
      <c r="L176" s="134"/>
      <c r="M176" s="135"/>
      <c r="N176" s="135"/>
      <c r="O176" s="135"/>
      <c r="P176" s="135"/>
      <c r="Q176" s="136"/>
    </row>
    <row r="177" spans="1:17" x14ac:dyDescent="0.15">
      <c r="A177" s="790"/>
      <c r="B177" s="791"/>
      <c r="C177" s="791"/>
      <c r="D177" s="791"/>
      <c r="E177" s="791"/>
      <c r="F177" s="791"/>
      <c r="G177" s="791"/>
      <c r="H177" s="791"/>
      <c r="I177" s="791"/>
      <c r="J177" s="791"/>
      <c r="K177" s="791"/>
      <c r="L177" s="791"/>
      <c r="M177" s="791"/>
      <c r="N177" s="791"/>
      <c r="O177" s="791"/>
      <c r="P177" s="791"/>
      <c r="Q177" s="792"/>
    </row>
    <row r="178" spans="1:17" s="121" customFormat="1" ht="18" customHeight="1" x14ac:dyDescent="0.15">
      <c r="A178" s="218" t="s">
        <v>0</v>
      </c>
      <c r="B178" s="859" t="s">
        <v>1030</v>
      </c>
      <c r="C178" s="860"/>
      <c r="D178" s="860"/>
      <c r="E178" s="860"/>
      <c r="F178" s="860"/>
      <c r="G178" s="860"/>
      <c r="H178" s="860"/>
      <c r="I178" s="860"/>
      <c r="J178" s="860"/>
      <c r="K178" s="860"/>
      <c r="L178" s="860"/>
      <c r="M178" s="860"/>
      <c r="N178" s="860"/>
      <c r="O178" s="216" t="s">
        <v>73</v>
      </c>
      <c r="P178" s="795" t="s">
        <v>193</v>
      </c>
      <c r="Q178" s="796"/>
    </row>
    <row r="179" spans="1:17" x14ac:dyDescent="0.15">
      <c r="A179" s="790"/>
      <c r="B179" s="791"/>
      <c r="C179" s="791"/>
      <c r="D179" s="791"/>
      <c r="E179" s="791"/>
      <c r="F179" s="791"/>
      <c r="G179" s="791"/>
      <c r="H179" s="791"/>
      <c r="I179" s="791"/>
      <c r="J179" s="791"/>
      <c r="K179" s="791"/>
      <c r="L179" s="791"/>
      <c r="M179" s="791"/>
      <c r="N179" s="791"/>
      <c r="O179" s="791"/>
      <c r="P179" s="791"/>
      <c r="Q179" s="792"/>
    </row>
    <row r="180" spans="1:17" s="126" customFormat="1" x14ac:dyDescent="0.15">
      <c r="A180" s="822" t="s">
        <v>150</v>
      </c>
      <c r="B180" s="823" t="s">
        <v>151</v>
      </c>
      <c r="C180" s="823"/>
      <c r="D180" s="832" t="s">
        <v>246</v>
      </c>
      <c r="E180" s="823" t="s">
        <v>152</v>
      </c>
      <c r="F180" s="823"/>
      <c r="G180" s="823"/>
      <c r="H180" s="802" t="s">
        <v>153</v>
      </c>
      <c r="I180" s="802" t="s">
        <v>242</v>
      </c>
      <c r="J180" s="804" t="s">
        <v>73</v>
      </c>
      <c r="K180" s="216" t="s">
        <v>154</v>
      </c>
      <c r="L180" s="123"/>
      <c r="M180" s="124"/>
      <c r="N180" s="124"/>
      <c r="O180" s="124"/>
      <c r="P180" s="124"/>
      <c r="Q180" s="125"/>
    </row>
    <row r="181" spans="1:17" s="130" customFormat="1" x14ac:dyDescent="0.15">
      <c r="A181" s="822"/>
      <c r="B181" s="823"/>
      <c r="C181" s="823"/>
      <c r="D181" s="833"/>
      <c r="E181" s="217" t="s">
        <v>155</v>
      </c>
      <c r="F181" s="217" t="s">
        <v>156</v>
      </c>
      <c r="G181" s="217" t="s">
        <v>157</v>
      </c>
      <c r="H181" s="803"/>
      <c r="I181" s="803"/>
      <c r="J181" s="805"/>
      <c r="K181" s="216" t="s">
        <v>158</v>
      </c>
      <c r="L181" s="127"/>
      <c r="M181" s="128"/>
      <c r="N181" s="128"/>
      <c r="O181" s="128"/>
      <c r="P181" s="128"/>
      <c r="Q181" s="129"/>
    </row>
    <row r="182" spans="1:17" ht="27" customHeight="1" x14ac:dyDescent="0.15">
      <c r="A182" s="148"/>
      <c r="B182" s="788" t="s">
        <v>1028</v>
      </c>
      <c r="C182" s="789"/>
      <c r="D182" s="149"/>
      <c r="E182" s="143">
        <v>84.14</v>
      </c>
      <c r="F182" s="672">
        <v>0</v>
      </c>
      <c r="G182" s="143">
        <v>0.2</v>
      </c>
      <c r="H182" s="143">
        <v>1</v>
      </c>
      <c r="I182" s="143">
        <f t="shared" ref="I182" si="33">E182</f>
        <v>84.14</v>
      </c>
      <c r="J182" s="133" t="s">
        <v>7</v>
      </c>
      <c r="K182" s="143">
        <f>I182*H182</f>
        <v>84.14</v>
      </c>
      <c r="L182" s="127"/>
      <c r="M182" s="128"/>
      <c r="N182" s="128"/>
      <c r="O182" s="128"/>
      <c r="P182" s="128"/>
      <c r="Q182" s="129"/>
    </row>
    <row r="183" spans="1:17" ht="14" x14ac:dyDescent="0.15">
      <c r="A183" s="795" t="s">
        <v>149</v>
      </c>
      <c r="B183" s="817"/>
      <c r="C183" s="817"/>
      <c r="D183" s="817"/>
      <c r="E183" s="817"/>
      <c r="F183" s="817"/>
      <c r="G183" s="817"/>
      <c r="H183" s="817"/>
      <c r="I183" s="817"/>
      <c r="J183" s="796"/>
      <c r="K183" s="416">
        <f>SUM(K182:K182)</f>
        <v>84.14</v>
      </c>
      <c r="L183" s="134"/>
      <c r="M183" s="135"/>
      <c r="N183" s="135"/>
      <c r="O183" s="135"/>
      <c r="P183" s="135"/>
      <c r="Q183" s="136"/>
    </row>
    <row r="184" spans="1:17" x14ac:dyDescent="0.15">
      <c r="A184" s="790"/>
      <c r="B184" s="791"/>
      <c r="C184" s="791"/>
      <c r="D184" s="791"/>
      <c r="E184" s="791"/>
      <c r="F184" s="791"/>
      <c r="G184" s="791"/>
      <c r="H184" s="791"/>
      <c r="I184" s="791"/>
      <c r="J184" s="791"/>
      <c r="K184" s="791"/>
      <c r="L184" s="791"/>
      <c r="M184" s="791"/>
      <c r="N184" s="791"/>
      <c r="O184" s="791"/>
      <c r="P184" s="791"/>
      <c r="Q184" s="792"/>
    </row>
    <row r="185" spans="1:17" s="121" customFormat="1" ht="18" customHeight="1" x14ac:dyDescent="0.15">
      <c r="A185" s="218" t="s">
        <v>0</v>
      </c>
      <c r="B185" s="859" t="s">
        <v>1031</v>
      </c>
      <c r="C185" s="860"/>
      <c r="D185" s="860"/>
      <c r="E185" s="860"/>
      <c r="F185" s="860"/>
      <c r="G185" s="860"/>
      <c r="H185" s="860"/>
      <c r="I185" s="860"/>
      <c r="J185" s="860"/>
      <c r="K185" s="860"/>
      <c r="L185" s="860"/>
      <c r="M185" s="860"/>
      <c r="N185" s="860"/>
      <c r="O185" s="216" t="s">
        <v>73</v>
      </c>
      <c r="P185" s="795" t="s">
        <v>5</v>
      </c>
      <c r="Q185" s="796"/>
    </row>
    <row r="186" spans="1:17" x14ac:dyDescent="0.15">
      <c r="A186" s="790"/>
      <c r="B186" s="791"/>
      <c r="C186" s="791"/>
      <c r="D186" s="791"/>
      <c r="E186" s="791"/>
      <c r="F186" s="791"/>
      <c r="G186" s="791"/>
      <c r="H186" s="791"/>
      <c r="I186" s="791"/>
      <c r="J186" s="791"/>
      <c r="K186" s="791"/>
      <c r="L186" s="791"/>
      <c r="M186" s="791"/>
      <c r="N186" s="791"/>
      <c r="O186" s="791"/>
      <c r="P186" s="791"/>
      <c r="Q186" s="792"/>
    </row>
    <row r="187" spans="1:17" s="126" customFormat="1" ht="12.75" customHeight="1" x14ac:dyDescent="0.15">
      <c r="A187" s="822" t="s">
        <v>150</v>
      </c>
      <c r="B187" s="823" t="s">
        <v>151</v>
      </c>
      <c r="C187" s="823"/>
      <c r="D187" s="832" t="s">
        <v>241</v>
      </c>
      <c r="E187" s="823" t="s">
        <v>152</v>
      </c>
      <c r="F187" s="823"/>
      <c r="G187" s="823"/>
      <c r="H187" s="802" t="s">
        <v>153</v>
      </c>
      <c r="I187" s="802" t="s">
        <v>159</v>
      </c>
      <c r="J187" s="804" t="s">
        <v>73</v>
      </c>
      <c r="K187" s="216" t="s">
        <v>154</v>
      </c>
      <c r="L187" s="123"/>
      <c r="M187" s="124"/>
      <c r="N187" s="124"/>
      <c r="O187" s="124"/>
      <c r="P187" s="124"/>
      <c r="Q187" s="125"/>
    </row>
    <row r="188" spans="1:17" s="130" customFormat="1" x14ac:dyDescent="0.15">
      <c r="A188" s="822"/>
      <c r="B188" s="823"/>
      <c r="C188" s="823"/>
      <c r="D188" s="833"/>
      <c r="E188" s="217" t="s">
        <v>155</v>
      </c>
      <c r="F188" s="217" t="s">
        <v>156</v>
      </c>
      <c r="G188" s="217" t="s">
        <v>157</v>
      </c>
      <c r="H188" s="803"/>
      <c r="I188" s="803"/>
      <c r="J188" s="805"/>
      <c r="K188" s="216" t="s">
        <v>158</v>
      </c>
      <c r="L188" s="127"/>
      <c r="M188" s="128"/>
      <c r="N188" s="128"/>
      <c r="O188" s="128"/>
      <c r="P188" s="128"/>
      <c r="Q188" s="129"/>
    </row>
    <row r="189" spans="1:17" ht="29.25" customHeight="1" x14ac:dyDescent="0.15">
      <c r="A189" s="148"/>
      <c r="B189" s="788" t="s">
        <v>1028</v>
      </c>
      <c r="C189" s="789"/>
      <c r="D189" s="143">
        <v>86.52</v>
      </c>
      <c r="E189" s="143">
        <v>0</v>
      </c>
      <c r="F189" s="143">
        <v>0</v>
      </c>
      <c r="G189" s="143">
        <v>0</v>
      </c>
      <c r="H189" s="143">
        <v>1</v>
      </c>
      <c r="I189" s="143">
        <f>D189</f>
        <v>86.52</v>
      </c>
      <c r="J189" s="133" t="s">
        <v>5</v>
      </c>
      <c r="K189" s="143">
        <f>I189*H189</f>
        <v>86.52</v>
      </c>
      <c r="L189" s="127"/>
      <c r="M189" s="128"/>
      <c r="N189" s="128"/>
      <c r="O189" s="128"/>
      <c r="P189" s="128"/>
      <c r="Q189" s="129"/>
    </row>
    <row r="190" spans="1:17" ht="14" x14ac:dyDescent="0.15">
      <c r="A190" s="795" t="s">
        <v>149</v>
      </c>
      <c r="B190" s="817"/>
      <c r="C190" s="817"/>
      <c r="D190" s="817"/>
      <c r="E190" s="817"/>
      <c r="F190" s="817"/>
      <c r="G190" s="817"/>
      <c r="H190" s="817"/>
      <c r="I190" s="817"/>
      <c r="J190" s="796"/>
      <c r="K190" s="416">
        <f>SUM(K189:K189)</f>
        <v>86.52</v>
      </c>
      <c r="L190" s="134"/>
      <c r="M190" s="135"/>
      <c r="N190" s="135"/>
      <c r="O190" s="135"/>
      <c r="P190" s="135"/>
      <c r="Q190" s="136"/>
    </row>
    <row r="191" spans="1:17" x14ac:dyDescent="0.15">
      <c r="A191" s="790"/>
      <c r="B191" s="791"/>
      <c r="C191" s="791"/>
      <c r="D191" s="791"/>
      <c r="E191" s="791"/>
      <c r="F191" s="791"/>
      <c r="G191" s="791"/>
      <c r="H191" s="791"/>
      <c r="I191" s="791"/>
      <c r="J191" s="791"/>
      <c r="K191" s="791"/>
      <c r="L191" s="791"/>
      <c r="M191" s="791"/>
      <c r="N191" s="791"/>
      <c r="O191" s="791"/>
      <c r="P191" s="791"/>
      <c r="Q191" s="792"/>
    </row>
    <row r="192" spans="1:17" s="121" customFormat="1" ht="18" customHeight="1" x14ac:dyDescent="0.15">
      <c r="A192" s="218" t="s">
        <v>0</v>
      </c>
      <c r="B192" s="859" t="s">
        <v>1104</v>
      </c>
      <c r="C192" s="860"/>
      <c r="D192" s="860"/>
      <c r="E192" s="860"/>
      <c r="F192" s="860"/>
      <c r="G192" s="860"/>
      <c r="H192" s="860"/>
      <c r="I192" s="860"/>
      <c r="J192" s="860"/>
      <c r="K192" s="860"/>
      <c r="L192" s="860"/>
      <c r="M192" s="860"/>
      <c r="N192" s="860"/>
      <c r="O192" s="216" t="s">
        <v>73</v>
      </c>
      <c r="P192" s="795" t="s">
        <v>5</v>
      </c>
      <c r="Q192" s="796"/>
    </row>
    <row r="193" spans="1:17" x14ac:dyDescent="0.15">
      <c r="A193" s="790"/>
      <c r="B193" s="791"/>
      <c r="C193" s="791"/>
      <c r="D193" s="791"/>
      <c r="E193" s="791"/>
      <c r="F193" s="791"/>
      <c r="G193" s="791"/>
      <c r="H193" s="791"/>
      <c r="I193" s="791"/>
      <c r="J193" s="791"/>
      <c r="K193" s="791"/>
      <c r="L193" s="791"/>
      <c r="M193" s="791"/>
      <c r="N193" s="791"/>
      <c r="O193" s="791"/>
      <c r="P193" s="791"/>
      <c r="Q193" s="792"/>
    </row>
    <row r="194" spans="1:17" s="126" customFormat="1" ht="12.75" customHeight="1" x14ac:dyDescent="0.15">
      <c r="A194" s="822" t="s">
        <v>150</v>
      </c>
      <c r="B194" s="823" t="s">
        <v>151</v>
      </c>
      <c r="C194" s="823"/>
      <c r="D194" s="832" t="s">
        <v>241</v>
      </c>
      <c r="E194" s="823" t="s">
        <v>152</v>
      </c>
      <c r="F194" s="823"/>
      <c r="G194" s="823"/>
      <c r="H194" s="802" t="s">
        <v>153</v>
      </c>
      <c r="I194" s="802" t="s">
        <v>159</v>
      </c>
      <c r="J194" s="804" t="s">
        <v>73</v>
      </c>
      <c r="K194" s="216" t="s">
        <v>154</v>
      </c>
      <c r="L194" s="123"/>
      <c r="M194" s="124"/>
      <c r="N194" s="124"/>
      <c r="O194" s="124"/>
      <c r="P194" s="124"/>
      <c r="Q194" s="125"/>
    </row>
    <row r="195" spans="1:17" s="130" customFormat="1" x14ac:dyDescent="0.15">
      <c r="A195" s="822"/>
      <c r="B195" s="823"/>
      <c r="C195" s="823"/>
      <c r="D195" s="833"/>
      <c r="E195" s="217" t="s">
        <v>155</v>
      </c>
      <c r="F195" s="217" t="s">
        <v>206</v>
      </c>
      <c r="G195" s="217" t="s">
        <v>1093</v>
      </c>
      <c r="H195" s="803"/>
      <c r="I195" s="803"/>
      <c r="J195" s="805"/>
      <c r="K195" s="216" t="s">
        <v>158</v>
      </c>
      <c r="L195" s="127"/>
      <c r="M195" s="128"/>
      <c r="N195" s="128"/>
      <c r="O195" s="128"/>
      <c r="P195" s="128"/>
      <c r="Q195" s="129"/>
    </row>
    <row r="196" spans="1:17" ht="20.25" customHeight="1" x14ac:dyDescent="0.15">
      <c r="A196" s="148"/>
      <c r="B196" s="815" t="s">
        <v>1083</v>
      </c>
      <c r="C196" s="816"/>
      <c r="D196" s="143">
        <v>0</v>
      </c>
      <c r="E196" s="143">
        <f>100.49-(33*0.25)</f>
        <v>92.24</v>
      </c>
      <c r="F196" s="143">
        <v>0</v>
      </c>
      <c r="G196" s="143">
        <v>2</v>
      </c>
      <c r="H196" s="143">
        <v>2</v>
      </c>
      <c r="I196" s="143">
        <f t="shared" ref="I196:I199" si="34">G196*E196</f>
        <v>184.48</v>
      </c>
      <c r="J196" s="133" t="s">
        <v>5</v>
      </c>
      <c r="K196" s="143">
        <f t="shared" ref="K196:K199" si="35">(I196*H196)-D196</f>
        <v>368.96</v>
      </c>
      <c r="L196" s="127"/>
      <c r="M196" s="128"/>
      <c r="N196" s="128"/>
      <c r="O196" s="128"/>
      <c r="P196" s="128"/>
      <c r="Q196" s="129"/>
    </row>
    <row r="197" spans="1:17" ht="20.25" customHeight="1" x14ac:dyDescent="0.15">
      <c r="A197" s="148"/>
      <c r="B197" s="788" t="s">
        <v>988</v>
      </c>
      <c r="C197" s="789"/>
      <c r="D197" s="143">
        <v>0</v>
      </c>
      <c r="E197" s="143">
        <v>0.2</v>
      </c>
      <c r="F197" s="143">
        <v>0</v>
      </c>
      <c r="G197" s="143">
        <v>2</v>
      </c>
      <c r="H197" s="143">
        <v>66</v>
      </c>
      <c r="I197" s="143">
        <f t="shared" si="34"/>
        <v>0.4</v>
      </c>
      <c r="J197" s="133" t="s">
        <v>5</v>
      </c>
      <c r="K197" s="143">
        <f t="shared" si="35"/>
        <v>26.400000000000002</v>
      </c>
      <c r="L197" s="127"/>
      <c r="M197" s="128"/>
      <c r="N197" s="128"/>
      <c r="O197" s="128"/>
      <c r="P197" s="128"/>
      <c r="Q197" s="129"/>
    </row>
    <row r="198" spans="1:17" ht="20.25" customHeight="1" x14ac:dyDescent="0.15">
      <c r="A198" s="148"/>
      <c r="B198" s="788" t="s">
        <v>1092</v>
      </c>
      <c r="C198" s="789"/>
      <c r="D198" s="143">
        <v>0</v>
      </c>
      <c r="E198" s="143">
        <v>100.49</v>
      </c>
      <c r="F198" s="143">
        <v>0</v>
      </c>
      <c r="G198" s="143">
        <v>0.6</v>
      </c>
      <c r="H198" s="143">
        <v>1</v>
      </c>
      <c r="I198" s="143">
        <f t="shared" si="34"/>
        <v>60.293999999999997</v>
      </c>
      <c r="J198" s="133" t="s">
        <v>5</v>
      </c>
      <c r="K198" s="143">
        <f t="shared" si="35"/>
        <v>60.293999999999997</v>
      </c>
      <c r="L198" s="127"/>
      <c r="M198" s="128"/>
      <c r="N198" s="128"/>
      <c r="O198" s="128"/>
      <c r="P198" s="128"/>
      <c r="Q198" s="129"/>
    </row>
    <row r="199" spans="1:17" ht="20.25" customHeight="1" x14ac:dyDescent="0.15">
      <c r="A199" s="148"/>
      <c r="B199" s="788" t="s">
        <v>1094</v>
      </c>
      <c r="C199" s="789"/>
      <c r="D199" s="143">
        <v>0</v>
      </c>
      <c r="E199" s="143">
        <v>100.49</v>
      </c>
      <c r="F199" s="143">
        <v>0</v>
      </c>
      <c r="G199" s="143">
        <v>0.1</v>
      </c>
      <c r="H199" s="143">
        <v>2</v>
      </c>
      <c r="I199" s="143">
        <f t="shared" si="34"/>
        <v>10.048999999999999</v>
      </c>
      <c r="J199" s="133" t="s">
        <v>5</v>
      </c>
      <c r="K199" s="143">
        <f t="shared" si="35"/>
        <v>20.097999999999999</v>
      </c>
      <c r="L199" s="127"/>
      <c r="M199" s="128"/>
      <c r="N199" s="128"/>
      <c r="O199" s="128"/>
      <c r="P199" s="128"/>
      <c r="Q199" s="129"/>
    </row>
    <row r="200" spans="1:17" ht="30.75" customHeight="1" x14ac:dyDescent="0.15">
      <c r="A200" s="148"/>
      <c r="B200" s="815" t="s">
        <v>1097</v>
      </c>
      <c r="C200" s="816"/>
      <c r="D200" s="143">
        <v>0</v>
      </c>
      <c r="E200" s="143">
        <v>7</v>
      </c>
      <c r="F200" s="143">
        <v>0</v>
      </c>
      <c r="G200" s="143">
        <v>7.0000000000000007E-2</v>
      </c>
      <c r="H200" s="143">
        <v>32</v>
      </c>
      <c r="I200" s="143">
        <f t="shared" ref="I200" si="36">G200*E200</f>
        <v>0.49000000000000005</v>
      </c>
      <c r="J200" s="133" t="s">
        <v>5</v>
      </c>
      <c r="K200" s="143">
        <f t="shared" ref="K200" si="37">(I200*H200)-D200</f>
        <v>15.680000000000001</v>
      </c>
      <c r="L200" s="127"/>
      <c r="M200" s="128"/>
      <c r="N200" s="128"/>
      <c r="O200" s="128"/>
      <c r="P200" s="128"/>
      <c r="Q200" s="129"/>
    </row>
    <row r="201" spans="1:17" ht="30.75" customHeight="1" x14ac:dyDescent="0.15">
      <c r="A201" s="148"/>
      <c r="B201" s="815" t="s">
        <v>1098</v>
      </c>
      <c r="C201" s="816"/>
      <c r="D201" s="143">
        <v>0</v>
      </c>
      <c r="E201" s="143">
        <v>5</v>
      </c>
      <c r="F201" s="143">
        <v>0</v>
      </c>
      <c r="G201" s="143">
        <v>7.0000000000000007E-2</v>
      </c>
      <c r="H201" s="143">
        <v>2</v>
      </c>
      <c r="I201" s="143">
        <f t="shared" ref="I201" si="38">G201*E201</f>
        <v>0.35000000000000003</v>
      </c>
      <c r="J201" s="133" t="s">
        <v>5</v>
      </c>
      <c r="K201" s="143">
        <f t="shared" ref="K201" si="39">(I201*H201)-D201</f>
        <v>0.70000000000000007</v>
      </c>
      <c r="L201" s="127"/>
      <c r="M201" s="128"/>
      <c r="N201" s="128"/>
      <c r="O201" s="128"/>
      <c r="P201" s="128"/>
      <c r="Q201" s="129"/>
    </row>
    <row r="202" spans="1:17" ht="14" x14ac:dyDescent="0.15">
      <c r="A202" s="795" t="s">
        <v>149</v>
      </c>
      <c r="B202" s="817"/>
      <c r="C202" s="817"/>
      <c r="D202" s="817"/>
      <c r="E202" s="817"/>
      <c r="F202" s="817"/>
      <c r="G202" s="817"/>
      <c r="H202" s="817"/>
      <c r="I202" s="817"/>
      <c r="J202" s="796"/>
      <c r="K202" s="416">
        <f>SUM(K196:K201)</f>
        <v>492.13199999999995</v>
      </c>
      <c r="L202" s="134"/>
      <c r="M202" s="135"/>
      <c r="N202" s="135"/>
      <c r="O202" s="135"/>
      <c r="P202" s="135"/>
      <c r="Q202" s="136"/>
    </row>
    <row r="203" spans="1:17" x14ac:dyDescent="0.15">
      <c r="A203" s="790"/>
      <c r="B203" s="791"/>
      <c r="C203" s="791"/>
      <c r="D203" s="791"/>
      <c r="E203" s="791"/>
      <c r="F203" s="791"/>
      <c r="G203" s="791"/>
      <c r="H203" s="791"/>
      <c r="I203" s="791"/>
      <c r="J203" s="791"/>
      <c r="K203" s="791"/>
      <c r="L203" s="791"/>
      <c r="M203" s="791"/>
      <c r="N203" s="791"/>
      <c r="O203" s="791"/>
      <c r="P203" s="791"/>
      <c r="Q203" s="792"/>
    </row>
    <row r="204" spans="1:17" s="121" customFormat="1" ht="18" customHeight="1" x14ac:dyDescent="0.15">
      <c r="A204" s="218" t="s">
        <v>0</v>
      </c>
      <c r="B204" s="843" t="s">
        <v>1035</v>
      </c>
      <c r="C204" s="844"/>
      <c r="D204" s="844"/>
      <c r="E204" s="844"/>
      <c r="F204" s="844"/>
      <c r="G204" s="844"/>
      <c r="H204" s="844"/>
      <c r="I204" s="844"/>
      <c r="J204" s="844"/>
      <c r="K204" s="844"/>
      <c r="L204" s="844"/>
      <c r="M204" s="844"/>
      <c r="N204" s="844"/>
      <c r="O204" s="216" t="s">
        <v>73</v>
      </c>
      <c r="P204" s="795" t="s">
        <v>19</v>
      </c>
      <c r="Q204" s="796"/>
    </row>
    <row r="205" spans="1:17" x14ac:dyDescent="0.15">
      <c r="A205" s="790"/>
      <c r="B205" s="791"/>
      <c r="C205" s="791"/>
      <c r="D205" s="791"/>
      <c r="E205" s="791"/>
      <c r="F205" s="791"/>
      <c r="G205" s="791"/>
      <c r="H205" s="791"/>
      <c r="I205" s="791"/>
      <c r="J205" s="791"/>
      <c r="K205" s="791"/>
      <c r="L205" s="791"/>
      <c r="M205" s="791"/>
      <c r="N205" s="791"/>
      <c r="O205" s="791"/>
      <c r="P205" s="791"/>
      <c r="Q205" s="792"/>
    </row>
    <row r="206" spans="1:17" s="126" customFormat="1" x14ac:dyDescent="0.15">
      <c r="A206" s="822" t="s">
        <v>150</v>
      </c>
      <c r="B206" s="823" t="s">
        <v>151</v>
      </c>
      <c r="C206" s="823"/>
      <c r="D206" s="802" t="s">
        <v>165</v>
      </c>
      <c r="E206" s="823" t="s">
        <v>152</v>
      </c>
      <c r="F206" s="823"/>
      <c r="G206" s="823"/>
      <c r="H206" s="802" t="s">
        <v>153</v>
      </c>
      <c r="I206" s="802" t="s">
        <v>479</v>
      </c>
      <c r="J206" s="804" t="s">
        <v>73</v>
      </c>
      <c r="K206" s="216" t="s">
        <v>154</v>
      </c>
      <c r="L206" s="123"/>
      <c r="M206" s="124"/>
      <c r="N206" s="124"/>
      <c r="O206" s="124"/>
      <c r="P206" s="124"/>
      <c r="Q206" s="125"/>
    </row>
    <row r="207" spans="1:17" s="130" customFormat="1" x14ac:dyDescent="0.15">
      <c r="A207" s="822"/>
      <c r="B207" s="823"/>
      <c r="C207" s="823"/>
      <c r="D207" s="803"/>
      <c r="E207" s="217" t="s">
        <v>155</v>
      </c>
      <c r="F207" s="217" t="s">
        <v>156</v>
      </c>
      <c r="G207" s="217" t="s">
        <v>157</v>
      </c>
      <c r="H207" s="803"/>
      <c r="I207" s="803"/>
      <c r="J207" s="805"/>
      <c r="K207" s="216" t="s">
        <v>158</v>
      </c>
      <c r="L207" s="127"/>
      <c r="M207" s="128"/>
      <c r="N207" s="128"/>
      <c r="O207" s="128"/>
      <c r="P207" s="128"/>
      <c r="Q207" s="129"/>
    </row>
    <row r="208" spans="1:17" ht="27.75" customHeight="1" x14ac:dyDescent="0.15">
      <c r="A208" s="148"/>
      <c r="B208" s="788" t="s">
        <v>1028</v>
      </c>
      <c r="C208" s="789"/>
      <c r="D208" s="143" t="s">
        <v>19</v>
      </c>
      <c r="E208" s="143">
        <v>0</v>
      </c>
      <c r="F208" s="143">
        <v>0</v>
      </c>
      <c r="G208" s="143">
        <v>0</v>
      </c>
      <c r="H208" s="143">
        <v>1</v>
      </c>
      <c r="I208" s="143">
        <v>1</v>
      </c>
      <c r="J208" s="133" t="s">
        <v>19</v>
      </c>
      <c r="K208" s="143">
        <f>I208*H208</f>
        <v>1</v>
      </c>
      <c r="L208" s="127"/>
      <c r="M208" s="128"/>
      <c r="N208" s="128"/>
      <c r="O208" s="128"/>
      <c r="P208" s="128"/>
      <c r="Q208" s="129"/>
    </row>
    <row r="209" spans="1:17" ht="14" x14ac:dyDescent="0.15">
      <c r="A209" s="795" t="s">
        <v>149</v>
      </c>
      <c r="B209" s="817"/>
      <c r="C209" s="817"/>
      <c r="D209" s="817"/>
      <c r="E209" s="817"/>
      <c r="F209" s="817"/>
      <c r="G209" s="817"/>
      <c r="H209" s="817"/>
      <c r="I209" s="817"/>
      <c r="J209" s="796"/>
      <c r="K209" s="416">
        <f>SUM(K208:K208)</f>
        <v>1</v>
      </c>
      <c r="L209" s="134"/>
      <c r="M209" s="135"/>
      <c r="N209" s="135"/>
      <c r="O209" s="135"/>
      <c r="P209" s="135"/>
      <c r="Q209" s="136"/>
    </row>
    <row r="210" spans="1:17" x14ac:dyDescent="0.15">
      <c r="A210" s="790"/>
      <c r="B210" s="791"/>
      <c r="C210" s="791"/>
      <c r="D210" s="791"/>
      <c r="E210" s="791"/>
      <c r="F210" s="791"/>
      <c r="G210" s="791"/>
      <c r="H210" s="791"/>
      <c r="I210" s="791"/>
      <c r="J210" s="791"/>
      <c r="K210" s="791"/>
      <c r="L210" s="791"/>
      <c r="M210" s="791"/>
      <c r="N210" s="791"/>
      <c r="O210" s="791"/>
      <c r="P210" s="791"/>
      <c r="Q210" s="792"/>
    </row>
    <row r="211" spans="1:17" s="121" customFormat="1" ht="18" customHeight="1" x14ac:dyDescent="0.15">
      <c r="A211" s="218" t="s">
        <v>0</v>
      </c>
      <c r="B211" s="843" t="s">
        <v>1039</v>
      </c>
      <c r="C211" s="844"/>
      <c r="D211" s="844"/>
      <c r="E211" s="844"/>
      <c r="F211" s="844"/>
      <c r="G211" s="844"/>
      <c r="H211" s="844"/>
      <c r="I211" s="844"/>
      <c r="J211" s="844"/>
      <c r="K211" s="844"/>
      <c r="L211" s="844"/>
      <c r="M211" s="844"/>
      <c r="N211" s="844"/>
      <c r="O211" s="216" t="s">
        <v>73</v>
      </c>
      <c r="P211" s="795" t="s">
        <v>319</v>
      </c>
      <c r="Q211" s="796"/>
    </row>
    <row r="212" spans="1:17" x14ac:dyDescent="0.15">
      <c r="A212" s="790"/>
      <c r="B212" s="791"/>
      <c r="C212" s="791"/>
      <c r="D212" s="791"/>
      <c r="E212" s="791"/>
      <c r="F212" s="791"/>
      <c r="G212" s="791"/>
      <c r="H212" s="791"/>
      <c r="I212" s="791"/>
      <c r="J212" s="791"/>
      <c r="K212" s="791"/>
      <c r="L212" s="791"/>
      <c r="M212" s="791"/>
      <c r="N212" s="791"/>
      <c r="O212" s="791"/>
      <c r="P212" s="791"/>
      <c r="Q212" s="792"/>
    </row>
    <row r="213" spans="1:17" s="126" customFormat="1" ht="12.75" customHeight="1" x14ac:dyDescent="0.15">
      <c r="A213" s="822" t="s">
        <v>150</v>
      </c>
      <c r="B213" s="823" t="s">
        <v>151</v>
      </c>
      <c r="C213" s="823"/>
      <c r="D213" s="802"/>
      <c r="E213" s="823" t="s">
        <v>152</v>
      </c>
      <c r="F213" s="823"/>
      <c r="G213" s="823"/>
      <c r="H213" s="802" t="s">
        <v>153</v>
      </c>
      <c r="I213" s="802" t="s">
        <v>479</v>
      </c>
      <c r="J213" s="804" t="s">
        <v>73</v>
      </c>
      <c r="K213" s="216" t="s">
        <v>154</v>
      </c>
      <c r="L213" s="123"/>
      <c r="M213" s="124"/>
      <c r="N213" s="124"/>
      <c r="O213" s="124"/>
      <c r="P213" s="124"/>
      <c r="Q213" s="125"/>
    </row>
    <row r="214" spans="1:17" s="130" customFormat="1" x14ac:dyDescent="0.15">
      <c r="A214" s="822"/>
      <c r="B214" s="823"/>
      <c r="C214" s="823"/>
      <c r="D214" s="803"/>
      <c r="E214" s="217" t="s">
        <v>155</v>
      </c>
      <c r="F214" s="217" t="s">
        <v>156</v>
      </c>
      <c r="G214" s="217" t="s">
        <v>157</v>
      </c>
      <c r="H214" s="803"/>
      <c r="I214" s="803"/>
      <c r="J214" s="805"/>
      <c r="K214" s="216" t="s">
        <v>158</v>
      </c>
      <c r="L214" s="127"/>
      <c r="M214" s="128"/>
      <c r="N214" s="128"/>
      <c r="O214" s="128"/>
      <c r="P214" s="128"/>
      <c r="Q214" s="129"/>
    </row>
    <row r="215" spans="1:17" ht="21" customHeight="1" x14ac:dyDescent="0.15">
      <c r="A215" s="148"/>
      <c r="B215" s="788" t="s">
        <v>1038</v>
      </c>
      <c r="C215" s="789"/>
      <c r="D215" s="143"/>
      <c r="E215" s="143">
        <v>0</v>
      </c>
      <c r="F215" s="143">
        <v>0</v>
      </c>
      <c r="G215" s="143">
        <v>0</v>
      </c>
      <c r="H215" s="143">
        <v>1</v>
      </c>
      <c r="I215" s="143">
        <v>1</v>
      </c>
      <c r="J215" s="133" t="s">
        <v>319</v>
      </c>
      <c r="K215" s="143">
        <f>I215*H215</f>
        <v>1</v>
      </c>
      <c r="L215" s="127"/>
      <c r="M215" s="128"/>
      <c r="N215" s="128"/>
      <c r="O215" s="128"/>
      <c r="P215" s="128"/>
      <c r="Q215" s="129"/>
    </row>
    <row r="216" spans="1:17" ht="14" x14ac:dyDescent="0.15">
      <c r="A216" s="795" t="s">
        <v>149</v>
      </c>
      <c r="B216" s="817"/>
      <c r="C216" s="817"/>
      <c r="D216" s="817"/>
      <c r="E216" s="817"/>
      <c r="F216" s="817"/>
      <c r="G216" s="817"/>
      <c r="H216" s="817"/>
      <c r="I216" s="817"/>
      <c r="J216" s="796"/>
      <c r="K216" s="416">
        <f>SUM(K215:K215)</f>
        <v>1</v>
      </c>
      <c r="L216" s="134"/>
      <c r="M216" s="135"/>
      <c r="N216" s="135"/>
      <c r="O216" s="135"/>
      <c r="P216" s="135"/>
      <c r="Q216" s="136"/>
    </row>
    <row r="217" spans="1:17" x14ac:dyDescent="0.15">
      <c r="A217" s="790"/>
      <c r="B217" s="791"/>
      <c r="C217" s="791"/>
      <c r="D217" s="791"/>
      <c r="E217" s="791"/>
      <c r="F217" s="791"/>
      <c r="G217" s="791"/>
      <c r="H217" s="791"/>
      <c r="I217" s="791"/>
      <c r="J217" s="791"/>
      <c r="K217" s="791"/>
      <c r="L217" s="791"/>
      <c r="M217" s="791"/>
      <c r="N217" s="791"/>
      <c r="O217" s="791"/>
      <c r="P217" s="791"/>
      <c r="Q217" s="792"/>
    </row>
    <row r="218" spans="1:17" s="121" customFormat="1" ht="18" customHeight="1" x14ac:dyDescent="0.15">
      <c r="A218" s="218" t="s">
        <v>0</v>
      </c>
      <c r="B218" s="841" t="s">
        <v>1040</v>
      </c>
      <c r="C218" s="842"/>
      <c r="D218" s="842"/>
      <c r="E218" s="842"/>
      <c r="F218" s="842"/>
      <c r="G218" s="842"/>
      <c r="H218" s="842"/>
      <c r="I218" s="842"/>
      <c r="J218" s="842"/>
      <c r="K218" s="842"/>
      <c r="L218" s="842"/>
      <c r="M218" s="842"/>
      <c r="N218" s="842"/>
      <c r="O218" s="216" t="s">
        <v>73</v>
      </c>
      <c r="P218" s="795" t="s">
        <v>19</v>
      </c>
      <c r="Q218" s="796"/>
    </row>
    <row r="219" spans="1:17" x14ac:dyDescent="0.15">
      <c r="A219" s="790"/>
      <c r="B219" s="791"/>
      <c r="C219" s="791"/>
      <c r="D219" s="791"/>
      <c r="E219" s="791"/>
      <c r="F219" s="791"/>
      <c r="G219" s="791"/>
      <c r="H219" s="791"/>
      <c r="I219" s="791"/>
      <c r="J219" s="791"/>
      <c r="K219" s="791"/>
      <c r="L219" s="791"/>
      <c r="M219" s="791"/>
      <c r="N219" s="791"/>
      <c r="O219" s="791"/>
      <c r="P219" s="791"/>
      <c r="Q219" s="792"/>
    </row>
    <row r="220" spans="1:17" s="126" customFormat="1" x14ac:dyDescent="0.15">
      <c r="A220" s="822" t="s">
        <v>150</v>
      </c>
      <c r="B220" s="823" t="s">
        <v>151</v>
      </c>
      <c r="C220" s="823"/>
      <c r="D220" s="802" t="s">
        <v>165</v>
      </c>
      <c r="E220" s="823" t="s">
        <v>152</v>
      </c>
      <c r="F220" s="823"/>
      <c r="G220" s="823"/>
      <c r="H220" s="802" t="s">
        <v>153</v>
      </c>
      <c r="I220" s="802" t="s">
        <v>479</v>
      </c>
      <c r="J220" s="804" t="s">
        <v>73</v>
      </c>
      <c r="K220" s="216" t="s">
        <v>154</v>
      </c>
      <c r="L220" s="123"/>
      <c r="M220" s="124"/>
      <c r="N220" s="124"/>
      <c r="O220" s="124"/>
      <c r="P220" s="124"/>
      <c r="Q220" s="125"/>
    </row>
    <row r="221" spans="1:17" s="130" customFormat="1" x14ac:dyDescent="0.15">
      <c r="A221" s="822"/>
      <c r="B221" s="823"/>
      <c r="C221" s="823"/>
      <c r="D221" s="803"/>
      <c r="E221" s="217" t="s">
        <v>155</v>
      </c>
      <c r="F221" s="217" t="s">
        <v>156</v>
      </c>
      <c r="G221" s="217" t="s">
        <v>157</v>
      </c>
      <c r="H221" s="803"/>
      <c r="I221" s="803"/>
      <c r="J221" s="805"/>
      <c r="K221" s="216" t="s">
        <v>158</v>
      </c>
      <c r="L221" s="127"/>
      <c r="M221" s="128"/>
      <c r="N221" s="128"/>
      <c r="O221" s="128"/>
      <c r="P221" s="128"/>
      <c r="Q221" s="129"/>
    </row>
    <row r="222" spans="1:17" ht="27.75" customHeight="1" x14ac:dyDescent="0.15">
      <c r="A222" s="148"/>
      <c r="B222" s="788" t="s">
        <v>1028</v>
      </c>
      <c r="C222" s="789"/>
      <c r="D222" s="143" t="s">
        <v>19</v>
      </c>
      <c r="E222" s="143">
        <v>0</v>
      </c>
      <c r="F222" s="143">
        <v>0</v>
      </c>
      <c r="G222" s="143">
        <v>0</v>
      </c>
      <c r="H222" s="143">
        <v>1</v>
      </c>
      <c r="I222" s="143">
        <v>1</v>
      </c>
      <c r="J222" s="133" t="s">
        <v>19</v>
      </c>
      <c r="K222" s="143">
        <f>I222*H222</f>
        <v>1</v>
      </c>
      <c r="L222" s="127"/>
      <c r="M222" s="128"/>
      <c r="N222" s="128"/>
      <c r="O222" s="128"/>
      <c r="P222" s="128"/>
      <c r="Q222" s="129"/>
    </row>
    <row r="223" spans="1:17" ht="14" x14ac:dyDescent="0.15">
      <c r="A223" s="795" t="s">
        <v>149</v>
      </c>
      <c r="B223" s="817"/>
      <c r="C223" s="817"/>
      <c r="D223" s="817"/>
      <c r="E223" s="817"/>
      <c r="F223" s="817"/>
      <c r="G223" s="817"/>
      <c r="H223" s="817"/>
      <c r="I223" s="817"/>
      <c r="J223" s="796"/>
      <c r="K223" s="416">
        <f>SUM(K222:K222)</f>
        <v>1</v>
      </c>
      <c r="L223" s="134"/>
      <c r="M223" s="135"/>
      <c r="N223" s="135"/>
      <c r="O223" s="135"/>
      <c r="P223" s="135"/>
      <c r="Q223" s="136"/>
    </row>
    <row r="224" spans="1:17" x14ac:dyDescent="0.15">
      <c r="A224" s="790"/>
      <c r="B224" s="791"/>
      <c r="C224" s="791"/>
      <c r="D224" s="791"/>
      <c r="E224" s="791"/>
      <c r="F224" s="791"/>
      <c r="G224" s="791"/>
      <c r="H224" s="791"/>
      <c r="I224" s="791"/>
      <c r="J224" s="791"/>
      <c r="K224" s="791"/>
      <c r="L224" s="791"/>
      <c r="M224" s="791"/>
      <c r="N224" s="791"/>
      <c r="O224" s="791"/>
      <c r="P224" s="791"/>
      <c r="Q224" s="792"/>
    </row>
    <row r="225" spans="1:17" s="121" customFormat="1" ht="18" customHeight="1" x14ac:dyDescent="0.15">
      <c r="A225" s="218" t="s">
        <v>0</v>
      </c>
      <c r="B225" s="841" t="s">
        <v>1041</v>
      </c>
      <c r="C225" s="842"/>
      <c r="D225" s="842"/>
      <c r="E225" s="842"/>
      <c r="F225" s="842"/>
      <c r="G225" s="842"/>
      <c r="H225" s="842"/>
      <c r="I225" s="842"/>
      <c r="J225" s="842"/>
      <c r="K225" s="842"/>
      <c r="L225" s="842"/>
      <c r="M225" s="842"/>
      <c r="N225" s="842"/>
      <c r="O225" s="216" t="s">
        <v>73</v>
      </c>
      <c r="P225" s="795" t="s">
        <v>319</v>
      </c>
      <c r="Q225" s="796"/>
    </row>
    <row r="226" spans="1:17" x14ac:dyDescent="0.15">
      <c r="A226" s="790"/>
      <c r="B226" s="791"/>
      <c r="C226" s="791"/>
      <c r="D226" s="791"/>
      <c r="E226" s="791"/>
      <c r="F226" s="791"/>
      <c r="G226" s="791"/>
      <c r="H226" s="791"/>
      <c r="I226" s="791"/>
      <c r="J226" s="791"/>
      <c r="K226" s="791"/>
      <c r="L226" s="791"/>
      <c r="M226" s="791"/>
      <c r="N226" s="791"/>
      <c r="O226" s="791"/>
      <c r="P226" s="791"/>
      <c r="Q226" s="792"/>
    </row>
    <row r="227" spans="1:17" s="126" customFormat="1" ht="12.75" customHeight="1" x14ac:dyDescent="0.15">
      <c r="A227" s="822" t="s">
        <v>150</v>
      </c>
      <c r="B227" s="823" t="s">
        <v>151</v>
      </c>
      <c r="C227" s="823"/>
      <c r="D227" s="802"/>
      <c r="E227" s="823" t="s">
        <v>152</v>
      </c>
      <c r="F227" s="823"/>
      <c r="G227" s="823"/>
      <c r="H227" s="802" t="s">
        <v>153</v>
      </c>
      <c r="I227" s="802" t="s">
        <v>479</v>
      </c>
      <c r="J227" s="804" t="s">
        <v>73</v>
      </c>
      <c r="K227" s="216" t="s">
        <v>154</v>
      </c>
      <c r="L227" s="123"/>
      <c r="M227" s="124"/>
      <c r="N227" s="124"/>
      <c r="O227" s="124"/>
      <c r="P227" s="124"/>
      <c r="Q227" s="125"/>
    </row>
    <row r="228" spans="1:17" s="130" customFormat="1" x14ac:dyDescent="0.15">
      <c r="A228" s="822"/>
      <c r="B228" s="823"/>
      <c r="C228" s="823"/>
      <c r="D228" s="803"/>
      <c r="E228" s="217" t="s">
        <v>155</v>
      </c>
      <c r="F228" s="217" t="s">
        <v>156</v>
      </c>
      <c r="G228" s="217" t="s">
        <v>157</v>
      </c>
      <c r="H228" s="803"/>
      <c r="I228" s="803"/>
      <c r="J228" s="805"/>
      <c r="K228" s="216" t="s">
        <v>158</v>
      </c>
      <c r="L228" s="127"/>
      <c r="M228" s="128"/>
      <c r="N228" s="128"/>
      <c r="O228" s="128"/>
      <c r="P228" s="128"/>
      <c r="Q228" s="129"/>
    </row>
    <row r="229" spans="1:17" ht="28.5" customHeight="1" x14ac:dyDescent="0.15">
      <c r="A229" s="148"/>
      <c r="B229" s="788" t="s">
        <v>1042</v>
      </c>
      <c r="C229" s="789"/>
      <c r="D229" s="143"/>
      <c r="E229" s="143">
        <v>0</v>
      </c>
      <c r="F229" s="143">
        <v>0</v>
      </c>
      <c r="G229" s="143">
        <v>0</v>
      </c>
      <c r="H229" s="143">
        <v>1</v>
      </c>
      <c r="I229" s="143">
        <v>1</v>
      </c>
      <c r="J229" s="133" t="s">
        <v>319</v>
      </c>
      <c r="K229" s="143">
        <f>I229*H229</f>
        <v>1</v>
      </c>
      <c r="L229" s="127"/>
      <c r="M229" s="128"/>
      <c r="N229" s="128"/>
      <c r="O229" s="128"/>
      <c r="P229" s="128"/>
      <c r="Q229" s="129"/>
    </row>
    <row r="230" spans="1:17" ht="14" x14ac:dyDescent="0.15">
      <c r="A230" s="795" t="s">
        <v>149</v>
      </c>
      <c r="B230" s="817"/>
      <c r="C230" s="817"/>
      <c r="D230" s="817"/>
      <c r="E230" s="817"/>
      <c r="F230" s="817"/>
      <c r="G230" s="817"/>
      <c r="H230" s="817"/>
      <c r="I230" s="817"/>
      <c r="J230" s="796"/>
      <c r="K230" s="416">
        <f>SUM(K229:K229)</f>
        <v>1</v>
      </c>
      <c r="L230" s="134"/>
      <c r="M230" s="135"/>
      <c r="N230" s="135"/>
      <c r="O230" s="135"/>
      <c r="P230" s="135"/>
      <c r="Q230" s="136"/>
    </row>
    <row r="231" spans="1:17" x14ac:dyDescent="0.15">
      <c r="A231" s="790"/>
      <c r="B231" s="791"/>
      <c r="C231" s="791"/>
      <c r="D231" s="791"/>
      <c r="E231" s="791"/>
      <c r="F231" s="791"/>
      <c r="G231" s="791"/>
      <c r="H231" s="791"/>
      <c r="I231" s="791"/>
      <c r="J231" s="791"/>
      <c r="K231" s="791"/>
      <c r="L231" s="791"/>
      <c r="M231" s="791"/>
      <c r="N231" s="791"/>
      <c r="O231" s="791"/>
      <c r="P231" s="791"/>
      <c r="Q231" s="792"/>
    </row>
    <row r="232" spans="1:17" s="121" customFormat="1" ht="18" customHeight="1" x14ac:dyDescent="0.15">
      <c r="A232" s="218" t="s">
        <v>0</v>
      </c>
      <c r="B232" s="841" t="s">
        <v>1043</v>
      </c>
      <c r="C232" s="842"/>
      <c r="D232" s="842"/>
      <c r="E232" s="842"/>
      <c r="F232" s="842"/>
      <c r="G232" s="842"/>
      <c r="H232" s="842"/>
      <c r="I232" s="842"/>
      <c r="J232" s="842"/>
      <c r="K232" s="842"/>
      <c r="L232" s="842"/>
      <c r="M232" s="842"/>
      <c r="N232" s="842"/>
      <c r="O232" s="216" t="s">
        <v>73</v>
      </c>
      <c r="P232" s="795" t="s">
        <v>319</v>
      </c>
      <c r="Q232" s="796"/>
    </row>
    <row r="233" spans="1:17" x14ac:dyDescent="0.15">
      <c r="A233" s="790"/>
      <c r="B233" s="791"/>
      <c r="C233" s="791"/>
      <c r="D233" s="791"/>
      <c r="E233" s="791"/>
      <c r="F233" s="791"/>
      <c r="G233" s="791"/>
      <c r="H233" s="791"/>
      <c r="I233" s="791"/>
      <c r="J233" s="791"/>
      <c r="K233" s="791"/>
      <c r="L233" s="791"/>
      <c r="M233" s="791"/>
      <c r="N233" s="791"/>
      <c r="O233" s="791"/>
      <c r="P233" s="791"/>
      <c r="Q233" s="792"/>
    </row>
    <row r="234" spans="1:17" s="126" customFormat="1" ht="12.75" customHeight="1" x14ac:dyDescent="0.15">
      <c r="A234" s="822" t="s">
        <v>150</v>
      </c>
      <c r="B234" s="823" t="s">
        <v>151</v>
      </c>
      <c r="C234" s="823"/>
      <c r="D234" s="802"/>
      <c r="E234" s="823" t="s">
        <v>152</v>
      </c>
      <c r="F234" s="823"/>
      <c r="G234" s="823"/>
      <c r="H234" s="802" t="s">
        <v>153</v>
      </c>
      <c r="I234" s="802" t="s">
        <v>479</v>
      </c>
      <c r="J234" s="804" t="s">
        <v>73</v>
      </c>
      <c r="K234" s="216" t="s">
        <v>154</v>
      </c>
      <c r="L234" s="123"/>
      <c r="M234" s="124"/>
      <c r="N234" s="124"/>
      <c r="O234" s="124"/>
      <c r="P234" s="124"/>
      <c r="Q234" s="125"/>
    </row>
    <row r="235" spans="1:17" s="130" customFormat="1" x14ac:dyDescent="0.15">
      <c r="A235" s="822"/>
      <c r="B235" s="823"/>
      <c r="C235" s="823"/>
      <c r="D235" s="803"/>
      <c r="E235" s="217" t="s">
        <v>155</v>
      </c>
      <c r="F235" s="217" t="s">
        <v>156</v>
      </c>
      <c r="G235" s="217" t="s">
        <v>157</v>
      </c>
      <c r="H235" s="803"/>
      <c r="I235" s="803"/>
      <c r="J235" s="805"/>
      <c r="K235" s="216" t="s">
        <v>158</v>
      </c>
      <c r="L235" s="127"/>
      <c r="M235" s="128"/>
      <c r="N235" s="128"/>
      <c r="O235" s="128"/>
      <c r="P235" s="128"/>
      <c r="Q235" s="129"/>
    </row>
    <row r="236" spans="1:17" ht="21" customHeight="1" x14ac:dyDescent="0.15">
      <c r="A236" s="148"/>
      <c r="B236" s="788" t="s">
        <v>1044</v>
      </c>
      <c r="C236" s="789"/>
      <c r="D236" s="143"/>
      <c r="E236" s="143">
        <v>2.2999999999999998</v>
      </c>
      <c r="F236" s="143">
        <v>1.25</v>
      </c>
      <c r="G236" s="143">
        <v>1.1499999999999999</v>
      </c>
      <c r="H236" s="143">
        <v>1</v>
      </c>
      <c r="I236" s="143">
        <v>1</v>
      </c>
      <c r="J236" s="133" t="s">
        <v>319</v>
      </c>
      <c r="K236" s="143">
        <f>I236*H236</f>
        <v>1</v>
      </c>
      <c r="L236" s="127"/>
      <c r="M236" s="128"/>
      <c r="N236" s="128"/>
      <c r="O236" s="128"/>
      <c r="P236" s="128"/>
      <c r="Q236" s="129"/>
    </row>
    <row r="237" spans="1:17" ht="14" x14ac:dyDescent="0.15">
      <c r="A237" s="795" t="s">
        <v>149</v>
      </c>
      <c r="B237" s="817"/>
      <c r="C237" s="817"/>
      <c r="D237" s="817"/>
      <c r="E237" s="817"/>
      <c r="F237" s="817"/>
      <c r="G237" s="817"/>
      <c r="H237" s="817"/>
      <c r="I237" s="817"/>
      <c r="J237" s="796"/>
      <c r="K237" s="416">
        <f>SUM(K236:K236)</f>
        <v>1</v>
      </c>
      <c r="L237" s="134"/>
      <c r="M237" s="135"/>
      <c r="N237" s="135"/>
      <c r="O237" s="135"/>
      <c r="P237" s="135"/>
      <c r="Q237" s="136"/>
    </row>
    <row r="238" spans="1:17" x14ac:dyDescent="0.15">
      <c r="A238" s="790"/>
      <c r="B238" s="791"/>
      <c r="C238" s="791"/>
      <c r="D238" s="791"/>
      <c r="E238" s="791"/>
      <c r="F238" s="791"/>
      <c r="G238" s="791"/>
      <c r="H238" s="791"/>
      <c r="I238" s="791"/>
      <c r="J238" s="791"/>
      <c r="K238" s="791"/>
      <c r="L238" s="791"/>
      <c r="M238" s="791"/>
      <c r="N238" s="791"/>
      <c r="O238" s="791"/>
      <c r="P238" s="791"/>
      <c r="Q238" s="792"/>
    </row>
    <row r="239" spans="1:17" s="121" customFormat="1" ht="21.75" customHeight="1" x14ac:dyDescent="0.15">
      <c r="A239" s="218" t="s">
        <v>0</v>
      </c>
      <c r="B239" s="845" t="s">
        <v>1045</v>
      </c>
      <c r="C239" s="846"/>
      <c r="D239" s="846"/>
      <c r="E239" s="846"/>
      <c r="F239" s="846"/>
      <c r="G239" s="846"/>
      <c r="H239" s="846"/>
      <c r="I239" s="846"/>
      <c r="J239" s="846"/>
      <c r="K239" s="846"/>
      <c r="L239" s="846"/>
      <c r="M239" s="846"/>
      <c r="N239" s="847"/>
      <c r="O239" s="216" t="s">
        <v>73</v>
      </c>
      <c r="P239" s="795" t="s">
        <v>193</v>
      </c>
      <c r="Q239" s="796"/>
    </row>
    <row r="240" spans="1:17" x14ac:dyDescent="0.15">
      <c r="A240" s="790"/>
      <c r="B240" s="791"/>
      <c r="C240" s="791"/>
      <c r="D240" s="791"/>
      <c r="E240" s="791"/>
      <c r="F240" s="791"/>
      <c r="G240" s="791"/>
      <c r="H240" s="791"/>
      <c r="I240" s="791"/>
      <c r="J240" s="791"/>
      <c r="K240" s="791"/>
      <c r="L240" s="791"/>
      <c r="M240" s="791"/>
      <c r="N240" s="791"/>
      <c r="O240" s="791"/>
      <c r="P240" s="791"/>
      <c r="Q240" s="792"/>
    </row>
    <row r="241" spans="1:17" s="126" customFormat="1" x14ac:dyDescent="0.15">
      <c r="A241" s="822" t="s">
        <v>150</v>
      </c>
      <c r="B241" s="823" t="s">
        <v>151</v>
      </c>
      <c r="C241" s="823"/>
      <c r="D241" s="802"/>
      <c r="E241" s="823" t="s">
        <v>152</v>
      </c>
      <c r="F241" s="823"/>
      <c r="G241" s="823"/>
      <c r="H241" s="802" t="s">
        <v>153</v>
      </c>
      <c r="I241" s="802" t="s">
        <v>242</v>
      </c>
      <c r="J241" s="804" t="s">
        <v>73</v>
      </c>
      <c r="K241" s="216" t="s">
        <v>154</v>
      </c>
      <c r="L241" s="123"/>
      <c r="M241" s="124"/>
      <c r="N241" s="124"/>
      <c r="O241" s="124"/>
      <c r="P241" s="124"/>
      <c r="Q241" s="125"/>
    </row>
    <row r="242" spans="1:17" s="130" customFormat="1" x14ac:dyDescent="0.15">
      <c r="A242" s="822"/>
      <c r="B242" s="823"/>
      <c r="C242" s="823"/>
      <c r="D242" s="803"/>
      <c r="E242" s="217" t="s">
        <v>155</v>
      </c>
      <c r="F242" s="217" t="s">
        <v>156</v>
      </c>
      <c r="G242" s="217" t="s">
        <v>157</v>
      </c>
      <c r="H242" s="803"/>
      <c r="I242" s="803"/>
      <c r="J242" s="805"/>
      <c r="K242" s="216" t="s">
        <v>158</v>
      </c>
      <c r="L242" s="127"/>
      <c r="M242" s="128"/>
      <c r="N242" s="128"/>
      <c r="O242" s="128"/>
      <c r="P242" s="128"/>
      <c r="Q242" s="129"/>
    </row>
    <row r="243" spans="1:17" ht="43.5" customHeight="1" x14ac:dyDescent="0.15">
      <c r="A243" s="148"/>
      <c r="B243" s="788" t="s">
        <v>1028</v>
      </c>
      <c r="C243" s="789"/>
      <c r="D243" s="149"/>
      <c r="E243" s="143">
        <v>105</v>
      </c>
      <c r="F243" s="143">
        <v>0</v>
      </c>
      <c r="G243" s="143">
        <v>0</v>
      </c>
      <c r="H243" s="143">
        <v>1</v>
      </c>
      <c r="I243" s="143">
        <f>E243</f>
        <v>105</v>
      </c>
      <c r="J243" s="133" t="s">
        <v>193</v>
      </c>
      <c r="K243" s="143">
        <f>I243*H243</f>
        <v>105</v>
      </c>
      <c r="L243" s="127"/>
      <c r="M243" s="128"/>
      <c r="N243" s="128"/>
      <c r="O243" s="128"/>
      <c r="P243" s="128"/>
      <c r="Q243" s="129"/>
    </row>
    <row r="244" spans="1:17" ht="14" x14ac:dyDescent="0.15">
      <c r="A244" s="795" t="s">
        <v>149</v>
      </c>
      <c r="B244" s="817"/>
      <c r="C244" s="817"/>
      <c r="D244" s="817"/>
      <c r="E244" s="817"/>
      <c r="F244" s="817"/>
      <c r="G244" s="817"/>
      <c r="H244" s="817"/>
      <c r="I244" s="817"/>
      <c r="J244" s="796"/>
      <c r="K244" s="416">
        <f>SUM(K243:K243)</f>
        <v>105</v>
      </c>
      <c r="L244" s="134"/>
      <c r="M244" s="135"/>
      <c r="N244" s="135"/>
      <c r="O244" s="135"/>
      <c r="P244" s="135"/>
      <c r="Q244" s="136"/>
    </row>
    <row r="245" spans="1:17" x14ac:dyDescent="0.15">
      <c r="A245" s="790"/>
      <c r="B245" s="791"/>
      <c r="C245" s="791"/>
      <c r="D245" s="791"/>
      <c r="E245" s="791"/>
      <c r="F245" s="791"/>
      <c r="G245" s="791"/>
      <c r="H245" s="791"/>
      <c r="I245" s="791"/>
      <c r="J245" s="791"/>
      <c r="K245" s="791"/>
      <c r="L245" s="791"/>
      <c r="M245" s="791"/>
      <c r="N245" s="791"/>
      <c r="O245" s="791"/>
      <c r="P245" s="791"/>
      <c r="Q245" s="792"/>
    </row>
    <row r="246" spans="1:17" s="121" customFormat="1" ht="18" customHeight="1" x14ac:dyDescent="0.15">
      <c r="A246" s="218" t="s">
        <v>0</v>
      </c>
      <c r="B246" s="845" t="s">
        <v>1048</v>
      </c>
      <c r="C246" s="846"/>
      <c r="D246" s="846"/>
      <c r="E246" s="846"/>
      <c r="F246" s="846"/>
      <c r="G246" s="846"/>
      <c r="H246" s="846"/>
      <c r="I246" s="846"/>
      <c r="J246" s="846"/>
      <c r="K246" s="846"/>
      <c r="L246" s="846"/>
      <c r="M246" s="846"/>
      <c r="N246" s="847"/>
      <c r="O246" s="216" t="s">
        <v>73</v>
      </c>
      <c r="P246" s="795" t="s">
        <v>319</v>
      </c>
      <c r="Q246" s="796"/>
    </row>
    <row r="247" spans="1:17" x14ac:dyDescent="0.15">
      <c r="A247" s="790"/>
      <c r="B247" s="791"/>
      <c r="C247" s="791"/>
      <c r="D247" s="791"/>
      <c r="E247" s="791"/>
      <c r="F247" s="791"/>
      <c r="G247" s="791"/>
      <c r="H247" s="791"/>
      <c r="I247" s="791"/>
      <c r="J247" s="791"/>
      <c r="K247" s="791"/>
      <c r="L247" s="791"/>
      <c r="M247" s="791"/>
      <c r="N247" s="791"/>
      <c r="O247" s="791"/>
      <c r="P247" s="791"/>
      <c r="Q247" s="792"/>
    </row>
    <row r="248" spans="1:17" s="126" customFormat="1" x14ac:dyDescent="0.15">
      <c r="A248" s="822" t="s">
        <v>150</v>
      </c>
      <c r="B248" s="823" t="s">
        <v>151</v>
      </c>
      <c r="C248" s="823"/>
      <c r="D248" s="802"/>
      <c r="E248" s="823" t="s">
        <v>152</v>
      </c>
      <c r="F248" s="823"/>
      <c r="G248" s="823"/>
      <c r="H248" s="802" t="s">
        <v>153</v>
      </c>
      <c r="I248" s="802" t="s">
        <v>479</v>
      </c>
      <c r="J248" s="804" t="s">
        <v>73</v>
      </c>
      <c r="K248" s="216" t="s">
        <v>154</v>
      </c>
      <c r="L248" s="123"/>
      <c r="M248" s="124"/>
      <c r="N248" s="124"/>
      <c r="O248" s="124"/>
      <c r="P248" s="124"/>
      <c r="Q248" s="125"/>
    </row>
    <row r="249" spans="1:17" s="130" customFormat="1" x14ac:dyDescent="0.15">
      <c r="A249" s="822"/>
      <c r="B249" s="823"/>
      <c r="C249" s="823"/>
      <c r="D249" s="803"/>
      <c r="E249" s="217" t="s">
        <v>155</v>
      </c>
      <c r="F249" s="217" t="s">
        <v>156</v>
      </c>
      <c r="G249" s="217" t="s">
        <v>157</v>
      </c>
      <c r="H249" s="803"/>
      <c r="I249" s="803"/>
      <c r="J249" s="805"/>
      <c r="K249" s="216" t="s">
        <v>158</v>
      </c>
      <c r="L249" s="127"/>
      <c r="M249" s="128"/>
      <c r="N249" s="128"/>
      <c r="O249" s="128"/>
      <c r="P249" s="128"/>
      <c r="Q249" s="129"/>
    </row>
    <row r="250" spans="1:17" ht="24" customHeight="1" x14ac:dyDescent="0.15">
      <c r="A250" s="148"/>
      <c r="B250" s="788" t="s">
        <v>1051</v>
      </c>
      <c r="C250" s="789"/>
      <c r="D250" s="149"/>
      <c r="E250" s="143">
        <v>0</v>
      </c>
      <c r="F250" s="143">
        <v>0</v>
      </c>
      <c r="G250" s="143">
        <v>0</v>
      </c>
      <c r="H250" s="143">
        <v>15</v>
      </c>
      <c r="I250" s="143">
        <f t="shared" ref="I250" si="40">H250</f>
        <v>15</v>
      </c>
      <c r="J250" s="133" t="s">
        <v>319</v>
      </c>
      <c r="K250" s="143">
        <f t="shared" ref="K250" si="41">I250</f>
        <v>15</v>
      </c>
      <c r="L250" s="127"/>
      <c r="M250" s="128"/>
      <c r="N250" s="128"/>
      <c r="O250" s="128"/>
      <c r="P250" s="128"/>
      <c r="Q250" s="129"/>
    </row>
    <row r="251" spans="1:17" ht="14" x14ac:dyDescent="0.15">
      <c r="A251" s="795" t="s">
        <v>149</v>
      </c>
      <c r="B251" s="817"/>
      <c r="C251" s="817"/>
      <c r="D251" s="817"/>
      <c r="E251" s="817"/>
      <c r="F251" s="817"/>
      <c r="G251" s="817"/>
      <c r="H251" s="817"/>
      <c r="I251" s="817"/>
      <c r="J251" s="796"/>
      <c r="K251" s="416">
        <f>SUM(K250:K250)</f>
        <v>15</v>
      </c>
      <c r="L251" s="134"/>
      <c r="M251" s="135"/>
      <c r="N251" s="135"/>
      <c r="O251" s="135"/>
      <c r="P251" s="135"/>
      <c r="Q251" s="136"/>
    </row>
    <row r="252" spans="1:17" x14ac:dyDescent="0.15">
      <c r="A252" s="790"/>
      <c r="B252" s="791"/>
      <c r="C252" s="791"/>
      <c r="D252" s="791"/>
      <c r="E252" s="791"/>
      <c r="F252" s="791"/>
      <c r="G252" s="791"/>
      <c r="H252" s="791"/>
      <c r="I252" s="791"/>
      <c r="J252" s="791"/>
      <c r="K252" s="791"/>
      <c r="L252" s="791"/>
      <c r="M252" s="791"/>
      <c r="N252" s="791"/>
      <c r="O252" s="791"/>
      <c r="P252" s="791"/>
      <c r="Q252" s="792"/>
    </row>
    <row r="253" spans="1:17" s="121" customFormat="1" ht="18" customHeight="1" x14ac:dyDescent="0.15">
      <c r="A253" s="218" t="s">
        <v>0</v>
      </c>
      <c r="B253" s="845" t="s">
        <v>1054</v>
      </c>
      <c r="C253" s="846"/>
      <c r="D253" s="846"/>
      <c r="E253" s="846"/>
      <c r="F253" s="846"/>
      <c r="G253" s="846"/>
      <c r="H253" s="846"/>
      <c r="I253" s="846"/>
      <c r="J253" s="846"/>
      <c r="K253" s="846"/>
      <c r="L253" s="846"/>
      <c r="M253" s="846"/>
      <c r="N253" s="847"/>
      <c r="O253" s="216" t="s">
        <v>73</v>
      </c>
      <c r="P253" s="795" t="s">
        <v>319</v>
      </c>
      <c r="Q253" s="796"/>
    </row>
    <row r="254" spans="1:17" x14ac:dyDescent="0.15">
      <c r="A254" s="790"/>
      <c r="B254" s="791"/>
      <c r="C254" s="791"/>
      <c r="D254" s="791"/>
      <c r="E254" s="791"/>
      <c r="F254" s="791"/>
      <c r="G254" s="791"/>
      <c r="H254" s="791"/>
      <c r="I254" s="791"/>
      <c r="J254" s="791"/>
      <c r="K254" s="791"/>
      <c r="L254" s="791"/>
      <c r="M254" s="791"/>
      <c r="N254" s="791"/>
      <c r="O254" s="791"/>
      <c r="P254" s="791"/>
      <c r="Q254" s="792"/>
    </row>
    <row r="255" spans="1:17" s="126" customFormat="1" x14ac:dyDescent="0.15">
      <c r="A255" s="822" t="s">
        <v>150</v>
      </c>
      <c r="B255" s="823" t="s">
        <v>151</v>
      </c>
      <c r="C255" s="823"/>
      <c r="D255" s="802"/>
      <c r="E255" s="823" t="s">
        <v>152</v>
      </c>
      <c r="F255" s="823"/>
      <c r="G255" s="823"/>
      <c r="H255" s="802" t="s">
        <v>153</v>
      </c>
      <c r="I255" s="802" t="s">
        <v>479</v>
      </c>
      <c r="J255" s="804" t="s">
        <v>73</v>
      </c>
      <c r="K255" s="216" t="s">
        <v>154</v>
      </c>
      <c r="L255" s="123"/>
      <c r="M255" s="124"/>
      <c r="N255" s="124"/>
      <c r="O255" s="124"/>
      <c r="P255" s="124"/>
      <c r="Q255" s="125"/>
    </row>
    <row r="256" spans="1:17" s="130" customFormat="1" x14ac:dyDescent="0.15">
      <c r="A256" s="822"/>
      <c r="B256" s="823"/>
      <c r="C256" s="823"/>
      <c r="D256" s="803"/>
      <c r="E256" s="217" t="s">
        <v>155</v>
      </c>
      <c r="F256" s="217" t="s">
        <v>156</v>
      </c>
      <c r="G256" s="217" t="s">
        <v>157</v>
      </c>
      <c r="H256" s="803"/>
      <c r="I256" s="803"/>
      <c r="J256" s="805"/>
      <c r="K256" s="216" t="s">
        <v>158</v>
      </c>
      <c r="L256" s="127"/>
      <c r="M256" s="128"/>
      <c r="N256" s="128"/>
      <c r="O256" s="128"/>
      <c r="P256" s="128"/>
      <c r="Q256" s="129"/>
    </row>
    <row r="257" spans="1:17" ht="30" customHeight="1" x14ac:dyDescent="0.15">
      <c r="A257" s="148"/>
      <c r="B257" s="788" t="s">
        <v>1051</v>
      </c>
      <c r="C257" s="789"/>
      <c r="D257" s="149"/>
      <c r="E257" s="143">
        <v>0</v>
      </c>
      <c r="F257" s="143">
        <v>0</v>
      </c>
      <c r="G257" s="143">
        <v>0</v>
      </c>
      <c r="H257" s="143">
        <v>15</v>
      </c>
      <c r="I257" s="143">
        <f t="shared" ref="I257" si="42">H257</f>
        <v>15</v>
      </c>
      <c r="J257" s="133" t="s">
        <v>319</v>
      </c>
      <c r="K257" s="143">
        <f t="shared" ref="K257" si="43">I257</f>
        <v>15</v>
      </c>
      <c r="L257" s="127"/>
      <c r="M257" s="128"/>
      <c r="N257" s="128"/>
      <c r="O257" s="128"/>
      <c r="P257" s="128"/>
      <c r="Q257" s="129"/>
    </row>
    <row r="258" spans="1:17" ht="14" x14ac:dyDescent="0.15">
      <c r="A258" s="795" t="s">
        <v>149</v>
      </c>
      <c r="B258" s="817"/>
      <c r="C258" s="817"/>
      <c r="D258" s="817"/>
      <c r="E258" s="817"/>
      <c r="F258" s="817"/>
      <c r="G258" s="817"/>
      <c r="H258" s="817"/>
      <c r="I258" s="817"/>
      <c r="J258" s="796"/>
      <c r="K258" s="416">
        <f>SUM(K257:K257)</f>
        <v>15</v>
      </c>
      <c r="L258" s="134"/>
      <c r="M258" s="135"/>
      <c r="N258" s="135"/>
      <c r="O258" s="135"/>
      <c r="P258" s="135"/>
      <c r="Q258" s="136"/>
    </row>
    <row r="259" spans="1:17" x14ac:dyDescent="0.15">
      <c r="A259" s="790"/>
      <c r="B259" s="791"/>
      <c r="C259" s="791"/>
      <c r="D259" s="791"/>
      <c r="E259" s="791"/>
      <c r="F259" s="791"/>
      <c r="G259" s="791"/>
      <c r="H259" s="791"/>
      <c r="I259" s="791"/>
      <c r="J259" s="791"/>
      <c r="K259" s="791"/>
      <c r="L259" s="791"/>
      <c r="M259" s="791"/>
      <c r="N259" s="791"/>
      <c r="O259" s="791"/>
      <c r="P259" s="791"/>
      <c r="Q259" s="792"/>
    </row>
    <row r="260" spans="1:17" s="121" customFormat="1" ht="18" customHeight="1" x14ac:dyDescent="0.15">
      <c r="A260" s="218" t="s">
        <v>0</v>
      </c>
      <c r="B260" s="845" t="s">
        <v>1055</v>
      </c>
      <c r="C260" s="846"/>
      <c r="D260" s="846"/>
      <c r="E260" s="846"/>
      <c r="F260" s="846"/>
      <c r="G260" s="846"/>
      <c r="H260" s="846"/>
      <c r="I260" s="846"/>
      <c r="J260" s="846"/>
      <c r="K260" s="846"/>
      <c r="L260" s="846"/>
      <c r="M260" s="846"/>
      <c r="N260" s="847"/>
      <c r="O260" s="216" t="s">
        <v>73</v>
      </c>
      <c r="P260" s="795" t="s">
        <v>319</v>
      </c>
      <c r="Q260" s="796"/>
    </row>
    <row r="261" spans="1:17" x14ac:dyDescent="0.15">
      <c r="A261" s="790"/>
      <c r="B261" s="791"/>
      <c r="C261" s="791"/>
      <c r="D261" s="791"/>
      <c r="E261" s="791"/>
      <c r="F261" s="791"/>
      <c r="G261" s="791"/>
      <c r="H261" s="791"/>
      <c r="I261" s="791"/>
      <c r="J261" s="791"/>
      <c r="K261" s="791"/>
      <c r="L261" s="791"/>
      <c r="M261" s="791"/>
      <c r="N261" s="791"/>
      <c r="O261" s="791"/>
      <c r="P261" s="791"/>
      <c r="Q261" s="792"/>
    </row>
    <row r="262" spans="1:17" s="126" customFormat="1" x14ac:dyDescent="0.15">
      <c r="A262" s="822" t="s">
        <v>150</v>
      </c>
      <c r="B262" s="823" t="s">
        <v>151</v>
      </c>
      <c r="C262" s="823"/>
      <c r="D262" s="802"/>
      <c r="E262" s="823" t="s">
        <v>152</v>
      </c>
      <c r="F262" s="823"/>
      <c r="G262" s="823"/>
      <c r="H262" s="802" t="s">
        <v>153</v>
      </c>
      <c r="I262" s="802" t="s">
        <v>479</v>
      </c>
      <c r="J262" s="804" t="s">
        <v>73</v>
      </c>
      <c r="K262" s="216" t="s">
        <v>154</v>
      </c>
      <c r="L262" s="123"/>
      <c r="M262" s="124"/>
      <c r="N262" s="124"/>
      <c r="O262" s="124"/>
      <c r="P262" s="124"/>
      <c r="Q262" s="125"/>
    </row>
    <row r="263" spans="1:17" s="130" customFormat="1" x14ac:dyDescent="0.15">
      <c r="A263" s="822"/>
      <c r="B263" s="823"/>
      <c r="C263" s="823"/>
      <c r="D263" s="803"/>
      <c r="E263" s="217" t="s">
        <v>155</v>
      </c>
      <c r="F263" s="217" t="s">
        <v>156</v>
      </c>
      <c r="G263" s="217" t="s">
        <v>157</v>
      </c>
      <c r="H263" s="803"/>
      <c r="I263" s="803"/>
      <c r="J263" s="805"/>
      <c r="K263" s="216" t="s">
        <v>158</v>
      </c>
      <c r="L263" s="127"/>
      <c r="M263" s="128"/>
      <c r="N263" s="128"/>
      <c r="O263" s="128"/>
      <c r="P263" s="128"/>
      <c r="Q263" s="129"/>
    </row>
    <row r="264" spans="1:17" ht="30" customHeight="1" x14ac:dyDescent="0.15">
      <c r="A264" s="148"/>
      <c r="B264" s="788" t="s">
        <v>947</v>
      </c>
      <c r="C264" s="789"/>
      <c r="D264" s="149"/>
      <c r="E264" s="143">
        <v>0</v>
      </c>
      <c r="F264" s="143">
        <v>0</v>
      </c>
      <c r="G264" s="143">
        <v>0</v>
      </c>
      <c r="H264" s="143">
        <v>8</v>
      </c>
      <c r="I264" s="143">
        <f t="shared" ref="I264" si="44">H264</f>
        <v>8</v>
      </c>
      <c r="J264" s="133" t="s">
        <v>319</v>
      </c>
      <c r="K264" s="143">
        <f t="shared" ref="K264" si="45">I264</f>
        <v>8</v>
      </c>
      <c r="L264" s="127"/>
      <c r="M264" s="128"/>
      <c r="N264" s="128"/>
      <c r="O264" s="128"/>
      <c r="P264" s="128"/>
      <c r="Q264" s="129"/>
    </row>
    <row r="265" spans="1:17" ht="14" x14ac:dyDescent="0.15">
      <c r="A265" s="795" t="s">
        <v>149</v>
      </c>
      <c r="B265" s="817"/>
      <c r="C265" s="817"/>
      <c r="D265" s="817"/>
      <c r="E265" s="817"/>
      <c r="F265" s="817"/>
      <c r="G265" s="817"/>
      <c r="H265" s="817"/>
      <c r="I265" s="817"/>
      <c r="J265" s="796"/>
      <c r="K265" s="416">
        <f>SUM(K264:K264)</f>
        <v>8</v>
      </c>
      <c r="L265" s="134"/>
      <c r="M265" s="135"/>
      <c r="N265" s="135"/>
      <c r="O265" s="135"/>
      <c r="P265" s="135"/>
      <c r="Q265" s="136"/>
    </row>
    <row r="266" spans="1:17" x14ac:dyDescent="0.15">
      <c r="A266" s="790"/>
      <c r="B266" s="791"/>
      <c r="C266" s="791"/>
      <c r="D266" s="791"/>
      <c r="E266" s="791"/>
      <c r="F266" s="791"/>
      <c r="G266" s="791"/>
      <c r="H266" s="791"/>
      <c r="I266" s="791"/>
      <c r="J266" s="791"/>
      <c r="K266" s="791"/>
      <c r="L266" s="791"/>
      <c r="M266" s="791"/>
      <c r="N266" s="791"/>
      <c r="O266" s="791"/>
      <c r="P266" s="791"/>
      <c r="Q266" s="792"/>
    </row>
    <row r="267" spans="1:17" s="121" customFormat="1" ht="19.5" customHeight="1" x14ac:dyDescent="0.15">
      <c r="A267" s="218" t="s">
        <v>0</v>
      </c>
      <c r="B267" s="793" t="s">
        <v>1056</v>
      </c>
      <c r="C267" s="794"/>
      <c r="D267" s="794"/>
      <c r="E267" s="794"/>
      <c r="F267" s="794"/>
      <c r="G267" s="794"/>
      <c r="H267" s="794"/>
      <c r="I267" s="794"/>
      <c r="J267" s="794"/>
      <c r="K267" s="794"/>
      <c r="L267" s="794"/>
      <c r="M267" s="794"/>
      <c r="N267" s="821"/>
      <c r="O267" s="216" t="s">
        <v>73</v>
      </c>
      <c r="P267" s="795" t="s">
        <v>193</v>
      </c>
      <c r="Q267" s="796"/>
    </row>
    <row r="268" spans="1:17" x14ac:dyDescent="0.15">
      <c r="A268" s="790"/>
      <c r="B268" s="791"/>
      <c r="C268" s="791"/>
      <c r="D268" s="791"/>
      <c r="E268" s="791"/>
      <c r="F268" s="791"/>
      <c r="G268" s="791"/>
      <c r="H268" s="791"/>
      <c r="I268" s="791"/>
      <c r="J268" s="791"/>
      <c r="K268" s="791"/>
      <c r="L268" s="791"/>
      <c r="M268" s="791"/>
      <c r="N268" s="791"/>
      <c r="O268" s="791"/>
      <c r="P268" s="791"/>
      <c r="Q268" s="792"/>
    </row>
    <row r="269" spans="1:17" s="126" customFormat="1" ht="12.75" customHeight="1" x14ac:dyDescent="0.15">
      <c r="A269" s="822" t="s">
        <v>150</v>
      </c>
      <c r="B269" s="823" t="s">
        <v>151</v>
      </c>
      <c r="C269" s="823"/>
      <c r="D269" s="825" t="s">
        <v>152</v>
      </c>
      <c r="E269" s="826"/>
      <c r="F269" s="826"/>
      <c r="G269" s="834"/>
      <c r="H269" s="802" t="s">
        <v>153</v>
      </c>
      <c r="I269" s="802" t="s">
        <v>242</v>
      </c>
      <c r="J269" s="804" t="s">
        <v>73</v>
      </c>
      <c r="K269" s="216" t="s">
        <v>154</v>
      </c>
      <c r="L269" s="123"/>
      <c r="M269" s="124"/>
      <c r="N269" s="124"/>
      <c r="O269" s="124"/>
      <c r="P269" s="124"/>
      <c r="Q269" s="125"/>
    </row>
    <row r="270" spans="1:17" s="130" customFormat="1" x14ac:dyDescent="0.15">
      <c r="A270" s="822"/>
      <c r="B270" s="823"/>
      <c r="C270" s="823"/>
      <c r="D270" s="220"/>
      <c r="E270" s="217" t="s">
        <v>155</v>
      </c>
      <c r="F270" s="217" t="s">
        <v>156</v>
      </c>
      <c r="G270" s="217" t="s">
        <v>269</v>
      </c>
      <c r="H270" s="803"/>
      <c r="I270" s="803"/>
      <c r="J270" s="805"/>
      <c r="K270" s="216" t="s">
        <v>158</v>
      </c>
      <c r="L270" s="127"/>
      <c r="M270" s="128"/>
      <c r="N270" s="128"/>
      <c r="O270" s="128"/>
      <c r="P270" s="128"/>
      <c r="Q270" s="129"/>
    </row>
    <row r="271" spans="1:17" ht="22.5" customHeight="1" x14ac:dyDescent="0.15">
      <c r="A271" s="131"/>
      <c r="B271" s="815" t="s">
        <v>1084</v>
      </c>
      <c r="C271" s="816"/>
      <c r="D271" s="219">
        <v>0</v>
      </c>
      <c r="E271" s="132">
        <v>14.6</v>
      </c>
      <c r="F271" s="144">
        <v>0</v>
      </c>
      <c r="G271" s="144">
        <v>0</v>
      </c>
      <c r="H271" s="132">
        <v>6</v>
      </c>
      <c r="I271" s="132">
        <f>E271</f>
        <v>14.6</v>
      </c>
      <c r="J271" s="144" t="s">
        <v>193</v>
      </c>
      <c r="K271" s="219">
        <f>I271*H271</f>
        <v>87.6</v>
      </c>
      <c r="L271" s="127"/>
      <c r="M271" s="128"/>
      <c r="N271" s="128"/>
      <c r="O271" s="128"/>
      <c r="P271" s="128"/>
      <c r="Q271" s="129"/>
    </row>
    <row r="272" spans="1:17" ht="22.5" customHeight="1" x14ac:dyDescent="0.15">
      <c r="A272" s="131"/>
      <c r="B272" s="815" t="s">
        <v>1085</v>
      </c>
      <c r="C272" s="816"/>
      <c r="D272" s="219">
        <v>0</v>
      </c>
      <c r="E272" s="132">
        <v>12.15</v>
      </c>
      <c r="F272" s="144">
        <v>0</v>
      </c>
      <c r="G272" s="144">
        <v>0</v>
      </c>
      <c r="H272" s="132">
        <v>2</v>
      </c>
      <c r="I272" s="132">
        <f>E272</f>
        <v>12.15</v>
      </c>
      <c r="J272" s="144" t="s">
        <v>193</v>
      </c>
      <c r="K272" s="219">
        <f>I272*H272</f>
        <v>24.3</v>
      </c>
      <c r="L272" s="127"/>
      <c r="M272" s="128"/>
      <c r="N272" s="128"/>
      <c r="O272" s="128"/>
      <c r="P272" s="128"/>
      <c r="Q272" s="129"/>
    </row>
    <row r="273" spans="1:17" ht="14" x14ac:dyDescent="0.15">
      <c r="A273" s="795" t="s">
        <v>149</v>
      </c>
      <c r="B273" s="817"/>
      <c r="C273" s="817"/>
      <c r="D273" s="817"/>
      <c r="E273" s="817"/>
      <c r="F273" s="817"/>
      <c r="G273" s="817"/>
      <c r="H273" s="817"/>
      <c r="I273" s="817"/>
      <c r="J273" s="796"/>
      <c r="K273" s="416">
        <f>SUM(K271:K272)</f>
        <v>111.89999999999999</v>
      </c>
      <c r="L273" s="134"/>
      <c r="M273" s="135"/>
      <c r="N273" s="135"/>
      <c r="O273" s="135"/>
      <c r="P273" s="135"/>
      <c r="Q273" s="136"/>
    </row>
    <row r="274" spans="1:17" x14ac:dyDescent="0.15">
      <c r="A274" s="790"/>
      <c r="B274" s="791"/>
      <c r="C274" s="791"/>
      <c r="D274" s="791"/>
      <c r="E274" s="791"/>
      <c r="F274" s="791"/>
      <c r="G274" s="791"/>
      <c r="H274" s="791"/>
      <c r="I274" s="791"/>
      <c r="J274" s="791"/>
      <c r="K274" s="791"/>
      <c r="L274" s="791"/>
      <c r="M274" s="791"/>
      <c r="N274" s="791"/>
      <c r="O274" s="791"/>
      <c r="P274" s="791"/>
      <c r="Q274" s="792"/>
    </row>
    <row r="275" spans="1:17" s="121" customFormat="1" ht="19.5" customHeight="1" x14ac:dyDescent="0.15">
      <c r="A275" s="218" t="s">
        <v>0</v>
      </c>
      <c r="B275" s="793" t="s">
        <v>1057</v>
      </c>
      <c r="C275" s="794"/>
      <c r="D275" s="794"/>
      <c r="E275" s="794"/>
      <c r="F275" s="794"/>
      <c r="G275" s="794"/>
      <c r="H275" s="794"/>
      <c r="I275" s="794"/>
      <c r="J275" s="794"/>
      <c r="K275" s="794"/>
      <c r="L275" s="794"/>
      <c r="M275" s="794"/>
      <c r="N275" s="821"/>
      <c r="O275" s="216" t="s">
        <v>73</v>
      </c>
      <c r="P275" s="795" t="s">
        <v>193</v>
      </c>
      <c r="Q275" s="796"/>
    </row>
    <row r="276" spans="1:17" x14ac:dyDescent="0.15">
      <c r="A276" s="790"/>
      <c r="B276" s="791"/>
      <c r="C276" s="791"/>
      <c r="D276" s="791"/>
      <c r="E276" s="791"/>
      <c r="F276" s="791"/>
      <c r="G276" s="791"/>
      <c r="H276" s="791"/>
      <c r="I276" s="791"/>
      <c r="J276" s="791"/>
      <c r="K276" s="791"/>
      <c r="L276" s="791"/>
      <c r="M276" s="791"/>
      <c r="N276" s="791"/>
      <c r="O276" s="791"/>
      <c r="P276" s="791"/>
      <c r="Q276" s="792"/>
    </row>
    <row r="277" spans="1:17" s="126" customFormat="1" ht="12.75" customHeight="1" x14ac:dyDescent="0.15">
      <c r="A277" s="822" t="s">
        <v>150</v>
      </c>
      <c r="B277" s="823" t="s">
        <v>151</v>
      </c>
      <c r="C277" s="823"/>
      <c r="D277" s="825" t="s">
        <v>152</v>
      </c>
      <c r="E277" s="826"/>
      <c r="F277" s="826"/>
      <c r="G277" s="834"/>
      <c r="H277" s="802" t="s">
        <v>153</v>
      </c>
      <c r="I277" s="802" t="s">
        <v>242</v>
      </c>
      <c r="J277" s="804" t="s">
        <v>73</v>
      </c>
      <c r="K277" s="216" t="s">
        <v>154</v>
      </c>
      <c r="L277" s="123"/>
      <c r="M277" s="124"/>
      <c r="N277" s="124"/>
      <c r="O277" s="124"/>
      <c r="P277" s="124"/>
      <c r="Q277" s="125"/>
    </row>
    <row r="278" spans="1:17" s="130" customFormat="1" x14ac:dyDescent="0.15">
      <c r="A278" s="822"/>
      <c r="B278" s="823"/>
      <c r="C278" s="823"/>
      <c r="D278" s="220"/>
      <c r="E278" s="217" t="s">
        <v>155</v>
      </c>
      <c r="F278" s="217" t="s">
        <v>156</v>
      </c>
      <c r="G278" s="217" t="s">
        <v>269</v>
      </c>
      <c r="H278" s="803"/>
      <c r="I278" s="803"/>
      <c r="J278" s="805"/>
      <c r="K278" s="216" t="s">
        <v>158</v>
      </c>
      <c r="L278" s="127"/>
      <c r="M278" s="128"/>
      <c r="N278" s="128"/>
      <c r="O278" s="128"/>
      <c r="P278" s="128"/>
      <c r="Q278" s="129"/>
    </row>
    <row r="279" spans="1:17" ht="22.5" customHeight="1" x14ac:dyDescent="0.15">
      <c r="A279" s="131"/>
      <c r="B279" s="815" t="s">
        <v>1084</v>
      </c>
      <c r="C279" s="816"/>
      <c r="D279" s="219">
        <v>0</v>
      </c>
      <c r="E279" s="132">
        <v>14.6</v>
      </c>
      <c r="F279" s="144">
        <v>0</v>
      </c>
      <c r="G279" s="144">
        <v>0</v>
      </c>
      <c r="H279" s="132">
        <v>6</v>
      </c>
      <c r="I279" s="132">
        <f>E279</f>
        <v>14.6</v>
      </c>
      <c r="J279" s="144" t="s">
        <v>193</v>
      </c>
      <c r="K279" s="219">
        <f>I279*H279</f>
        <v>87.6</v>
      </c>
      <c r="L279" s="127"/>
      <c r="M279" s="128"/>
      <c r="N279" s="128"/>
      <c r="O279" s="128"/>
      <c r="P279" s="128"/>
      <c r="Q279" s="129"/>
    </row>
    <row r="280" spans="1:17" ht="22.5" customHeight="1" x14ac:dyDescent="0.15">
      <c r="A280" s="131"/>
      <c r="B280" s="815" t="s">
        <v>1085</v>
      </c>
      <c r="C280" s="816"/>
      <c r="D280" s="219">
        <v>0</v>
      </c>
      <c r="E280" s="132">
        <v>12.15</v>
      </c>
      <c r="F280" s="144">
        <v>0</v>
      </c>
      <c r="G280" s="144">
        <v>0</v>
      </c>
      <c r="H280" s="132">
        <v>2</v>
      </c>
      <c r="I280" s="132">
        <f>E280</f>
        <v>12.15</v>
      </c>
      <c r="J280" s="144" t="s">
        <v>193</v>
      </c>
      <c r="K280" s="219">
        <f>I280*H280</f>
        <v>24.3</v>
      </c>
      <c r="L280" s="127"/>
      <c r="M280" s="128"/>
      <c r="N280" s="128"/>
      <c r="O280" s="128"/>
      <c r="P280" s="128"/>
      <c r="Q280" s="129"/>
    </row>
    <row r="281" spans="1:17" ht="14" x14ac:dyDescent="0.15">
      <c r="A281" s="795" t="s">
        <v>149</v>
      </c>
      <c r="B281" s="817"/>
      <c r="C281" s="817"/>
      <c r="D281" s="817"/>
      <c r="E281" s="817"/>
      <c r="F281" s="817"/>
      <c r="G281" s="817"/>
      <c r="H281" s="817"/>
      <c r="I281" s="817"/>
      <c r="J281" s="796"/>
      <c r="K281" s="416">
        <f>SUM(K279:K280)</f>
        <v>111.89999999999999</v>
      </c>
      <c r="L281" s="134"/>
      <c r="M281" s="135"/>
      <c r="N281" s="135"/>
      <c r="O281" s="135"/>
      <c r="P281" s="135"/>
      <c r="Q281" s="136"/>
    </row>
    <row r="282" spans="1:17" x14ac:dyDescent="0.15">
      <c r="A282" s="790"/>
      <c r="B282" s="791"/>
      <c r="C282" s="791"/>
      <c r="D282" s="791"/>
      <c r="E282" s="791"/>
      <c r="F282" s="791"/>
      <c r="G282" s="791"/>
      <c r="H282" s="791"/>
      <c r="I282" s="791"/>
      <c r="J282" s="791"/>
      <c r="K282" s="791"/>
      <c r="L282" s="791"/>
      <c r="M282" s="791"/>
      <c r="N282" s="791"/>
      <c r="O282" s="791"/>
      <c r="P282" s="791"/>
      <c r="Q282" s="792"/>
    </row>
    <row r="283" spans="1:17" s="121" customFormat="1" ht="18" customHeight="1" x14ac:dyDescent="0.15">
      <c r="A283" s="218" t="s">
        <v>0</v>
      </c>
      <c r="B283" s="793" t="s">
        <v>1058</v>
      </c>
      <c r="C283" s="794"/>
      <c r="D283" s="794"/>
      <c r="E283" s="794"/>
      <c r="F283" s="794"/>
      <c r="G283" s="794"/>
      <c r="H283" s="794"/>
      <c r="I283" s="794"/>
      <c r="J283" s="794"/>
      <c r="K283" s="794"/>
      <c r="L283" s="794"/>
      <c r="M283" s="794"/>
      <c r="N283" s="821"/>
      <c r="O283" s="216" t="s">
        <v>73</v>
      </c>
      <c r="P283" s="795" t="s">
        <v>5</v>
      </c>
      <c r="Q283" s="796"/>
    </row>
    <row r="284" spans="1:17" x14ac:dyDescent="0.15">
      <c r="A284" s="790"/>
      <c r="B284" s="791"/>
      <c r="C284" s="791"/>
      <c r="D284" s="791"/>
      <c r="E284" s="791"/>
      <c r="F284" s="791"/>
      <c r="G284" s="791"/>
      <c r="H284" s="791"/>
      <c r="I284" s="791"/>
      <c r="J284" s="791"/>
      <c r="K284" s="791"/>
      <c r="L284" s="791"/>
      <c r="M284" s="791"/>
      <c r="N284" s="791"/>
      <c r="O284" s="791"/>
      <c r="P284" s="791"/>
      <c r="Q284" s="122"/>
    </row>
    <row r="285" spans="1:17" s="126" customFormat="1" ht="12.75" customHeight="1" x14ac:dyDescent="0.15">
      <c r="A285" s="822" t="s">
        <v>150</v>
      </c>
      <c r="B285" s="823" t="s">
        <v>151</v>
      </c>
      <c r="C285" s="823"/>
      <c r="D285" s="802"/>
      <c r="E285" s="823" t="s">
        <v>152</v>
      </c>
      <c r="F285" s="823"/>
      <c r="G285" s="823"/>
      <c r="H285" s="802" t="s">
        <v>153</v>
      </c>
      <c r="I285" s="802" t="s">
        <v>159</v>
      </c>
      <c r="J285" s="804" t="s">
        <v>73</v>
      </c>
      <c r="K285" s="216" t="s">
        <v>154</v>
      </c>
      <c r="L285" s="123"/>
      <c r="M285" s="124"/>
      <c r="N285" s="124"/>
      <c r="O285" s="124"/>
      <c r="P285" s="124"/>
      <c r="Q285" s="125"/>
    </row>
    <row r="286" spans="1:17" s="130" customFormat="1" ht="14" x14ac:dyDescent="0.15">
      <c r="A286" s="822"/>
      <c r="B286" s="823"/>
      <c r="C286" s="823"/>
      <c r="D286" s="803"/>
      <c r="E286" s="217" t="s">
        <v>155</v>
      </c>
      <c r="F286" s="220" t="s">
        <v>572</v>
      </c>
      <c r="G286" s="217" t="s">
        <v>157</v>
      </c>
      <c r="H286" s="803"/>
      <c r="I286" s="803"/>
      <c r="J286" s="805"/>
      <c r="K286" s="216" t="s">
        <v>158</v>
      </c>
      <c r="L286" s="127"/>
      <c r="M286" s="128"/>
      <c r="N286" s="128"/>
      <c r="O286" s="128"/>
      <c r="P286" s="128"/>
      <c r="Q286" s="129"/>
    </row>
    <row r="287" spans="1:17" ht="22.5" customHeight="1" x14ac:dyDescent="0.15">
      <c r="A287" s="131"/>
      <c r="B287" s="815" t="s">
        <v>1059</v>
      </c>
      <c r="C287" s="816"/>
      <c r="D287" s="219">
        <v>114.43</v>
      </c>
      <c r="E287" s="132">
        <v>0</v>
      </c>
      <c r="F287" s="144">
        <v>0</v>
      </c>
      <c r="G287" s="144">
        <v>0</v>
      </c>
      <c r="H287" s="132">
        <v>1</v>
      </c>
      <c r="I287" s="132">
        <f>D287</f>
        <v>114.43</v>
      </c>
      <c r="J287" s="144" t="s">
        <v>5</v>
      </c>
      <c r="K287" s="219">
        <f>I287*H287</f>
        <v>114.43</v>
      </c>
      <c r="L287" s="127"/>
      <c r="M287" s="128"/>
      <c r="N287" s="128"/>
      <c r="O287" s="128"/>
      <c r="P287" s="128"/>
      <c r="Q287" s="129"/>
    </row>
    <row r="288" spans="1:17" ht="14" x14ac:dyDescent="0.15">
      <c r="A288" s="795" t="s">
        <v>149</v>
      </c>
      <c r="B288" s="817"/>
      <c r="C288" s="817"/>
      <c r="D288" s="817"/>
      <c r="E288" s="817"/>
      <c r="F288" s="817"/>
      <c r="G288" s="817"/>
      <c r="H288" s="817"/>
      <c r="I288" s="817"/>
      <c r="J288" s="796"/>
      <c r="K288" s="416">
        <f>SUM(K287)</f>
        <v>114.43</v>
      </c>
      <c r="L288" s="134"/>
      <c r="M288" s="135"/>
      <c r="N288" s="135"/>
      <c r="O288" s="135"/>
      <c r="P288" s="135"/>
      <c r="Q288" s="136"/>
    </row>
    <row r="289" spans="1:17" x14ac:dyDescent="0.15">
      <c r="A289" s="790"/>
      <c r="B289" s="791"/>
      <c r="C289" s="791"/>
      <c r="D289" s="791"/>
      <c r="E289" s="791"/>
      <c r="F289" s="791"/>
      <c r="G289" s="791"/>
      <c r="H289" s="791"/>
      <c r="I289" s="791"/>
      <c r="J289" s="791"/>
      <c r="K289" s="791"/>
      <c r="L289" s="791"/>
      <c r="M289" s="791"/>
      <c r="N289" s="791"/>
      <c r="O289" s="791"/>
      <c r="P289" s="791"/>
      <c r="Q289" s="792"/>
    </row>
    <row r="290" spans="1:17" s="121" customFormat="1" ht="18" customHeight="1" x14ac:dyDescent="0.15">
      <c r="A290" s="218" t="s">
        <v>0</v>
      </c>
      <c r="B290" s="793" t="s">
        <v>1382</v>
      </c>
      <c r="C290" s="794"/>
      <c r="D290" s="794"/>
      <c r="E290" s="794"/>
      <c r="F290" s="794"/>
      <c r="G290" s="794"/>
      <c r="H290" s="794"/>
      <c r="I290" s="794"/>
      <c r="J290" s="794"/>
      <c r="K290" s="794"/>
      <c r="L290" s="794"/>
      <c r="M290" s="794"/>
      <c r="N290" s="821"/>
      <c r="O290" s="216" t="s">
        <v>73</v>
      </c>
      <c r="P290" s="795" t="s">
        <v>5</v>
      </c>
      <c r="Q290" s="796"/>
    </row>
    <row r="291" spans="1:17" x14ac:dyDescent="0.15">
      <c r="A291" s="790"/>
      <c r="B291" s="791"/>
      <c r="C291" s="791"/>
      <c r="D291" s="791"/>
      <c r="E291" s="791"/>
      <c r="F291" s="791"/>
      <c r="G291" s="791"/>
      <c r="H291" s="791"/>
      <c r="I291" s="791"/>
      <c r="J291" s="791"/>
      <c r="K291" s="791"/>
      <c r="L291" s="791"/>
      <c r="M291" s="791"/>
      <c r="N291" s="791"/>
      <c r="O291" s="791"/>
      <c r="P291" s="791"/>
      <c r="Q291" s="122"/>
    </row>
    <row r="292" spans="1:17" s="126" customFormat="1" ht="12.75" customHeight="1" x14ac:dyDescent="0.15">
      <c r="A292" s="822" t="s">
        <v>150</v>
      </c>
      <c r="B292" s="823" t="s">
        <v>151</v>
      </c>
      <c r="C292" s="823"/>
      <c r="D292" s="802"/>
      <c r="E292" s="823" t="s">
        <v>152</v>
      </c>
      <c r="F292" s="823"/>
      <c r="G292" s="823"/>
      <c r="H292" s="802" t="s">
        <v>153</v>
      </c>
      <c r="I292" s="802" t="s">
        <v>159</v>
      </c>
      <c r="J292" s="804" t="s">
        <v>73</v>
      </c>
      <c r="K292" s="216" t="s">
        <v>154</v>
      </c>
      <c r="L292" s="123"/>
      <c r="M292" s="124"/>
      <c r="N292" s="124"/>
      <c r="O292" s="124"/>
      <c r="P292" s="124"/>
      <c r="Q292" s="125"/>
    </row>
    <row r="293" spans="1:17" s="130" customFormat="1" ht="14" x14ac:dyDescent="0.15">
      <c r="A293" s="822"/>
      <c r="B293" s="823"/>
      <c r="C293" s="823"/>
      <c r="D293" s="803"/>
      <c r="E293" s="217" t="s">
        <v>155</v>
      </c>
      <c r="F293" s="220" t="s">
        <v>572</v>
      </c>
      <c r="G293" s="217" t="s">
        <v>157</v>
      </c>
      <c r="H293" s="803"/>
      <c r="I293" s="803"/>
      <c r="J293" s="805"/>
      <c r="K293" s="216" t="s">
        <v>158</v>
      </c>
      <c r="L293" s="127"/>
      <c r="M293" s="128"/>
      <c r="N293" s="128"/>
      <c r="O293" s="128"/>
      <c r="P293" s="128"/>
      <c r="Q293" s="129"/>
    </row>
    <row r="294" spans="1:17" ht="22.5" customHeight="1" x14ac:dyDescent="0.15">
      <c r="A294" s="131"/>
      <c r="B294" s="815" t="s">
        <v>1156</v>
      </c>
      <c r="C294" s="816"/>
      <c r="D294" s="219">
        <v>0</v>
      </c>
      <c r="E294" s="132">
        <v>15.5</v>
      </c>
      <c r="F294" s="144">
        <v>0.8</v>
      </c>
      <c r="G294" s="144">
        <v>0</v>
      </c>
      <c r="H294" s="132">
        <v>1</v>
      </c>
      <c r="I294" s="132">
        <f>F294*E294</f>
        <v>12.4</v>
      </c>
      <c r="J294" s="144" t="s">
        <v>5</v>
      </c>
      <c r="K294" s="219">
        <f>I294*H294</f>
        <v>12.4</v>
      </c>
      <c r="L294" s="127"/>
      <c r="M294" s="128"/>
      <c r="N294" s="128"/>
      <c r="O294" s="128"/>
      <c r="P294" s="128"/>
      <c r="Q294" s="129"/>
    </row>
    <row r="295" spans="1:17" ht="14" x14ac:dyDescent="0.15">
      <c r="A295" s="795" t="s">
        <v>149</v>
      </c>
      <c r="B295" s="817"/>
      <c r="C295" s="817"/>
      <c r="D295" s="817"/>
      <c r="E295" s="817"/>
      <c r="F295" s="817"/>
      <c r="G295" s="817"/>
      <c r="H295" s="817"/>
      <c r="I295" s="817"/>
      <c r="J295" s="796"/>
      <c r="K295" s="416">
        <f>SUM(K294)</f>
        <v>12.4</v>
      </c>
      <c r="L295" s="134"/>
      <c r="M295" s="135"/>
      <c r="N295" s="135"/>
      <c r="O295" s="135"/>
      <c r="P295" s="135"/>
      <c r="Q295" s="136"/>
    </row>
    <row r="296" spans="1:17" x14ac:dyDescent="0.15">
      <c r="A296" s="790"/>
      <c r="B296" s="791"/>
      <c r="C296" s="791"/>
      <c r="D296" s="791"/>
      <c r="E296" s="791"/>
      <c r="F296" s="791"/>
      <c r="G296" s="791"/>
      <c r="H296" s="791"/>
      <c r="I296" s="791"/>
      <c r="J296" s="791"/>
      <c r="K296" s="791"/>
      <c r="L296" s="791"/>
      <c r="M296" s="791"/>
      <c r="N296" s="791"/>
      <c r="O296" s="791"/>
      <c r="P296" s="791"/>
      <c r="Q296" s="792"/>
    </row>
    <row r="297" spans="1:17" s="121" customFormat="1" ht="18" customHeight="1" x14ac:dyDescent="0.15">
      <c r="A297" s="218" t="s">
        <v>0</v>
      </c>
      <c r="B297" s="838" t="s">
        <v>1109</v>
      </c>
      <c r="C297" s="839"/>
      <c r="D297" s="839"/>
      <c r="E297" s="839"/>
      <c r="F297" s="839"/>
      <c r="G297" s="839"/>
      <c r="H297" s="839"/>
      <c r="I297" s="839"/>
      <c r="J297" s="839"/>
      <c r="K297" s="839"/>
      <c r="L297" s="839"/>
      <c r="M297" s="839"/>
      <c r="N297" s="839"/>
      <c r="O297" s="216" t="s">
        <v>73</v>
      </c>
      <c r="P297" s="795" t="s">
        <v>319</v>
      </c>
      <c r="Q297" s="796"/>
    </row>
    <row r="298" spans="1:17" x14ac:dyDescent="0.15">
      <c r="A298" s="790"/>
      <c r="B298" s="791"/>
      <c r="C298" s="791"/>
      <c r="D298" s="791"/>
      <c r="E298" s="791"/>
      <c r="F298" s="791"/>
      <c r="G298" s="791"/>
      <c r="H298" s="791"/>
      <c r="I298" s="791"/>
      <c r="J298" s="791"/>
      <c r="K298" s="791"/>
      <c r="L298" s="791"/>
      <c r="M298" s="791"/>
      <c r="N298" s="791"/>
      <c r="O298" s="791"/>
      <c r="P298" s="791"/>
      <c r="Q298" s="792"/>
    </row>
    <row r="299" spans="1:17" s="126" customFormat="1" ht="12.75" customHeight="1" x14ac:dyDescent="0.15">
      <c r="A299" s="802" t="s">
        <v>150</v>
      </c>
      <c r="B299" s="848" t="s">
        <v>151</v>
      </c>
      <c r="C299" s="849"/>
      <c r="D299" s="802"/>
      <c r="E299" s="825" t="s">
        <v>152</v>
      </c>
      <c r="F299" s="826"/>
      <c r="G299" s="834"/>
      <c r="H299" s="802" t="s">
        <v>153</v>
      </c>
      <c r="I299" s="802" t="s">
        <v>479</v>
      </c>
      <c r="J299" s="804" t="s">
        <v>73</v>
      </c>
      <c r="K299" s="216" t="s">
        <v>154</v>
      </c>
      <c r="L299" s="123"/>
      <c r="M299" s="124"/>
      <c r="N299" s="124"/>
      <c r="O299" s="124"/>
      <c r="P299" s="124"/>
      <c r="Q299" s="125"/>
    </row>
    <row r="300" spans="1:17" s="130" customFormat="1" x14ac:dyDescent="0.15">
      <c r="A300" s="803"/>
      <c r="B300" s="850"/>
      <c r="C300" s="851"/>
      <c r="D300" s="803"/>
      <c r="E300" s="217" t="s">
        <v>155</v>
      </c>
      <c r="F300" s="217" t="s">
        <v>156</v>
      </c>
      <c r="G300" s="217" t="s">
        <v>157</v>
      </c>
      <c r="H300" s="803"/>
      <c r="I300" s="803"/>
      <c r="J300" s="805"/>
      <c r="K300" s="216" t="s">
        <v>158</v>
      </c>
      <c r="L300" s="127"/>
      <c r="M300" s="128"/>
      <c r="N300" s="128"/>
      <c r="O300" s="128"/>
      <c r="P300" s="128"/>
      <c r="Q300" s="129"/>
    </row>
    <row r="301" spans="1:17" ht="17.25" customHeight="1" x14ac:dyDescent="0.15">
      <c r="A301" s="148"/>
      <c r="B301" s="788" t="s">
        <v>1111</v>
      </c>
      <c r="C301" s="789"/>
      <c r="D301" s="149"/>
      <c r="E301" s="143">
        <v>0</v>
      </c>
      <c r="F301" s="143">
        <v>0</v>
      </c>
      <c r="G301" s="143">
        <v>0</v>
      </c>
      <c r="H301" s="143">
        <v>6</v>
      </c>
      <c r="I301" s="143">
        <f>H301</f>
        <v>6</v>
      </c>
      <c r="J301" s="133" t="s">
        <v>319</v>
      </c>
      <c r="K301" s="143">
        <f>I301</f>
        <v>6</v>
      </c>
      <c r="L301" s="127"/>
      <c r="M301" s="128"/>
      <c r="N301" s="128"/>
      <c r="O301" s="128"/>
      <c r="P301" s="128"/>
      <c r="Q301" s="129"/>
    </row>
    <row r="302" spans="1:17" ht="14" x14ac:dyDescent="0.15">
      <c r="A302" s="795" t="s">
        <v>149</v>
      </c>
      <c r="B302" s="817"/>
      <c r="C302" s="817"/>
      <c r="D302" s="817"/>
      <c r="E302" s="817"/>
      <c r="F302" s="817"/>
      <c r="G302" s="817"/>
      <c r="H302" s="817"/>
      <c r="I302" s="817"/>
      <c r="J302" s="796"/>
      <c r="K302" s="416">
        <f>SUM(K301:K301)</f>
        <v>6</v>
      </c>
      <c r="L302" s="134"/>
      <c r="M302" s="135"/>
      <c r="N302" s="135"/>
      <c r="O302" s="135"/>
      <c r="P302" s="135"/>
      <c r="Q302" s="136"/>
    </row>
    <row r="303" spans="1:17" x14ac:dyDescent="0.15">
      <c r="A303" s="790"/>
      <c r="B303" s="791"/>
      <c r="C303" s="791"/>
      <c r="D303" s="791"/>
      <c r="E303" s="791"/>
      <c r="F303" s="791"/>
      <c r="G303" s="791"/>
      <c r="H303" s="791"/>
      <c r="I303" s="791"/>
      <c r="J303" s="791"/>
      <c r="K303" s="791"/>
      <c r="L303" s="791"/>
      <c r="M303" s="791"/>
      <c r="N303" s="791"/>
      <c r="O303" s="791"/>
      <c r="P303" s="791"/>
      <c r="Q303" s="792"/>
    </row>
    <row r="304" spans="1:17" s="121" customFormat="1" ht="18" customHeight="1" x14ac:dyDescent="0.15">
      <c r="A304" s="218" t="s">
        <v>0</v>
      </c>
      <c r="B304" s="838" t="s">
        <v>1110</v>
      </c>
      <c r="C304" s="839"/>
      <c r="D304" s="839"/>
      <c r="E304" s="839"/>
      <c r="F304" s="839"/>
      <c r="G304" s="839"/>
      <c r="H304" s="839"/>
      <c r="I304" s="839"/>
      <c r="J304" s="839"/>
      <c r="K304" s="839"/>
      <c r="L304" s="839"/>
      <c r="M304" s="839"/>
      <c r="N304" s="839"/>
      <c r="O304" s="216" t="s">
        <v>73</v>
      </c>
      <c r="P304" s="795" t="s">
        <v>319</v>
      </c>
      <c r="Q304" s="796"/>
    </row>
    <row r="305" spans="1:17" x14ac:dyDescent="0.15">
      <c r="A305" s="790"/>
      <c r="B305" s="791"/>
      <c r="C305" s="791"/>
      <c r="D305" s="791"/>
      <c r="E305" s="791"/>
      <c r="F305" s="791"/>
      <c r="G305" s="791"/>
      <c r="H305" s="791"/>
      <c r="I305" s="791"/>
      <c r="J305" s="791"/>
      <c r="K305" s="791"/>
      <c r="L305" s="791"/>
      <c r="M305" s="791"/>
      <c r="N305" s="791"/>
      <c r="O305" s="791"/>
      <c r="P305" s="791"/>
      <c r="Q305" s="792"/>
    </row>
    <row r="306" spans="1:17" s="126" customFormat="1" ht="12.75" customHeight="1" x14ac:dyDescent="0.15">
      <c r="A306" s="802" t="s">
        <v>150</v>
      </c>
      <c r="B306" s="848" t="s">
        <v>151</v>
      </c>
      <c r="C306" s="849"/>
      <c r="D306" s="802"/>
      <c r="E306" s="825" t="s">
        <v>152</v>
      </c>
      <c r="F306" s="826"/>
      <c r="G306" s="834"/>
      <c r="H306" s="802" t="s">
        <v>153</v>
      </c>
      <c r="I306" s="802" t="s">
        <v>479</v>
      </c>
      <c r="J306" s="804" t="s">
        <v>73</v>
      </c>
      <c r="K306" s="216" t="s">
        <v>154</v>
      </c>
      <c r="L306" s="123"/>
      <c r="M306" s="124"/>
      <c r="N306" s="124"/>
      <c r="O306" s="124"/>
      <c r="P306" s="124"/>
      <c r="Q306" s="125"/>
    </row>
    <row r="307" spans="1:17" s="130" customFormat="1" x14ac:dyDescent="0.15">
      <c r="A307" s="803"/>
      <c r="B307" s="850"/>
      <c r="C307" s="851"/>
      <c r="D307" s="803"/>
      <c r="E307" s="217" t="s">
        <v>155</v>
      </c>
      <c r="F307" s="217" t="s">
        <v>156</v>
      </c>
      <c r="G307" s="217" t="s">
        <v>157</v>
      </c>
      <c r="H307" s="803"/>
      <c r="I307" s="803"/>
      <c r="J307" s="805"/>
      <c r="K307" s="216" t="s">
        <v>158</v>
      </c>
      <c r="L307" s="127"/>
      <c r="M307" s="128"/>
      <c r="N307" s="128"/>
      <c r="O307" s="128"/>
      <c r="P307" s="128"/>
      <c r="Q307" s="129"/>
    </row>
    <row r="308" spans="1:17" ht="17.25" customHeight="1" x14ac:dyDescent="0.15">
      <c r="A308" s="148"/>
      <c r="B308" s="788" t="s">
        <v>1111</v>
      </c>
      <c r="C308" s="789"/>
      <c r="D308" s="149"/>
      <c r="E308" s="143">
        <v>0</v>
      </c>
      <c r="F308" s="143">
        <v>0</v>
      </c>
      <c r="G308" s="143">
        <v>0</v>
      </c>
      <c r="H308" s="143">
        <v>6</v>
      </c>
      <c r="I308" s="143">
        <f>H308</f>
        <v>6</v>
      </c>
      <c r="J308" s="133" t="s">
        <v>319</v>
      </c>
      <c r="K308" s="143">
        <f>I308</f>
        <v>6</v>
      </c>
      <c r="L308" s="127"/>
      <c r="M308" s="128"/>
      <c r="N308" s="128"/>
      <c r="O308" s="128"/>
      <c r="P308" s="128"/>
      <c r="Q308" s="129"/>
    </row>
    <row r="309" spans="1:17" ht="14" x14ac:dyDescent="0.15">
      <c r="A309" s="795" t="s">
        <v>149</v>
      </c>
      <c r="B309" s="817"/>
      <c r="C309" s="817"/>
      <c r="D309" s="817"/>
      <c r="E309" s="817"/>
      <c r="F309" s="817"/>
      <c r="G309" s="817"/>
      <c r="H309" s="817"/>
      <c r="I309" s="817"/>
      <c r="J309" s="796"/>
      <c r="K309" s="416">
        <f>SUM(K308:K308)</f>
        <v>6</v>
      </c>
      <c r="L309" s="134"/>
      <c r="M309" s="135"/>
      <c r="N309" s="135"/>
      <c r="O309" s="135"/>
      <c r="P309" s="135"/>
      <c r="Q309" s="136"/>
    </row>
    <row r="310" spans="1:17" x14ac:dyDescent="0.15">
      <c r="A310" s="790"/>
      <c r="B310" s="791"/>
      <c r="C310" s="791"/>
      <c r="D310" s="791"/>
      <c r="E310" s="791"/>
      <c r="F310" s="791"/>
      <c r="G310" s="791"/>
      <c r="H310" s="791"/>
      <c r="I310" s="791"/>
      <c r="J310" s="791"/>
      <c r="K310" s="791"/>
      <c r="L310" s="791"/>
      <c r="M310" s="791"/>
      <c r="N310" s="791"/>
      <c r="O310" s="791"/>
      <c r="P310" s="791"/>
      <c r="Q310" s="792"/>
    </row>
    <row r="311" spans="1:17" s="121" customFormat="1" ht="18" customHeight="1" x14ac:dyDescent="0.15">
      <c r="A311" s="218" t="s">
        <v>0</v>
      </c>
      <c r="B311" s="838" t="s">
        <v>1115</v>
      </c>
      <c r="C311" s="839"/>
      <c r="D311" s="839"/>
      <c r="E311" s="839"/>
      <c r="F311" s="839"/>
      <c r="G311" s="839"/>
      <c r="H311" s="839"/>
      <c r="I311" s="839"/>
      <c r="J311" s="839"/>
      <c r="K311" s="839"/>
      <c r="L311" s="839"/>
      <c r="M311" s="839"/>
      <c r="N311" s="839"/>
      <c r="O311" s="216" t="s">
        <v>73</v>
      </c>
      <c r="P311" s="795" t="s">
        <v>319</v>
      </c>
      <c r="Q311" s="796"/>
    </row>
    <row r="312" spans="1:17" x14ac:dyDescent="0.15">
      <c r="A312" s="790"/>
      <c r="B312" s="791"/>
      <c r="C312" s="791"/>
      <c r="D312" s="791"/>
      <c r="E312" s="791"/>
      <c r="F312" s="791"/>
      <c r="G312" s="791"/>
      <c r="H312" s="791"/>
      <c r="I312" s="791"/>
      <c r="J312" s="791"/>
      <c r="K312" s="791"/>
      <c r="L312" s="791"/>
      <c r="M312" s="791"/>
      <c r="N312" s="791"/>
      <c r="O312" s="791"/>
      <c r="P312" s="791"/>
      <c r="Q312" s="792"/>
    </row>
    <row r="313" spans="1:17" s="126" customFormat="1" ht="12.75" customHeight="1" x14ac:dyDescent="0.15">
      <c r="A313" s="802" t="s">
        <v>150</v>
      </c>
      <c r="B313" s="848" t="s">
        <v>151</v>
      </c>
      <c r="C313" s="849"/>
      <c r="D313" s="802"/>
      <c r="E313" s="825" t="s">
        <v>152</v>
      </c>
      <c r="F313" s="826"/>
      <c r="G313" s="834"/>
      <c r="H313" s="802" t="s">
        <v>153</v>
      </c>
      <c r="I313" s="802" t="s">
        <v>479</v>
      </c>
      <c r="J313" s="804" t="s">
        <v>73</v>
      </c>
      <c r="K313" s="216" t="s">
        <v>154</v>
      </c>
      <c r="L313" s="123"/>
      <c r="M313" s="124"/>
      <c r="N313" s="124"/>
      <c r="O313" s="124"/>
      <c r="P313" s="124"/>
      <c r="Q313" s="125"/>
    </row>
    <row r="314" spans="1:17" s="130" customFormat="1" x14ac:dyDescent="0.15">
      <c r="A314" s="803"/>
      <c r="B314" s="850"/>
      <c r="C314" s="851"/>
      <c r="D314" s="803"/>
      <c r="E314" s="217" t="s">
        <v>155</v>
      </c>
      <c r="F314" s="217" t="s">
        <v>156</v>
      </c>
      <c r="G314" s="217" t="s">
        <v>157</v>
      </c>
      <c r="H314" s="803"/>
      <c r="I314" s="803"/>
      <c r="J314" s="805"/>
      <c r="K314" s="216" t="s">
        <v>158</v>
      </c>
      <c r="L314" s="127"/>
      <c r="M314" s="128"/>
      <c r="N314" s="128"/>
      <c r="O314" s="128"/>
      <c r="P314" s="128"/>
      <c r="Q314" s="129"/>
    </row>
    <row r="315" spans="1:17" ht="17.25" customHeight="1" x14ac:dyDescent="0.15">
      <c r="A315" s="148"/>
      <c r="B315" s="788" t="s">
        <v>1117</v>
      </c>
      <c r="C315" s="789"/>
      <c r="D315" s="149"/>
      <c r="E315" s="143">
        <v>0</v>
      </c>
      <c r="F315" s="143">
        <v>0</v>
      </c>
      <c r="G315" s="143">
        <v>0</v>
      </c>
      <c r="H315" s="143">
        <v>2</v>
      </c>
      <c r="I315" s="143">
        <f>H315</f>
        <v>2</v>
      </c>
      <c r="J315" s="133" t="s">
        <v>319</v>
      </c>
      <c r="K315" s="143">
        <f>I315</f>
        <v>2</v>
      </c>
      <c r="L315" s="127"/>
      <c r="M315" s="128"/>
      <c r="N315" s="128"/>
      <c r="O315" s="128"/>
      <c r="P315" s="128"/>
      <c r="Q315" s="129"/>
    </row>
    <row r="316" spans="1:17" ht="14" x14ac:dyDescent="0.15">
      <c r="A316" s="795" t="s">
        <v>149</v>
      </c>
      <c r="B316" s="817"/>
      <c r="C316" s="817"/>
      <c r="D316" s="817"/>
      <c r="E316" s="817"/>
      <c r="F316" s="817"/>
      <c r="G316" s="817"/>
      <c r="H316" s="817"/>
      <c r="I316" s="817"/>
      <c r="J316" s="796"/>
      <c r="K316" s="416">
        <f>SUM(K315:K315)</f>
        <v>2</v>
      </c>
      <c r="L316" s="134"/>
      <c r="M316" s="135"/>
      <c r="N316" s="135"/>
      <c r="O316" s="135"/>
      <c r="P316" s="135"/>
      <c r="Q316" s="136"/>
    </row>
    <row r="317" spans="1:17" x14ac:dyDescent="0.15">
      <c r="A317" s="790"/>
      <c r="B317" s="791"/>
      <c r="C317" s="791"/>
      <c r="D317" s="791"/>
      <c r="E317" s="791"/>
      <c r="F317" s="791"/>
      <c r="G317" s="791"/>
      <c r="H317" s="791"/>
      <c r="I317" s="791"/>
      <c r="J317" s="791"/>
      <c r="K317" s="791"/>
      <c r="L317" s="791"/>
      <c r="M317" s="791"/>
      <c r="N317" s="791"/>
      <c r="O317" s="791"/>
      <c r="P317" s="791"/>
      <c r="Q317" s="792"/>
    </row>
    <row r="318" spans="1:17" s="121" customFormat="1" ht="18" customHeight="1" x14ac:dyDescent="0.15">
      <c r="A318" s="218" t="s">
        <v>0</v>
      </c>
      <c r="B318" s="838" t="s">
        <v>1118</v>
      </c>
      <c r="C318" s="839"/>
      <c r="D318" s="839"/>
      <c r="E318" s="839"/>
      <c r="F318" s="839"/>
      <c r="G318" s="839"/>
      <c r="H318" s="839"/>
      <c r="I318" s="839"/>
      <c r="J318" s="839"/>
      <c r="K318" s="839"/>
      <c r="L318" s="839"/>
      <c r="M318" s="839"/>
      <c r="N318" s="839"/>
      <c r="O318" s="216" t="s">
        <v>73</v>
      </c>
      <c r="P318" s="795" t="s">
        <v>319</v>
      </c>
      <c r="Q318" s="796"/>
    </row>
    <row r="319" spans="1:17" x14ac:dyDescent="0.15">
      <c r="A319" s="790"/>
      <c r="B319" s="791"/>
      <c r="C319" s="791"/>
      <c r="D319" s="791"/>
      <c r="E319" s="791"/>
      <c r="F319" s="791"/>
      <c r="G319" s="791"/>
      <c r="H319" s="791"/>
      <c r="I319" s="791"/>
      <c r="J319" s="791"/>
      <c r="K319" s="791"/>
      <c r="L319" s="791"/>
      <c r="M319" s="791"/>
      <c r="N319" s="791"/>
      <c r="O319" s="791"/>
      <c r="P319" s="791"/>
      <c r="Q319" s="792"/>
    </row>
    <row r="320" spans="1:17" s="126" customFormat="1" ht="12.75" customHeight="1" x14ac:dyDescent="0.15">
      <c r="A320" s="802" t="s">
        <v>150</v>
      </c>
      <c r="B320" s="848" t="s">
        <v>151</v>
      </c>
      <c r="C320" s="849"/>
      <c r="D320" s="802"/>
      <c r="E320" s="825" t="s">
        <v>152</v>
      </c>
      <c r="F320" s="826"/>
      <c r="G320" s="834"/>
      <c r="H320" s="802" t="s">
        <v>153</v>
      </c>
      <c r="I320" s="802" t="s">
        <v>479</v>
      </c>
      <c r="J320" s="804" t="s">
        <v>73</v>
      </c>
      <c r="K320" s="216" t="s">
        <v>154</v>
      </c>
      <c r="L320" s="123"/>
      <c r="M320" s="124"/>
      <c r="N320" s="124"/>
      <c r="O320" s="124"/>
      <c r="P320" s="124"/>
      <c r="Q320" s="125"/>
    </row>
    <row r="321" spans="1:17" s="130" customFormat="1" x14ac:dyDescent="0.15">
      <c r="A321" s="803"/>
      <c r="B321" s="850"/>
      <c r="C321" s="851"/>
      <c r="D321" s="803"/>
      <c r="E321" s="217" t="s">
        <v>155</v>
      </c>
      <c r="F321" s="217" t="s">
        <v>156</v>
      </c>
      <c r="G321" s="217" t="s">
        <v>157</v>
      </c>
      <c r="H321" s="803"/>
      <c r="I321" s="803"/>
      <c r="J321" s="805"/>
      <c r="K321" s="216" t="s">
        <v>158</v>
      </c>
      <c r="L321" s="127"/>
      <c r="M321" s="128"/>
      <c r="N321" s="128"/>
      <c r="O321" s="128"/>
      <c r="P321" s="128"/>
      <c r="Q321" s="129"/>
    </row>
    <row r="322" spans="1:17" ht="17.25" customHeight="1" x14ac:dyDescent="0.15">
      <c r="A322" s="148"/>
      <c r="B322" s="788" t="s">
        <v>1119</v>
      </c>
      <c r="C322" s="789"/>
      <c r="D322" s="149"/>
      <c r="E322" s="143">
        <v>0</v>
      </c>
      <c r="F322" s="143">
        <v>0</v>
      </c>
      <c r="G322" s="143">
        <v>0</v>
      </c>
      <c r="H322" s="143">
        <v>10</v>
      </c>
      <c r="I322" s="143">
        <f>H322</f>
        <v>10</v>
      </c>
      <c r="J322" s="133" t="s">
        <v>319</v>
      </c>
      <c r="K322" s="143">
        <f>I322</f>
        <v>10</v>
      </c>
      <c r="L322" s="127"/>
      <c r="M322" s="128"/>
      <c r="N322" s="128"/>
      <c r="O322" s="128"/>
      <c r="P322" s="128"/>
      <c r="Q322" s="129"/>
    </row>
    <row r="323" spans="1:17" ht="14" x14ac:dyDescent="0.15">
      <c r="A323" s="795" t="s">
        <v>149</v>
      </c>
      <c r="B323" s="817"/>
      <c r="C323" s="817"/>
      <c r="D323" s="817"/>
      <c r="E323" s="817"/>
      <c r="F323" s="817"/>
      <c r="G323" s="817"/>
      <c r="H323" s="817"/>
      <c r="I323" s="817"/>
      <c r="J323" s="796"/>
      <c r="K323" s="416">
        <f>SUM(K322:K322)</f>
        <v>10</v>
      </c>
      <c r="L323" s="134"/>
      <c r="M323" s="135"/>
      <c r="N323" s="135"/>
      <c r="O323" s="135"/>
      <c r="P323" s="135"/>
      <c r="Q323" s="136"/>
    </row>
    <row r="324" spans="1:17" x14ac:dyDescent="0.15">
      <c r="A324" s="790"/>
      <c r="B324" s="791"/>
      <c r="C324" s="791"/>
      <c r="D324" s="791"/>
      <c r="E324" s="791"/>
      <c r="F324" s="791"/>
      <c r="G324" s="791"/>
      <c r="H324" s="791"/>
      <c r="I324" s="791"/>
      <c r="J324" s="791"/>
      <c r="K324" s="791"/>
      <c r="L324" s="791"/>
      <c r="M324" s="791"/>
      <c r="N324" s="791"/>
      <c r="O324" s="791"/>
      <c r="P324" s="791"/>
      <c r="Q324" s="792"/>
    </row>
    <row r="325" spans="1:17" s="121" customFormat="1" ht="18" customHeight="1" x14ac:dyDescent="0.15">
      <c r="A325" s="218" t="s">
        <v>0</v>
      </c>
      <c r="B325" s="838" t="s">
        <v>1120</v>
      </c>
      <c r="C325" s="839"/>
      <c r="D325" s="839"/>
      <c r="E325" s="839"/>
      <c r="F325" s="839"/>
      <c r="G325" s="839"/>
      <c r="H325" s="839"/>
      <c r="I325" s="839"/>
      <c r="J325" s="839"/>
      <c r="K325" s="839"/>
      <c r="L325" s="839"/>
      <c r="M325" s="839"/>
      <c r="N325" s="839"/>
      <c r="O325" s="216" t="s">
        <v>73</v>
      </c>
      <c r="P325" s="795" t="s">
        <v>319</v>
      </c>
      <c r="Q325" s="796"/>
    </row>
    <row r="326" spans="1:17" x14ac:dyDescent="0.15">
      <c r="A326" s="790"/>
      <c r="B326" s="791"/>
      <c r="C326" s="791"/>
      <c r="D326" s="791"/>
      <c r="E326" s="791"/>
      <c r="F326" s="791"/>
      <c r="G326" s="791"/>
      <c r="H326" s="791"/>
      <c r="I326" s="791"/>
      <c r="J326" s="791"/>
      <c r="K326" s="791"/>
      <c r="L326" s="791"/>
      <c r="M326" s="791"/>
      <c r="N326" s="791"/>
      <c r="O326" s="791"/>
      <c r="P326" s="791"/>
      <c r="Q326" s="792"/>
    </row>
    <row r="327" spans="1:17" s="126" customFormat="1" ht="12.75" customHeight="1" x14ac:dyDescent="0.15">
      <c r="A327" s="802" t="s">
        <v>150</v>
      </c>
      <c r="B327" s="848" t="s">
        <v>151</v>
      </c>
      <c r="C327" s="849"/>
      <c r="D327" s="802"/>
      <c r="E327" s="825" t="s">
        <v>152</v>
      </c>
      <c r="F327" s="826"/>
      <c r="G327" s="834"/>
      <c r="H327" s="802" t="s">
        <v>153</v>
      </c>
      <c r="I327" s="802" t="s">
        <v>479</v>
      </c>
      <c r="J327" s="804" t="s">
        <v>73</v>
      </c>
      <c r="K327" s="216" t="s">
        <v>154</v>
      </c>
      <c r="L327" s="123"/>
      <c r="M327" s="124"/>
      <c r="N327" s="124"/>
      <c r="O327" s="124"/>
      <c r="P327" s="124"/>
      <c r="Q327" s="125"/>
    </row>
    <row r="328" spans="1:17" s="130" customFormat="1" x14ac:dyDescent="0.15">
      <c r="A328" s="803"/>
      <c r="B328" s="850"/>
      <c r="C328" s="851"/>
      <c r="D328" s="803"/>
      <c r="E328" s="217" t="s">
        <v>155</v>
      </c>
      <c r="F328" s="217" t="s">
        <v>156</v>
      </c>
      <c r="G328" s="217" t="s">
        <v>157</v>
      </c>
      <c r="H328" s="803"/>
      <c r="I328" s="803"/>
      <c r="J328" s="805"/>
      <c r="K328" s="216" t="s">
        <v>158</v>
      </c>
      <c r="L328" s="127"/>
      <c r="M328" s="128"/>
      <c r="N328" s="128"/>
      <c r="O328" s="128"/>
      <c r="P328" s="128"/>
      <c r="Q328" s="129"/>
    </row>
    <row r="329" spans="1:17" ht="17.25" customHeight="1" x14ac:dyDescent="0.15">
      <c r="A329" s="148"/>
      <c r="B329" s="788" t="s">
        <v>1122</v>
      </c>
      <c r="C329" s="789"/>
      <c r="D329" s="149"/>
      <c r="E329" s="143">
        <v>0</v>
      </c>
      <c r="F329" s="143">
        <v>0</v>
      </c>
      <c r="G329" s="143">
        <v>0</v>
      </c>
      <c r="H329" s="143">
        <v>6</v>
      </c>
      <c r="I329" s="143">
        <f>H329</f>
        <v>6</v>
      </c>
      <c r="J329" s="133" t="s">
        <v>319</v>
      </c>
      <c r="K329" s="143">
        <f>I329</f>
        <v>6</v>
      </c>
      <c r="L329" s="127"/>
      <c r="M329" s="128"/>
      <c r="N329" s="128"/>
      <c r="O329" s="128"/>
      <c r="P329" s="128"/>
      <c r="Q329" s="129"/>
    </row>
    <row r="330" spans="1:17" ht="14" x14ac:dyDescent="0.15">
      <c r="A330" s="795" t="s">
        <v>149</v>
      </c>
      <c r="B330" s="817"/>
      <c r="C330" s="817"/>
      <c r="D330" s="817"/>
      <c r="E330" s="817"/>
      <c r="F330" s="817"/>
      <c r="G330" s="817"/>
      <c r="H330" s="817"/>
      <c r="I330" s="817"/>
      <c r="J330" s="796"/>
      <c r="K330" s="416">
        <f>SUM(K329:K329)</f>
        <v>6</v>
      </c>
      <c r="L330" s="134"/>
      <c r="M330" s="135"/>
      <c r="N330" s="135"/>
      <c r="O330" s="135"/>
      <c r="P330" s="135"/>
      <c r="Q330" s="136"/>
    </row>
    <row r="331" spans="1:17" x14ac:dyDescent="0.15">
      <c r="A331" s="790"/>
      <c r="B331" s="791"/>
      <c r="C331" s="791"/>
      <c r="D331" s="791"/>
      <c r="E331" s="791"/>
      <c r="F331" s="791"/>
      <c r="G331" s="791"/>
      <c r="H331" s="791"/>
      <c r="I331" s="791"/>
      <c r="J331" s="791"/>
      <c r="K331" s="791"/>
      <c r="L331" s="791"/>
      <c r="M331" s="791"/>
      <c r="N331" s="791"/>
      <c r="O331" s="791"/>
      <c r="P331" s="791"/>
      <c r="Q331" s="792"/>
    </row>
    <row r="332" spans="1:17" s="121" customFormat="1" ht="18" customHeight="1" x14ac:dyDescent="0.15">
      <c r="A332" s="218" t="s">
        <v>0</v>
      </c>
      <c r="B332" s="838" t="s">
        <v>1121</v>
      </c>
      <c r="C332" s="839"/>
      <c r="D332" s="839"/>
      <c r="E332" s="839"/>
      <c r="F332" s="839"/>
      <c r="G332" s="839"/>
      <c r="H332" s="839"/>
      <c r="I332" s="839"/>
      <c r="J332" s="839"/>
      <c r="K332" s="839"/>
      <c r="L332" s="839"/>
      <c r="M332" s="839"/>
      <c r="N332" s="839"/>
      <c r="O332" s="216" t="s">
        <v>73</v>
      </c>
      <c r="P332" s="795" t="s">
        <v>5</v>
      </c>
      <c r="Q332" s="796"/>
    </row>
    <row r="333" spans="1:17" x14ac:dyDescent="0.15">
      <c r="A333" s="790"/>
      <c r="B333" s="791"/>
      <c r="C333" s="791"/>
      <c r="D333" s="791"/>
      <c r="E333" s="791"/>
      <c r="F333" s="791"/>
      <c r="G333" s="791"/>
      <c r="H333" s="791"/>
      <c r="I333" s="791"/>
      <c r="J333" s="791"/>
      <c r="K333" s="791"/>
      <c r="L333" s="791"/>
      <c r="M333" s="791"/>
      <c r="N333" s="791"/>
      <c r="O333" s="791"/>
      <c r="P333" s="791"/>
      <c r="Q333" s="792"/>
    </row>
    <row r="334" spans="1:17" s="126" customFormat="1" x14ac:dyDescent="0.15">
      <c r="A334" s="822" t="s">
        <v>150</v>
      </c>
      <c r="B334" s="823" t="s">
        <v>151</v>
      </c>
      <c r="C334" s="823"/>
      <c r="D334" s="832" t="s">
        <v>246</v>
      </c>
      <c r="E334" s="823" t="s">
        <v>152</v>
      </c>
      <c r="F334" s="823"/>
      <c r="G334" s="823"/>
      <c r="H334" s="802" t="s">
        <v>153</v>
      </c>
      <c r="I334" s="802" t="s">
        <v>159</v>
      </c>
      <c r="J334" s="804" t="s">
        <v>73</v>
      </c>
      <c r="K334" s="216" t="s">
        <v>154</v>
      </c>
      <c r="L334" s="123"/>
      <c r="M334" s="124"/>
      <c r="N334" s="124"/>
      <c r="O334" s="124"/>
      <c r="P334" s="124"/>
      <c r="Q334" s="125"/>
    </row>
    <row r="335" spans="1:17" s="130" customFormat="1" x14ac:dyDescent="0.15">
      <c r="A335" s="822"/>
      <c r="B335" s="823"/>
      <c r="C335" s="823"/>
      <c r="D335" s="833"/>
      <c r="E335" s="217" t="s">
        <v>155</v>
      </c>
      <c r="F335" s="217" t="s">
        <v>156</v>
      </c>
      <c r="G335" s="217" t="s">
        <v>157</v>
      </c>
      <c r="H335" s="803"/>
      <c r="I335" s="803"/>
      <c r="J335" s="805"/>
      <c r="K335" s="216" t="s">
        <v>158</v>
      </c>
      <c r="L335" s="127"/>
      <c r="M335" s="128"/>
      <c r="N335" s="128"/>
      <c r="O335" s="128"/>
      <c r="P335" s="128"/>
      <c r="Q335" s="129"/>
    </row>
    <row r="336" spans="1:17" ht="27.75" customHeight="1" x14ac:dyDescent="0.15">
      <c r="A336" s="148"/>
      <c r="B336" s="815" t="s">
        <v>1123</v>
      </c>
      <c r="C336" s="816"/>
      <c r="D336" s="219">
        <v>0</v>
      </c>
      <c r="E336" s="132">
        <v>1.3</v>
      </c>
      <c r="F336" s="144">
        <v>1</v>
      </c>
      <c r="G336" s="144">
        <v>0</v>
      </c>
      <c r="H336" s="132">
        <v>2</v>
      </c>
      <c r="I336" s="143">
        <f>F336*E336</f>
        <v>1.3</v>
      </c>
      <c r="J336" s="133" t="s">
        <v>5</v>
      </c>
      <c r="K336" s="143">
        <f t="shared" ref="K336" si="46">(I336*H336)-D336</f>
        <v>2.6</v>
      </c>
      <c r="L336" s="127"/>
      <c r="M336" s="128"/>
      <c r="N336" s="128"/>
      <c r="O336" s="128"/>
      <c r="P336" s="128"/>
      <c r="Q336" s="129"/>
    </row>
    <row r="337" spans="1:17" ht="14" x14ac:dyDescent="0.15">
      <c r="A337" s="795" t="s">
        <v>149</v>
      </c>
      <c r="B337" s="817"/>
      <c r="C337" s="817"/>
      <c r="D337" s="817"/>
      <c r="E337" s="817"/>
      <c r="F337" s="817"/>
      <c r="G337" s="817"/>
      <c r="H337" s="817"/>
      <c r="I337" s="817"/>
      <c r="J337" s="796"/>
      <c r="K337" s="416">
        <f>SUM(K336)</f>
        <v>2.6</v>
      </c>
      <c r="L337" s="134"/>
      <c r="M337" s="135"/>
      <c r="N337" s="135"/>
      <c r="O337" s="135"/>
      <c r="P337" s="135"/>
      <c r="Q337" s="136"/>
    </row>
    <row r="338" spans="1:17" x14ac:dyDescent="0.15">
      <c r="A338" s="790"/>
      <c r="B338" s="791"/>
      <c r="C338" s="791"/>
      <c r="D338" s="791"/>
      <c r="E338" s="791"/>
      <c r="F338" s="791"/>
      <c r="G338" s="791"/>
      <c r="H338" s="791"/>
      <c r="I338" s="791"/>
      <c r="J338" s="791"/>
      <c r="K338" s="791"/>
      <c r="L338" s="791"/>
      <c r="M338" s="791"/>
      <c r="N338" s="791"/>
      <c r="O338" s="791"/>
      <c r="P338" s="791"/>
      <c r="Q338" s="792"/>
    </row>
    <row r="339" spans="1:17" s="121" customFormat="1" ht="18" customHeight="1" x14ac:dyDescent="0.15">
      <c r="A339" s="218" t="s">
        <v>0</v>
      </c>
      <c r="B339" s="838" t="s">
        <v>1124</v>
      </c>
      <c r="C339" s="839"/>
      <c r="D339" s="839"/>
      <c r="E339" s="839"/>
      <c r="F339" s="839"/>
      <c r="G339" s="839"/>
      <c r="H339" s="839"/>
      <c r="I339" s="839"/>
      <c r="J339" s="839"/>
      <c r="K339" s="839"/>
      <c r="L339" s="839"/>
      <c r="M339" s="839"/>
      <c r="N339" s="839"/>
      <c r="O339" s="216" t="s">
        <v>73</v>
      </c>
      <c r="P339" s="795" t="s">
        <v>5</v>
      </c>
      <c r="Q339" s="796"/>
    </row>
    <row r="340" spans="1:17" x14ac:dyDescent="0.15">
      <c r="A340" s="790"/>
      <c r="B340" s="791"/>
      <c r="C340" s="791"/>
      <c r="D340" s="791"/>
      <c r="E340" s="791"/>
      <c r="F340" s="791"/>
      <c r="G340" s="791"/>
      <c r="H340" s="791"/>
      <c r="I340" s="791"/>
      <c r="J340" s="791"/>
      <c r="K340" s="791"/>
      <c r="L340" s="791"/>
      <c r="M340" s="791"/>
      <c r="N340" s="791"/>
      <c r="O340" s="791"/>
      <c r="P340" s="791"/>
      <c r="Q340" s="792"/>
    </row>
    <row r="341" spans="1:17" s="126" customFormat="1" x14ac:dyDescent="0.15">
      <c r="A341" s="822" t="s">
        <v>150</v>
      </c>
      <c r="B341" s="823" t="s">
        <v>151</v>
      </c>
      <c r="C341" s="823"/>
      <c r="D341" s="832" t="s">
        <v>246</v>
      </c>
      <c r="E341" s="823" t="s">
        <v>152</v>
      </c>
      <c r="F341" s="823"/>
      <c r="G341" s="823"/>
      <c r="H341" s="802" t="s">
        <v>153</v>
      </c>
      <c r="I341" s="802" t="s">
        <v>159</v>
      </c>
      <c r="J341" s="804" t="s">
        <v>73</v>
      </c>
      <c r="K341" s="216" t="s">
        <v>154</v>
      </c>
      <c r="L341" s="123"/>
      <c r="M341" s="124"/>
      <c r="N341" s="124"/>
      <c r="O341" s="124"/>
      <c r="P341" s="124"/>
      <c r="Q341" s="125"/>
    </row>
    <row r="342" spans="1:17" s="130" customFormat="1" x14ac:dyDescent="0.15">
      <c r="A342" s="822"/>
      <c r="B342" s="823"/>
      <c r="C342" s="823"/>
      <c r="D342" s="833"/>
      <c r="E342" s="217" t="s">
        <v>155</v>
      </c>
      <c r="F342" s="217" t="s">
        <v>156</v>
      </c>
      <c r="G342" s="217" t="s">
        <v>157</v>
      </c>
      <c r="H342" s="803"/>
      <c r="I342" s="803"/>
      <c r="J342" s="805"/>
      <c r="K342" s="216" t="s">
        <v>158</v>
      </c>
      <c r="L342" s="127"/>
      <c r="M342" s="128"/>
      <c r="N342" s="128"/>
      <c r="O342" s="128"/>
      <c r="P342" s="128"/>
      <c r="Q342" s="129"/>
    </row>
    <row r="343" spans="1:17" ht="27.75" customHeight="1" x14ac:dyDescent="0.15">
      <c r="A343" s="148"/>
      <c r="B343" s="815" t="s">
        <v>1125</v>
      </c>
      <c r="C343" s="816"/>
      <c r="D343" s="219">
        <v>0</v>
      </c>
      <c r="E343" s="132">
        <v>4.68</v>
      </c>
      <c r="F343" s="144">
        <v>1.8</v>
      </c>
      <c r="G343" s="144">
        <v>0</v>
      </c>
      <c r="H343" s="132">
        <v>1</v>
      </c>
      <c r="I343" s="143">
        <f>F343*E343</f>
        <v>8.4239999999999995</v>
      </c>
      <c r="J343" s="133" t="s">
        <v>5</v>
      </c>
      <c r="K343" s="143">
        <f t="shared" ref="K343" si="47">(I343*H343)-D343</f>
        <v>8.4239999999999995</v>
      </c>
      <c r="L343" s="127"/>
      <c r="M343" s="128"/>
      <c r="N343" s="128"/>
      <c r="O343" s="128"/>
      <c r="P343" s="128"/>
      <c r="Q343" s="129"/>
    </row>
    <row r="344" spans="1:17" ht="14" x14ac:dyDescent="0.15">
      <c r="A344" s="795" t="s">
        <v>149</v>
      </c>
      <c r="B344" s="817"/>
      <c r="C344" s="817"/>
      <c r="D344" s="817"/>
      <c r="E344" s="817"/>
      <c r="F344" s="817"/>
      <c r="G344" s="817"/>
      <c r="H344" s="817"/>
      <c r="I344" s="817"/>
      <c r="J344" s="796"/>
      <c r="K344" s="416">
        <f>SUM(K343)</f>
        <v>8.4239999999999995</v>
      </c>
      <c r="L344" s="134"/>
      <c r="M344" s="135"/>
      <c r="N344" s="135"/>
      <c r="O344" s="135"/>
      <c r="P344" s="135"/>
      <c r="Q344" s="136"/>
    </row>
    <row r="345" spans="1:17" x14ac:dyDescent="0.15">
      <c r="A345" s="790"/>
      <c r="B345" s="791"/>
      <c r="C345" s="791"/>
      <c r="D345" s="791"/>
      <c r="E345" s="791"/>
      <c r="F345" s="791"/>
      <c r="G345" s="791"/>
      <c r="H345" s="791"/>
      <c r="I345" s="791"/>
      <c r="J345" s="791"/>
      <c r="K345" s="791"/>
      <c r="L345" s="791"/>
      <c r="M345" s="791"/>
      <c r="N345" s="791"/>
      <c r="O345" s="791"/>
      <c r="P345" s="791"/>
      <c r="Q345" s="792"/>
    </row>
    <row r="346" spans="1:17" s="121" customFormat="1" ht="18" customHeight="1" x14ac:dyDescent="0.15">
      <c r="A346" s="218" t="s">
        <v>0</v>
      </c>
      <c r="B346" s="838" t="s">
        <v>1126</v>
      </c>
      <c r="C346" s="839"/>
      <c r="D346" s="839"/>
      <c r="E346" s="839"/>
      <c r="F346" s="839"/>
      <c r="G346" s="839"/>
      <c r="H346" s="839"/>
      <c r="I346" s="839"/>
      <c r="J346" s="839"/>
      <c r="K346" s="839"/>
      <c r="L346" s="839"/>
      <c r="M346" s="839"/>
      <c r="N346" s="839"/>
      <c r="O346" s="216" t="s">
        <v>73</v>
      </c>
      <c r="P346" s="795" t="s">
        <v>319</v>
      </c>
      <c r="Q346" s="796"/>
    </row>
    <row r="347" spans="1:17" x14ac:dyDescent="0.15">
      <c r="A347" s="790"/>
      <c r="B347" s="791"/>
      <c r="C347" s="791"/>
      <c r="D347" s="791"/>
      <c r="E347" s="791"/>
      <c r="F347" s="791"/>
      <c r="G347" s="791"/>
      <c r="H347" s="791"/>
      <c r="I347" s="791"/>
      <c r="J347" s="791"/>
      <c r="K347" s="791"/>
      <c r="L347" s="791"/>
      <c r="M347" s="791"/>
      <c r="N347" s="791"/>
      <c r="O347" s="791"/>
      <c r="P347" s="791"/>
      <c r="Q347" s="792"/>
    </row>
    <row r="348" spans="1:17" s="126" customFormat="1" ht="12.75" customHeight="1" x14ac:dyDescent="0.15">
      <c r="A348" s="802" t="s">
        <v>150</v>
      </c>
      <c r="B348" s="848" t="s">
        <v>151</v>
      </c>
      <c r="C348" s="849"/>
      <c r="D348" s="802"/>
      <c r="E348" s="825" t="s">
        <v>152</v>
      </c>
      <c r="F348" s="826"/>
      <c r="G348" s="834"/>
      <c r="H348" s="802" t="s">
        <v>153</v>
      </c>
      <c r="I348" s="802" t="s">
        <v>319</v>
      </c>
      <c r="J348" s="804" t="s">
        <v>73</v>
      </c>
      <c r="K348" s="216" t="s">
        <v>154</v>
      </c>
      <c r="L348" s="123"/>
      <c r="M348" s="124"/>
      <c r="N348" s="124"/>
      <c r="O348" s="124"/>
      <c r="P348" s="124"/>
      <c r="Q348" s="125"/>
    </row>
    <row r="349" spans="1:17" s="130" customFormat="1" x14ac:dyDescent="0.15">
      <c r="A349" s="803"/>
      <c r="B349" s="850"/>
      <c r="C349" s="851"/>
      <c r="D349" s="803"/>
      <c r="E349" s="217" t="s">
        <v>155</v>
      </c>
      <c r="F349" s="217" t="s">
        <v>156</v>
      </c>
      <c r="G349" s="217" t="s">
        <v>157</v>
      </c>
      <c r="H349" s="803"/>
      <c r="I349" s="803"/>
      <c r="J349" s="805"/>
      <c r="K349" s="216" t="s">
        <v>158</v>
      </c>
      <c r="L349" s="127"/>
      <c r="M349" s="128"/>
      <c r="N349" s="128"/>
      <c r="O349" s="128"/>
      <c r="P349" s="128"/>
      <c r="Q349" s="129"/>
    </row>
    <row r="350" spans="1:17" ht="17.25" customHeight="1" x14ac:dyDescent="0.15">
      <c r="A350" s="148"/>
      <c r="B350" s="788" t="s">
        <v>1127</v>
      </c>
      <c r="C350" s="789"/>
      <c r="D350" s="149"/>
      <c r="E350" s="143">
        <v>0</v>
      </c>
      <c r="F350" s="143">
        <v>0</v>
      </c>
      <c r="G350" s="143">
        <v>0</v>
      </c>
      <c r="H350" s="143">
        <v>1</v>
      </c>
      <c r="I350" s="143">
        <f>H350</f>
        <v>1</v>
      </c>
      <c r="J350" s="133" t="s">
        <v>319</v>
      </c>
      <c r="K350" s="143">
        <f>I350</f>
        <v>1</v>
      </c>
      <c r="L350" s="127"/>
      <c r="M350" s="128"/>
      <c r="N350" s="128"/>
      <c r="O350" s="128"/>
      <c r="P350" s="128"/>
      <c r="Q350" s="129"/>
    </row>
    <row r="351" spans="1:17" ht="14" x14ac:dyDescent="0.15">
      <c r="A351" s="795" t="s">
        <v>149</v>
      </c>
      <c r="B351" s="817"/>
      <c r="C351" s="817"/>
      <c r="D351" s="817"/>
      <c r="E351" s="817"/>
      <c r="F351" s="817"/>
      <c r="G351" s="817"/>
      <c r="H351" s="817"/>
      <c r="I351" s="817"/>
      <c r="J351" s="796"/>
      <c r="K351" s="416">
        <f>SUM(K350:K350)</f>
        <v>1</v>
      </c>
      <c r="L351" s="134"/>
      <c r="M351" s="135"/>
      <c r="N351" s="135"/>
      <c r="O351" s="135"/>
      <c r="P351" s="135"/>
      <c r="Q351" s="136"/>
    </row>
    <row r="352" spans="1:17" x14ac:dyDescent="0.15">
      <c r="A352" s="790"/>
      <c r="B352" s="791"/>
      <c r="C352" s="791"/>
      <c r="D352" s="791"/>
      <c r="E352" s="791"/>
      <c r="F352" s="791"/>
      <c r="G352" s="791"/>
      <c r="H352" s="791"/>
      <c r="I352" s="791"/>
      <c r="J352" s="791"/>
      <c r="K352" s="791"/>
      <c r="L352" s="791"/>
      <c r="M352" s="791"/>
      <c r="N352" s="791"/>
      <c r="O352" s="791"/>
      <c r="P352" s="791"/>
      <c r="Q352" s="792"/>
    </row>
    <row r="353" spans="1:17" s="121" customFormat="1" ht="18" customHeight="1" x14ac:dyDescent="0.15">
      <c r="A353" s="218" t="s">
        <v>0</v>
      </c>
      <c r="B353" s="838" t="s">
        <v>1163</v>
      </c>
      <c r="C353" s="839"/>
      <c r="D353" s="839"/>
      <c r="E353" s="839"/>
      <c r="F353" s="839"/>
      <c r="G353" s="839"/>
      <c r="H353" s="839"/>
      <c r="I353" s="839"/>
      <c r="J353" s="839"/>
      <c r="K353" s="839"/>
      <c r="L353" s="839"/>
      <c r="M353" s="839"/>
      <c r="N353" s="839"/>
      <c r="O353" s="216" t="s">
        <v>73</v>
      </c>
      <c r="P353" s="795" t="s">
        <v>319</v>
      </c>
      <c r="Q353" s="796"/>
    </row>
    <row r="354" spans="1:17" x14ac:dyDescent="0.15">
      <c r="A354" s="790"/>
      <c r="B354" s="791"/>
      <c r="C354" s="791"/>
      <c r="D354" s="791"/>
      <c r="E354" s="791"/>
      <c r="F354" s="791"/>
      <c r="G354" s="791"/>
      <c r="H354" s="791"/>
      <c r="I354" s="791"/>
      <c r="J354" s="791"/>
      <c r="K354" s="791"/>
      <c r="L354" s="791"/>
      <c r="M354" s="791"/>
      <c r="N354" s="791"/>
      <c r="O354" s="791"/>
      <c r="P354" s="791"/>
      <c r="Q354" s="792"/>
    </row>
    <row r="355" spans="1:17" s="126" customFormat="1" x14ac:dyDescent="0.15">
      <c r="A355" s="822" t="s">
        <v>150</v>
      </c>
      <c r="B355" s="823" t="s">
        <v>151</v>
      </c>
      <c r="C355" s="823"/>
      <c r="D355" s="832" t="s">
        <v>246</v>
      </c>
      <c r="E355" s="823" t="s">
        <v>152</v>
      </c>
      <c r="F355" s="823"/>
      <c r="G355" s="823"/>
      <c r="H355" s="802" t="s">
        <v>153</v>
      </c>
      <c r="I355" s="802" t="s">
        <v>319</v>
      </c>
      <c r="J355" s="804" t="s">
        <v>73</v>
      </c>
      <c r="K355" s="216" t="s">
        <v>154</v>
      </c>
      <c r="L355" s="123"/>
      <c r="M355" s="124"/>
      <c r="N355" s="124"/>
      <c r="O355" s="124"/>
      <c r="P355" s="124"/>
      <c r="Q355" s="125"/>
    </row>
    <row r="356" spans="1:17" s="130" customFormat="1" x14ac:dyDescent="0.15">
      <c r="A356" s="822"/>
      <c r="B356" s="823"/>
      <c r="C356" s="823"/>
      <c r="D356" s="833"/>
      <c r="E356" s="217" t="s">
        <v>155</v>
      </c>
      <c r="F356" s="217" t="s">
        <v>156</v>
      </c>
      <c r="G356" s="217" t="s">
        <v>157</v>
      </c>
      <c r="H356" s="803"/>
      <c r="I356" s="803"/>
      <c r="J356" s="805"/>
      <c r="K356" s="216" t="s">
        <v>158</v>
      </c>
      <c r="L356" s="127"/>
      <c r="M356" s="128"/>
      <c r="N356" s="128"/>
      <c r="O356" s="128"/>
      <c r="P356" s="128"/>
      <c r="Q356" s="129"/>
    </row>
    <row r="357" spans="1:17" ht="27.75" customHeight="1" x14ac:dyDescent="0.15">
      <c r="A357" s="148"/>
      <c r="B357" s="815" t="s">
        <v>1160</v>
      </c>
      <c r="C357" s="816"/>
      <c r="D357" s="219">
        <v>0</v>
      </c>
      <c r="E357" s="132">
        <v>2.5</v>
      </c>
      <c r="F357" s="144">
        <v>2</v>
      </c>
      <c r="G357" s="144">
        <v>0</v>
      </c>
      <c r="H357" s="132">
        <v>1</v>
      </c>
      <c r="I357" s="143">
        <v>1</v>
      </c>
      <c r="J357" s="133" t="s">
        <v>319</v>
      </c>
      <c r="K357" s="143">
        <f t="shared" ref="K357" si="48">(I357*H357)-D357</f>
        <v>1</v>
      </c>
      <c r="L357" s="127"/>
      <c r="M357" s="128"/>
      <c r="N357" s="128"/>
      <c r="O357" s="128"/>
      <c r="P357" s="128"/>
      <c r="Q357" s="129"/>
    </row>
    <row r="358" spans="1:17" ht="14" x14ac:dyDescent="0.15">
      <c r="A358" s="795" t="s">
        <v>149</v>
      </c>
      <c r="B358" s="817"/>
      <c r="C358" s="817"/>
      <c r="D358" s="817"/>
      <c r="E358" s="817"/>
      <c r="F358" s="817"/>
      <c r="G358" s="817"/>
      <c r="H358" s="817"/>
      <c r="I358" s="817"/>
      <c r="J358" s="796"/>
      <c r="K358" s="416">
        <f>SUM(K357)</f>
        <v>1</v>
      </c>
      <c r="L358" s="134"/>
      <c r="M358" s="135"/>
      <c r="N358" s="135"/>
      <c r="O358" s="135"/>
      <c r="P358" s="135"/>
      <c r="Q358" s="136"/>
    </row>
    <row r="359" spans="1:17" x14ac:dyDescent="0.15">
      <c r="A359" s="790"/>
      <c r="B359" s="791"/>
      <c r="C359" s="791"/>
      <c r="D359" s="791"/>
      <c r="E359" s="791"/>
      <c r="F359" s="791"/>
      <c r="G359" s="791"/>
      <c r="H359" s="791"/>
      <c r="I359" s="791"/>
      <c r="J359" s="791"/>
      <c r="K359" s="791"/>
      <c r="L359" s="791"/>
      <c r="M359" s="791"/>
      <c r="N359" s="791"/>
      <c r="O359" s="791"/>
      <c r="P359" s="791"/>
      <c r="Q359" s="792"/>
    </row>
    <row r="360" spans="1:17" s="121" customFormat="1" ht="18" customHeight="1" x14ac:dyDescent="0.15">
      <c r="A360" s="218" t="s">
        <v>0</v>
      </c>
      <c r="B360" s="830" t="s">
        <v>1063</v>
      </c>
      <c r="C360" s="831"/>
      <c r="D360" s="831"/>
      <c r="E360" s="831"/>
      <c r="F360" s="831"/>
      <c r="G360" s="831"/>
      <c r="H360" s="831"/>
      <c r="I360" s="831"/>
      <c r="J360" s="831"/>
      <c r="K360" s="831"/>
      <c r="L360" s="831"/>
      <c r="M360" s="831"/>
      <c r="N360" s="831"/>
      <c r="O360" s="216" t="s">
        <v>73</v>
      </c>
      <c r="P360" s="795" t="s">
        <v>319</v>
      </c>
      <c r="Q360" s="796"/>
    </row>
    <row r="361" spans="1:17" x14ac:dyDescent="0.15">
      <c r="A361" s="790"/>
      <c r="B361" s="791"/>
      <c r="C361" s="791"/>
      <c r="D361" s="791"/>
      <c r="E361" s="791"/>
      <c r="F361" s="791"/>
      <c r="G361" s="791"/>
      <c r="H361" s="791"/>
      <c r="I361" s="791"/>
      <c r="J361" s="791"/>
      <c r="K361" s="791"/>
      <c r="L361" s="791"/>
      <c r="M361" s="791"/>
      <c r="N361" s="791"/>
      <c r="O361" s="791"/>
      <c r="P361" s="791"/>
      <c r="Q361" s="792"/>
    </row>
    <row r="362" spans="1:17" s="126" customFormat="1" x14ac:dyDescent="0.15">
      <c r="A362" s="822" t="s">
        <v>150</v>
      </c>
      <c r="B362" s="823" t="s">
        <v>151</v>
      </c>
      <c r="C362" s="823"/>
      <c r="D362" s="802"/>
      <c r="E362" s="823" t="s">
        <v>152</v>
      </c>
      <c r="F362" s="823"/>
      <c r="G362" s="823"/>
      <c r="H362" s="802" t="s">
        <v>153</v>
      </c>
      <c r="I362" s="802" t="s">
        <v>479</v>
      </c>
      <c r="J362" s="804" t="s">
        <v>73</v>
      </c>
      <c r="K362" s="216" t="s">
        <v>154</v>
      </c>
      <c r="L362" s="123"/>
      <c r="M362" s="124"/>
      <c r="N362" s="124"/>
      <c r="O362" s="124"/>
      <c r="P362" s="124"/>
      <c r="Q362" s="125"/>
    </row>
    <row r="363" spans="1:17" s="130" customFormat="1" x14ac:dyDescent="0.15">
      <c r="A363" s="822"/>
      <c r="B363" s="823"/>
      <c r="C363" s="823"/>
      <c r="D363" s="803"/>
      <c r="E363" s="217" t="s">
        <v>155</v>
      </c>
      <c r="F363" s="217" t="s">
        <v>156</v>
      </c>
      <c r="G363" s="217" t="s">
        <v>157</v>
      </c>
      <c r="H363" s="803"/>
      <c r="I363" s="803"/>
      <c r="J363" s="805"/>
      <c r="K363" s="216" t="s">
        <v>158</v>
      </c>
      <c r="L363" s="127"/>
      <c r="M363" s="128"/>
      <c r="N363" s="128"/>
      <c r="O363" s="128"/>
      <c r="P363" s="128"/>
      <c r="Q363" s="129"/>
    </row>
    <row r="364" spans="1:17" ht="26.25" customHeight="1" x14ac:dyDescent="0.15">
      <c r="A364" s="148"/>
      <c r="B364" s="788" t="s">
        <v>1064</v>
      </c>
      <c r="C364" s="789"/>
      <c r="D364" s="143"/>
      <c r="E364" s="143">
        <v>0</v>
      </c>
      <c r="F364" s="143">
        <v>0</v>
      </c>
      <c r="G364" s="143">
        <v>0</v>
      </c>
      <c r="H364" s="143">
        <v>4</v>
      </c>
      <c r="I364" s="143">
        <v>4</v>
      </c>
      <c r="J364" s="133" t="s">
        <v>319</v>
      </c>
      <c r="K364" s="143">
        <f>I364</f>
        <v>4</v>
      </c>
      <c r="L364" s="127"/>
      <c r="M364" s="128"/>
      <c r="N364" s="128"/>
      <c r="O364" s="128"/>
      <c r="P364" s="128"/>
      <c r="Q364" s="129"/>
    </row>
    <row r="365" spans="1:17" ht="14" x14ac:dyDescent="0.15">
      <c r="A365" s="795" t="s">
        <v>149</v>
      </c>
      <c r="B365" s="817"/>
      <c r="C365" s="817"/>
      <c r="D365" s="817"/>
      <c r="E365" s="817"/>
      <c r="F365" s="817"/>
      <c r="G365" s="817"/>
      <c r="H365" s="817"/>
      <c r="I365" s="817"/>
      <c r="J365" s="796"/>
      <c r="K365" s="416">
        <f>SUM(K364:K364)</f>
        <v>4</v>
      </c>
      <c r="L365" s="134"/>
      <c r="M365" s="135"/>
      <c r="N365" s="135"/>
      <c r="O365" s="135"/>
      <c r="P365" s="135"/>
      <c r="Q365" s="136"/>
    </row>
    <row r="366" spans="1:17" x14ac:dyDescent="0.15">
      <c r="A366" s="790"/>
      <c r="B366" s="791"/>
      <c r="C366" s="791"/>
      <c r="D366" s="791"/>
      <c r="E366" s="791"/>
      <c r="F366" s="791"/>
      <c r="G366" s="791"/>
      <c r="H366" s="791"/>
      <c r="I366" s="791"/>
      <c r="J366" s="791"/>
      <c r="K366" s="791"/>
      <c r="L366" s="791"/>
      <c r="M366" s="791"/>
      <c r="N366" s="791"/>
      <c r="O366" s="791"/>
      <c r="P366" s="791"/>
      <c r="Q366" s="792"/>
    </row>
    <row r="367" spans="1:17" s="121" customFormat="1" ht="18" customHeight="1" x14ac:dyDescent="0.15">
      <c r="A367" s="218" t="s">
        <v>0</v>
      </c>
      <c r="B367" s="838" t="s">
        <v>1136</v>
      </c>
      <c r="C367" s="839"/>
      <c r="D367" s="839"/>
      <c r="E367" s="839"/>
      <c r="F367" s="839"/>
      <c r="G367" s="839"/>
      <c r="H367" s="839"/>
      <c r="I367" s="839"/>
      <c r="J367" s="839"/>
      <c r="K367" s="839"/>
      <c r="L367" s="839"/>
      <c r="M367" s="839"/>
      <c r="N367" s="839"/>
      <c r="O367" s="216" t="s">
        <v>73</v>
      </c>
      <c r="P367" s="795" t="s">
        <v>5</v>
      </c>
      <c r="Q367" s="796"/>
    </row>
    <row r="368" spans="1:17" x14ac:dyDescent="0.15">
      <c r="A368" s="790"/>
      <c r="B368" s="791"/>
      <c r="C368" s="791"/>
      <c r="D368" s="791"/>
      <c r="E368" s="791"/>
      <c r="F368" s="791"/>
      <c r="G368" s="791"/>
      <c r="H368" s="791"/>
      <c r="I368" s="791"/>
      <c r="J368" s="791"/>
      <c r="K368" s="791"/>
      <c r="L368" s="791"/>
      <c r="M368" s="791"/>
      <c r="N368" s="791"/>
      <c r="O368" s="791"/>
      <c r="P368" s="791"/>
      <c r="Q368" s="792"/>
    </row>
    <row r="369" spans="1:18" s="126" customFormat="1" x14ac:dyDescent="0.15">
      <c r="A369" s="822" t="s">
        <v>150</v>
      </c>
      <c r="B369" s="823" t="s">
        <v>151</v>
      </c>
      <c r="C369" s="823"/>
      <c r="D369" s="832" t="s">
        <v>246</v>
      </c>
      <c r="E369" s="823" t="s">
        <v>152</v>
      </c>
      <c r="F369" s="823"/>
      <c r="G369" s="823"/>
      <c r="H369" s="802" t="s">
        <v>153</v>
      </c>
      <c r="I369" s="802" t="s">
        <v>159</v>
      </c>
      <c r="J369" s="804" t="s">
        <v>73</v>
      </c>
      <c r="K369" s="216" t="s">
        <v>154</v>
      </c>
      <c r="L369" s="123"/>
      <c r="M369" s="124"/>
      <c r="N369" s="124"/>
      <c r="O369" s="124"/>
      <c r="P369" s="124"/>
      <c r="Q369" s="125"/>
    </row>
    <row r="370" spans="1:18" s="130" customFormat="1" x14ac:dyDescent="0.15">
      <c r="A370" s="822"/>
      <c r="B370" s="823"/>
      <c r="C370" s="823"/>
      <c r="D370" s="833"/>
      <c r="E370" s="217" t="s">
        <v>155</v>
      </c>
      <c r="F370" s="217" t="s">
        <v>156</v>
      </c>
      <c r="G370" s="217" t="s">
        <v>157</v>
      </c>
      <c r="H370" s="803"/>
      <c r="I370" s="803"/>
      <c r="J370" s="805"/>
      <c r="K370" s="216" t="s">
        <v>158</v>
      </c>
      <c r="L370" s="127"/>
      <c r="M370" s="128"/>
      <c r="N370" s="128"/>
      <c r="O370" s="128"/>
      <c r="P370" s="128"/>
      <c r="Q370" s="129"/>
    </row>
    <row r="371" spans="1:18" ht="27.75" customHeight="1" x14ac:dyDescent="0.15">
      <c r="A371" s="148"/>
      <c r="B371" s="815" t="s">
        <v>1125</v>
      </c>
      <c r="C371" s="816"/>
      <c r="D371" s="219">
        <v>0</v>
      </c>
      <c r="E371" s="132">
        <v>2.5</v>
      </c>
      <c r="F371" s="144">
        <v>1.1000000000000001</v>
      </c>
      <c r="G371" s="144">
        <v>0</v>
      </c>
      <c r="H371" s="132">
        <v>6</v>
      </c>
      <c r="I371" s="143">
        <f>F371*E371</f>
        <v>2.75</v>
      </c>
      <c r="J371" s="133" t="s">
        <v>5</v>
      </c>
      <c r="K371" s="143">
        <f t="shared" ref="K371" si="49">(I371*H371)-D371</f>
        <v>16.5</v>
      </c>
      <c r="L371" s="127"/>
      <c r="M371" s="128"/>
      <c r="N371" s="128"/>
      <c r="O371" s="128"/>
      <c r="P371" s="128"/>
      <c r="Q371" s="129"/>
    </row>
    <row r="372" spans="1:18" ht="27.75" customHeight="1" x14ac:dyDescent="0.15">
      <c r="A372" s="148"/>
      <c r="B372" s="815" t="s">
        <v>1125</v>
      </c>
      <c r="C372" s="816"/>
      <c r="D372" s="219">
        <v>0</v>
      </c>
      <c r="E372" s="132">
        <v>1.5</v>
      </c>
      <c r="F372" s="144">
        <v>1.1000000000000001</v>
      </c>
      <c r="G372" s="144">
        <v>0</v>
      </c>
      <c r="H372" s="132">
        <v>2</v>
      </c>
      <c r="I372" s="143">
        <f>F372*E372</f>
        <v>1.6500000000000001</v>
      </c>
      <c r="J372" s="133" t="s">
        <v>5</v>
      </c>
      <c r="K372" s="143">
        <f t="shared" ref="K372" si="50">(I372*H372)-D372</f>
        <v>3.3000000000000003</v>
      </c>
      <c r="L372" s="127"/>
      <c r="M372" s="128"/>
      <c r="N372" s="128"/>
      <c r="O372" s="128"/>
      <c r="P372" s="128"/>
      <c r="Q372" s="129"/>
    </row>
    <row r="373" spans="1:18" ht="14" x14ac:dyDescent="0.15">
      <c r="A373" s="795" t="s">
        <v>149</v>
      </c>
      <c r="B373" s="817"/>
      <c r="C373" s="817"/>
      <c r="D373" s="817"/>
      <c r="E373" s="817"/>
      <c r="F373" s="817"/>
      <c r="G373" s="817"/>
      <c r="H373" s="817"/>
      <c r="I373" s="817"/>
      <c r="J373" s="796"/>
      <c r="K373" s="416">
        <f>SUM(K371:K372)</f>
        <v>19.8</v>
      </c>
      <c r="L373" s="134"/>
      <c r="M373" s="135"/>
      <c r="N373" s="135"/>
      <c r="O373" s="135"/>
      <c r="P373" s="135"/>
      <c r="Q373" s="136"/>
    </row>
    <row r="374" spans="1:18" s="140" customFormat="1" ht="6.75" customHeight="1" x14ac:dyDescent="0.15">
      <c r="A374" s="861"/>
      <c r="B374" s="861"/>
      <c r="C374" s="861"/>
      <c r="D374" s="861"/>
      <c r="E374" s="861"/>
      <c r="F374" s="861"/>
      <c r="G374" s="861"/>
      <c r="H374" s="861"/>
      <c r="I374" s="861"/>
      <c r="J374" s="861"/>
      <c r="K374" s="861"/>
      <c r="L374" s="861"/>
      <c r="M374" s="861"/>
      <c r="N374" s="861"/>
      <c r="O374" s="861"/>
      <c r="P374" s="861"/>
      <c r="Q374" s="861"/>
      <c r="R374" s="120"/>
    </row>
    <row r="375" spans="1:18" x14ac:dyDescent="0.15">
      <c r="A375" s="790"/>
      <c r="B375" s="791"/>
      <c r="C375" s="791"/>
      <c r="D375" s="791"/>
      <c r="E375" s="791"/>
      <c r="F375" s="791"/>
      <c r="G375" s="791"/>
      <c r="H375" s="791"/>
      <c r="I375" s="791"/>
      <c r="J375" s="791"/>
      <c r="K375" s="791"/>
      <c r="L375" s="791"/>
      <c r="M375" s="791"/>
      <c r="N375" s="791"/>
      <c r="O375" s="791"/>
      <c r="P375" s="791"/>
      <c r="Q375" s="792"/>
    </row>
    <row r="376" spans="1:18" s="121" customFormat="1" ht="18" customHeight="1" x14ac:dyDescent="0.15">
      <c r="A376" s="218" t="s">
        <v>0</v>
      </c>
      <c r="B376" s="841" t="s">
        <v>1065</v>
      </c>
      <c r="C376" s="842"/>
      <c r="D376" s="842"/>
      <c r="E376" s="842"/>
      <c r="F376" s="842"/>
      <c r="G376" s="842"/>
      <c r="H376" s="842"/>
      <c r="I376" s="842"/>
      <c r="J376" s="842"/>
      <c r="K376" s="842"/>
      <c r="L376" s="842"/>
      <c r="M376" s="842"/>
      <c r="N376" s="842"/>
      <c r="O376" s="216" t="s">
        <v>73</v>
      </c>
      <c r="P376" s="795" t="s">
        <v>19</v>
      </c>
      <c r="Q376" s="796"/>
    </row>
    <row r="377" spans="1:18" x14ac:dyDescent="0.15">
      <c r="A377" s="790"/>
      <c r="B377" s="791"/>
      <c r="C377" s="791"/>
      <c r="D377" s="791"/>
      <c r="E377" s="791"/>
      <c r="F377" s="791"/>
      <c r="G377" s="791"/>
      <c r="H377" s="791"/>
      <c r="I377" s="791"/>
      <c r="J377" s="791"/>
      <c r="K377" s="791"/>
      <c r="L377" s="791"/>
      <c r="M377" s="791"/>
      <c r="N377" s="791"/>
      <c r="O377" s="791"/>
      <c r="P377" s="791"/>
      <c r="Q377" s="792"/>
    </row>
    <row r="378" spans="1:18" s="126" customFormat="1" x14ac:dyDescent="0.15">
      <c r="A378" s="822" t="s">
        <v>150</v>
      </c>
      <c r="B378" s="823" t="s">
        <v>151</v>
      </c>
      <c r="C378" s="823"/>
      <c r="D378" s="802" t="s">
        <v>165</v>
      </c>
      <c r="E378" s="823" t="s">
        <v>152</v>
      </c>
      <c r="F378" s="823"/>
      <c r="G378" s="823"/>
      <c r="H378" s="802" t="s">
        <v>153</v>
      </c>
      <c r="I378" s="802" t="s">
        <v>479</v>
      </c>
      <c r="J378" s="804" t="s">
        <v>73</v>
      </c>
      <c r="K378" s="216" t="s">
        <v>154</v>
      </c>
      <c r="L378" s="123"/>
      <c r="M378" s="124"/>
      <c r="N378" s="124"/>
      <c r="O378" s="124"/>
      <c r="P378" s="124"/>
      <c r="Q378" s="125"/>
    </row>
    <row r="379" spans="1:18" s="130" customFormat="1" x14ac:dyDescent="0.15">
      <c r="A379" s="822"/>
      <c r="B379" s="823"/>
      <c r="C379" s="823"/>
      <c r="D379" s="803"/>
      <c r="E379" s="217" t="s">
        <v>155</v>
      </c>
      <c r="F379" s="217" t="s">
        <v>156</v>
      </c>
      <c r="G379" s="217" t="s">
        <v>157</v>
      </c>
      <c r="H379" s="803"/>
      <c r="I379" s="803"/>
      <c r="J379" s="805"/>
      <c r="K379" s="216" t="s">
        <v>158</v>
      </c>
      <c r="L379" s="127"/>
      <c r="M379" s="128"/>
      <c r="N379" s="128"/>
      <c r="O379" s="128"/>
      <c r="P379" s="128"/>
      <c r="Q379" s="129"/>
    </row>
    <row r="380" spans="1:18" ht="27.75" customHeight="1" x14ac:dyDescent="0.15">
      <c r="A380" s="148"/>
      <c r="B380" s="788" t="s">
        <v>1028</v>
      </c>
      <c r="C380" s="789"/>
      <c r="D380" s="143" t="s">
        <v>19</v>
      </c>
      <c r="E380" s="143">
        <v>0</v>
      </c>
      <c r="F380" s="143">
        <v>0</v>
      </c>
      <c r="G380" s="143">
        <v>0</v>
      </c>
      <c r="H380" s="143">
        <v>1</v>
      </c>
      <c r="I380" s="143">
        <v>1</v>
      </c>
      <c r="J380" s="133" t="s">
        <v>19</v>
      </c>
      <c r="K380" s="143">
        <f>I380*H380</f>
        <v>1</v>
      </c>
      <c r="L380" s="127"/>
      <c r="M380" s="128"/>
      <c r="N380" s="128"/>
      <c r="O380" s="128"/>
      <c r="P380" s="128"/>
      <c r="Q380" s="129"/>
    </row>
    <row r="381" spans="1:18" ht="14" x14ac:dyDescent="0.15">
      <c r="A381" s="795" t="s">
        <v>149</v>
      </c>
      <c r="B381" s="817"/>
      <c r="C381" s="817"/>
      <c r="D381" s="817"/>
      <c r="E381" s="817"/>
      <c r="F381" s="817"/>
      <c r="G381" s="817"/>
      <c r="H381" s="817"/>
      <c r="I381" s="817"/>
      <c r="J381" s="796"/>
      <c r="K381" s="416">
        <f>SUM(K380:K380)</f>
        <v>1</v>
      </c>
      <c r="L381" s="134"/>
      <c r="M381" s="135"/>
      <c r="N381" s="135"/>
      <c r="O381" s="135"/>
      <c r="P381" s="135"/>
      <c r="Q381" s="136"/>
    </row>
    <row r="382" spans="1:18" x14ac:dyDescent="0.15">
      <c r="A382" s="790"/>
      <c r="B382" s="791"/>
      <c r="C382" s="791"/>
      <c r="D382" s="791"/>
      <c r="E382" s="791"/>
      <c r="F382" s="791"/>
      <c r="G382" s="791"/>
      <c r="H382" s="791"/>
      <c r="I382" s="791"/>
      <c r="J382" s="791"/>
      <c r="K382" s="791"/>
      <c r="L382" s="791"/>
      <c r="M382" s="791"/>
      <c r="N382" s="791"/>
      <c r="O382" s="791"/>
      <c r="P382" s="791"/>
      <c r="Q382" s="792"/>
    </row>
    <row r="383" spans="1:18" s="121" customFormat="1" ht="18" customHeight="1" x14ac:dyDescent="0.15">
      <c r="A383" s="218" t="s">
        <v>0</v>
      </c>
      <c r="B383" s="841" t="s">
        <v>1066</v>
      </c>
      <c r="C383" s="842"/>
      <c r="D383" s="842"/>
      <c r="E383" s="842"/>
      <c r="F383" s="842"/>
      <c r="G383" s="842"/>
      <c r="H383" s="842"/>
      <c r="I383" s="842"/>
      <c r="J383" s="842"/>
      <c r="K383" s="842"/>
      <c r="L383" s="842"/>
      <c r="M383" s="842"/>
      <c r="N383" s="842"/>
      <c r="O383" s="216" t="s">
        <v>73</v>
      </c>
      <c r="P383" s="795" t="s">
        <v>19</v>
      </c>
      <c r="Q383" s="796"/>
    </row>
    <row r="384" spans="1:18" x14ac:dyDescent="0.15">
      <c r="A384" s="790"/>
      <c r="B384" s="791"/>
      <c r="C384" s="791"/>
      <c r="D384" s="791"/>
      <c r="E384" s="791"/>
      <c r="F384" s="791"/>
      <c r="G384" s="791"/>
      <c r="H384" s="791"/>
      <c r="I384" s="791"/>
      <c r="J384" s="791"/>
      <c r="K384" s="791"/>
      <c r="L384" s="791"/>
      <c r="M384" s="791"/>
      <c r="N384" s="791"/>
      <c r="O384" s="791"/>
      <c r="P384" s="791"/>
      <c r="Q384" s="792"/>
    </row>
    <row r="385" spans="1:18" s="126" customFormat="1" x14ac:dyDescent="0.15">
      <c r="A385" s="822" t="s">
        <v>150</v>
      </c>
      <c r="B385" s="823" t="s">
        <v>151</v>
      </c>
      <c r="C385" s="823"/>
      <c r="D385" s="802" t="s">
        <v>165</v>
      </c>
      <c r="E385" s="823" t="s">
        <v>152</v>
      </c>
      <c r="F385" s="823"/>
      <c r="G385" s="823"/>
      <c r="H385" s="802" t="s">
        <v>153</v>
      </c>
      <c r="I385" s="802" t="s">
        <v>479</v>
      </c>
      <c r="J385" s="804" t="s">
        <v>73</v>
      </c>
      <c r="K385" s="216" t="s">
        <v>154</v>
      </c>
      <c r="L385" s="123"/>
      <c r="M385" s="124"/>
      <c r="N385" s="124"/>
      <c r="O385" s="124"/>
      <c r="P385" s="124"/>
      <c r="Q385" s="125"/>
    </row>
    <row r="386" spans="1:18" s="130" customFormat="1" x14ac:dyDescent="0.15">
      <c r="A386" s="822"/>
      <c r="B386" s="823"/>
      <c r="C386" s="823"/>
      <c r="D386" s="803"/>
      <c r="E386" s="217" t="s">
        <v>155</v>
      </c>
      <c r="F386" s="217" t="s">
        <v>156</v>
      </c>
      <c r="G386" s="217" t="s">
        <v>157</v>
      </c>
      <c r="H386" s="803"/>
      <c r="I386" s="803"/>
      <c r="J386" s="805"/>
      <c r="K386" s="216" t="s">
        <v>158</v>
      </c>
      <c r="L386" s="127"/>
      <c r="M386" s="128"/>
      <c r="N386" s="128"/>
      <c r="O386" s="128"/>
      <c r="P386" s="128"/>
      <c r="Q386" s="129"/>
    </row>
    <row r="387" spans="1:18" ht="27.75" customHeight="1" x14ac:dyDescent="0.15">
      <c r="A387" s="148"/>
      <c r="B387" s="788" t="s">
        <v>1028</v>
      </c>
      <c r="C387" s="789"/>
      <c r="D387" s="143" t="s">
        <v>19</v>
      </c>
      <c r="E387" s="143">
        <v>0</v>
      </c>
      <c r="F387" s="143">
        <v>0</v>
      </c>
      <c r="G387" s="143">
        <v>0</v>
      </c>
      <c r="H387" s="143">
        <v>1</v>
      </c>
      <c r="I387" s="143">
        <v>1</v>
      </c>
      <c r="J387" s="133" t="s">
        <v>19</v>
      </c>
      <c r="K387" s="143">
        <f>I387*H387</f>
        <v>1</v>
      </c>
      <c r="L387" s="127"/>
      <c r="M387" s="128"/>
      <c r="N387" s="128"/>
      <c r="O387" s="128"/>
      <c r="P387" s="128"/>
      <c r="Q387" s="129"/>
    </row>
    <row r="388" spans="1:18" ht="14" x14ac:dyDescent="0.15">
      <c r="A388" s="795" t="s">
        <v>149</v>
      </c>
      <c r="B388" s="817"/>
      <c r="C388" s="817"/>
      <c r="D388" s="817"/>
      <c r="E388" s="817"/>
      <c r="F388" s="817"/>
      <c r="G388" s="817"/>
      <c r="H388" s="817"/>
      <c r="I388" s="817"/>
      <c r="J388" s="796"/>
      <c r="K388" s="416">
        <f>SUM(K387:K387)</f>
        <v>1</v>
      </c>
      <c r="L388" s="134"/>
      <c r="M388" s="135"/>
      <c r="N388" s="135"/>
      <c r="O388" s="135"/>
      <c r="P388" s="135"/>
      <c r="Q388" s="136"/>
    </row>
    <row r="389" spans="1:18" s="140" customFormat="1" x14ac:dyDescent="0.15">
      <c r="A389" s="855"/>
      <c r="B389" s="855"/>
      <c r="C389" s="855"/>
      <c r="D389" s="855"/>
      <c r="E389" s="855"/>
      <c r="F389" s="855"/>
      <c r="G389" s="855"/>
      <c r="H389" s="855"/>
      <c r="I389" s="855"/>
      <c r="J389" s="855"/>
      <c r="K389" s="855"/>
      <c r="L389" s="855"/>
      <c r="M389" s="855"/>
      <c r="N389" s="855"/>
      <c r="O389" s="855"/>
      <c r="P389" s="855"/>
      <c r="Q389" s="855"/>
      <c r="R389" s="120"/>
    </row>
    <row r="390" spans="1:18" s="140" customFormat="1" x14ac:dyDescent="0.15">
      <c r="A390" s="178"/>
      <c r="B390" s="178"/>
      <c r="C390" s="137"/>
      <c r="D390" s="137"/>
      <c r="E390" s="138"/>
      <c r="F390" s="139"/>
      <c r="J390" s="141"/>
      <c r="K390" s="138"/>
      <c r="L390" s="142"/>
      <c r="M390" s="142"/>
      <c r="N390" s="142"/>
      <c r="O390" s="142"/>
      <c r="P390" s="138"/>
      <c r="Q390" s="120"/>
      <c r="R390" s="120"/>
    </row>
    <row r="391" spans="1:18" x14ac:dyDescent="0.15">
      <c r="I391" s="120"/>
      <c r="J391" s="120"/>
    </row>
    <row r="392" spans="1:18" x14ac:dyDescent="0.15">
      <c r="I392" s="120"/>
      <c r="J392" s="120"/>
    </row>
    <row r="393" spans="1:18" x14ac:dyDescent="0.15">
      <c r="I393" s="120"/>
      <c r="J393" s="120"/>
    </row>
    <row r="394" spans="1:18" ht="14" x14ac:dyDescent="0.15">
      <c r="B394" s="102"/>
      <c r="I394" s="120"/>
      <c r="J394" s="120"/>
    </row>
    <row r="395" spans="1:18" ht="14" x14ac:dyDescent="0.15">
      <c r="B395" s="83"/>
      <c r="I395" s="120"/>
      <c r="J395" s="120"/>
    </row>
    <row r="396" spans="1:18" ht="18" x14ac:dyDescent="0.2">
      <c r="C396" s="150"/>
      <c r="D396" s="151"/>
      <c r="E396" s="150"/>
      <c r="I396" s="120"/>
      <c r="J396" s="120"/>
    </row>
    <row r="397" spans="1:18" ht="18" x14ac:dyDescent="0.2">
      <c r="C397" s="152"/>
      <c r="D397" s="153"/>
      <c r="E397" s="152"/>
      <c r="I397" s="120"/>
      <c r="J397" s="120"/>
    </row>
    <row r="398" spans="1:18" ht="18" x14ac:dyDescent="0.2">
      <c r="B398" s="83"/>
      <c r="C398" s="154"/>
      <c r="D398" s="154"/>
      <c r="E398" s="154"/>
      <c r="I398" s="120"/>
      <c r="J398" s="120"/>
    </row>
    <row r="399" spans="1:18" x14ac:dyDescent="0.15">
      <c r="I399" s="120"/>
      <c r="J399" s="120"/>
    </row>
    <row r="400" spans="1:18" x14ac:dyDescent="0.15">
      <c r="I400" s="120"/>
      <c r="J400" s="120"/>
    </row>
    <row r="401" s="120" customFormat="1" x14ac:dyDescent="0.15"/>
    <row r="402" s="120" customFormat="1" x14ac:dyDescent="0.15"/>
    <row r="403" s="120" customFormat="1" x14ac:dyDescent="0.15"/>
    <row r="404" s="120" customFormat="1" x14ac:dyDescent="0.15"/>
    <row r="405" s="120" customFormat="1" x14ac:dyDescent="0.15"/>
    <row r="406" s="120" customFormat="1" x14ac:dyDescent="0.15"/>
    <row r="407" s="120" customFormat="1" x14ac:dyDescent="0.15"/>
    <row r="408" s="120" customFormat="1" x14ac:dyDescent="0.15"/>
    <row r="409" s="120" customFormat="1" x14ac:dyDescent="0.15"/>
    <row r="410" s="120" customFormat="1" x14ac:dyDescent="0.15"/>
    <row r="411" s="120" customFormat="1" x14ac:dyDescent="0.15"/>
    <row r="412" s="120" customFormat="1" x14ac:dyDescent="0.15"/>
    <row r="413" s="120" customFormat="1" x14ac:dyDescent="0.15"/>
    <row r="414" s="120" customFormat="1" x14ac:dyDescent="0.15"/>
    <row r="415" s="120" customFormat="1" x14ac:dyDescent="0.15"/>
    <row r="416" s="120" customFormat="1" x14ac:dyDescent="0.15"/>
    <row r="417" s="120" customFormat="1" x14ac:dyDescent="0.15"/>
    <row r="418" s="120" customFormat="1" x14ac:dyDescent="0.15"/>
    <row r="419" s="120" customFormat="1" x14ac:dyDescent="0.15"/>
    <row r="420" s="120" customFormat="1" x14ac:dyDescent="0.15"/>
    <row r="421" s="120" customFormat="1" x14ac:dyDescent="0.15"/>
    <row r="422" s="120" customFormat="1" x14ac:dyDescent="0.15"/>
    <row r="423" s="120" customFormat="1" x14ac:dyDescent="0.15"/>
    <row r="424" s="120" customFormat="1" x14ac:dyDescent="0.15"/>
    <row r="425" s="120" customFormat="1" x14ac:dyDescent="0.15"/>
    <row r="426" s="120" customFormat="1" x14ac:dyDescent="0.15"/>
    <row r="427" s="120" customFormat="1" x14ac:dyDescent="0.15"/>
    <row r="428" s="120" customFormat="1" x14ac:dyDescent="0.15"/>
    <row r="429" s="120" customFormat="1" x14ac:dyDescent="0.15"/>
    <row r="430" s="120" customFormat="1" x14ac:dyDescent="0.15"/>
    <row r="431" s="120" customFormat="1" x14ac:dyDescent="0.15"/>
    <row r="432" s="120" customFormat="1" x14ac:dyDescent="0.15"/>
    <row r="433" s="120" customFormat="1" x14ac:dyDescent="0.15"/>
    <row r="434" s="120" customFormat="1" x14ac:dyDescent="0.15"/>
    <row r="435" s="120" customFormat="1" x14ac:dyDescent="0.15"/>
    <row r="436" s="120" customFormat="1" x14ac:dyDescent="0.15"/>
    <row r="437" s="120" customFormat="1" x14ac:dyDescent="0.15"/>
    <row r="438" s="120" customFormat="1" x14ac:dyDescent="0.15"/>
    <row r="439" s="120" customFormat="1" x14ac:dyDescent="0.15"/>
    <row r="440" s="120" customFormat="1" x14ac:dyDescent="0.15"/>
    <row r="441" s="120" customFormat="1" x14ac:dyDescent="0.15"/>
    <row r="442" s="120" customFormat="1" x14ac:dyDescent="0.15"/>
    <row r="443" s="120" customFormat="1" x14ac:dyDescent="0.15"/>
    <row r="444" s="120" customFormat="1" x14ac:dyDescent="0.15"/>
    <row r="445" s="120" customFormat="1" x14ac:dyDescent="0.15"/>
    <row r="446" s="120" customFormat="1" x14ac:dyDescent="0.15"/>
    <row r="447" s="120" customFormat="1" x14ac:dyDescent="0.15"/>
    <row r="448" s="120" customFormat="1" x14ac:dyDescent="0.15"/>
    <row r="449" s="120" customFormat="1" x14ac:dyDescent="0.15"/>
    <row r="450" s="120" customFormat="1" x14ac:dyDescent="0.15"/>
    <row r="451" s="120" customFormat="1" x14ac:dyDescent="0.15"/>
    <row r="452" s="120" customFormat="1" x14ac:dyDescent="0.15"/>
    <row r="453" s="120" customFormat="1" x14ac:dyDescent="0.15"/>
    <row r="454" s="120" customFormat="1" x14ac:dyDescent="0.15"/>
    <row r="455" s="120" customFormat="1" x14ac:dyDescent="0.15"/>
    <row r="456" s="120" customFormat="1" x14ac:dyDescent="0.15"/>
    <row r="457" s="120" customFormat="1" x14ac:dyDescent="0.15"/>
    <row r="458" s="120" customFormat="1" x14ac:dyDescent="0.15"/>
    <row r="459" s="120" customFormat="1" x14ac:dyDescent="0.15"/>
    <row r="460" s="120" customFormat="1" x14ac:dyDescent="0.15"/>
    <row r="461" s="120" customFormat="1" x14ac:dyDescent="0.15"/>
    <row r="462" s="120" customFormat="1" x14ac:dyDescent="0.15"/>
    <row r="463" s="120" customFormat="1" x14ac:dyDescent="0.15"/>
    <row r="464" s="120" customFormat="1" x14ac:dyDescent="0.15"/>
    <row r="465" s="120" customFormat="1" x14ac:dyDescent="0.15"/>
    <row r="466" s="120" customFormat="1" x14ac:dyDescent="0.15"/>
    <row r="467" s="120" customFormat="1" x14ac:dyDescent="0.15"/>
    <row r="468" s="120" customFormat="1" x14ac:dyDescent="0.15"/>
    <row r="469" s="120" customFormat="1" x14ac:dyDescent="0.15"/>
    <row r="470" s="120" customFormat="1" x14ac:dyDescent="0.15"/>
    <row r="471" s="120" customFormat="1" x14ac:dyDescent="0.15"/>
    <row r="472" s="120" customFormat="1" x14ac:dyDescent="0.15"/>
    <row r="473" s="120" customFormat="1" x14ac:dyDescent="0.15"/>
    <row r="474" s="120" customFormat="1" x14ac:dyDescent="0.15"/>
    <row r="475" s="120" customFormat="1" x14ac:dyDescent="0.15"/>
    <row r="476" s="120" customFormat="1" x14ac:dyDescent="0.15"/>
    <row r="477" s="120" customFormat="1" x14ac:dyDescent="0.15"/>
    <row r="478" s="120" customFormat="1" x14ac:dyDescent="0.15"/>
    <row r="479" s="120" customFormat="1" x14ac:dyDescent="0.15"/>
    <row r="480" s="120" customFormat="1" x14ac:dyDescent="0.15"/>
    <row r="481" s="120" customFormat="1" x14ac:dyDescent="0.15"/>
    <row r="482" s="120" customFormat="1" x14ac:dyDescent="0.15"/>
    <row r="483" s="120" customFormat="1" x14ac:dyDescent="0.15"/>
    <row r="484" s="120" customFormat="1" x14ac:dyDescent="0.15"/>
    <row r="485" s="120" customFormat="1" x14ac:dyDescent="0.15"/>
    <row r="486" s="120" customFormat="1" x14ac:dyDescent="0.15"/>
    <row r="487" s="120" customFormat="1" x14ac:dyDescent="0.15"/>
    <row r="488" s="120" customFormat="1" x14ac:dyDescent="0.15"/>
    <row r="489" s="120" customFormat="1" x14ac:dyDescent="0.15"/>
    <row r="490" s="120" customFormat="1" x14ac:dyDescent="0.15"/>
    <row r="491" s="120" customFormat="1" x14ac:dyDescent="0.15"/>
    <row r="492" s="120" customFormat="1" x14ac:dyDescent="0.15"/>
    <row r="493" s="120" customFormat="1" x14ac:dyDescent="0.15"/>
    <row r="494" s="120" customFormat="1" x14ac:dyDescent="0.15"/>
    <row r="495" s="120" customFormat="1" x14ac:dyDescent="0.15"/>
    <row r="496" s="120" customFormat="1" x14ac:dyDescent="0.15"/>
    <row r="497" s="120" customFormat="1" x14ac:dyDescent="0.15"/>
    <row r="498" s="120" customFormat="1" x14ac:dyDescent="0.15"/>
    <row r="499" s="120" customFormat="1" x14ac:dyDescent="0.15"/>
    <row r="500" s="120" customFormat="1" x14ac:dyDescent="0.15"/>
    <row r="501" s="120" customFormat="1" x14ac:dyDescent="0.15"/>
    <row r="502" s="120" customFormat="1" x14ac:dyDescent="0.15"/>
    <row r="503" s="120" customFormat="1" x14ac:dyDescent="0.15"/>
    <row r="504" s="120" customFormat="1" x14ac:dyDescent="0.15"/>
    <row r="505" s="120" customFormat="1" x14ac:dyDescent="0.15"/>
    <row r="506" s="120" customFormat="1" x14ac:dyDescent="0.15"/>
    <row r="507" s="120" customFormat="1" x14ac:dyDescent="0.15"/>
    <row r="508" s="120" customFormat="1" x14ac:dyDescent="0.15"/>
    <row r="509" s="120" customFormat="1" x14ac:dyDescent="0.15"/>
    <row r="510" s="120" customFormat="1" x14ac:dyDescent="0.15"/>
    <row r="511" s="120" customFormat="1" x14ac:dyDescent="0.15"/>
    <row r="512" s="120" customFormat="1" x14ac:dyDescent="0.15"/>
    <row r="513" s="120" customFormat="1" x14ac:dyDescent="0.15"/>
    <row r="514" s="120" customFormat="1" x14ac:dyDescent="0.15"/>
    <row r="515" s="120" customFormat="1" x14ac:dyDescent="0.15"/>
    <row r="516" s="120" customFormat="1" x14ac:dyDescent="0.15"/>
    <row r="517" s="120" customFormat="1" x14ac:dyDescent="0.15"/>
    <row r="518" s="120" customFormat="1" x14ac:dyDescent="0.15"/>
    <row r="519" s="120" customFormat="1" x14ac:dyDescent="0.15"/>
    <row r="520" s="120" customFormat="1" x14ac:dyDescent="0.15"/>
    <row r="521" s="120" customFormat="1" x14ac:dyDescent="0.15"/>
    <row r="522" s="120" customFormat="1" x14ac:dyDescent="0.15"/>
    <row r="523" s="120" customFormat="1" x14ac:dyDescent="0.15"/>
    <row r="524" s="120" customFormat="1" x14ac:dyDescent="0.15"/>
    <row r="525" s="120" customFormat="1" x14ac:dyDescent="0.15"/>
    <row r="526" s="120" customFormat="1" x14ac:dyDescent="0.15"/>
    <row r="527" s="120" customFormat="1" x14ac:dyDescent="0.15"/>
    <row r="528" s="120" customFormat="1" x14ac:dyDescent="0.15"/>
    <row r="529" s="120" customFormat="1" x14ac:dyDescent="0.15"/>
    <row r="530" s="120" customFormat="1" x14ac:dyDescent="0.15"/>
    <row r="531" s="120" customFormat="1" x14ac:dyDescent="0.15"/>
    <row r="532" s="120" customFormat="1" x14ac:dyDescent="0.15"/>
    <row r="533" s="120" customFormat="1" x14ac:dyDescent="0.15"/>
    <row r="534" s="120" customFormat="1" x14ac:dyDescent="0.15"/>
    <row r="535" s="120" customFormat="1" x14ac:dyDescent="0.15"/>
    <row r="536" s="120" customFormat="1" x14ac:dyDescent="0.15"/>
    <row r="537" s="120" customFormat="1" x14ac:dyDescent="0.15"/>
    <row r="538" s="120" customFormat="1" x14ac:dyDescent="0.15"/>
    <row r="539" s="120" customFormat="1" x14ac:dyDescent="0.15"/>
    <row r="540" s="120" customFormat="1" x14ac:dyDescent="0.15"/>
    <row r="541" s="120" customFormat="1" x14ac:dyDescent="0.15"/>
    <row r="542" s="120" customFormat="1" x14ac:dyDescent="0.15"/>
    <row r="543" s="120" customFormat="1" x14ac:dyDescent="0.15"/>
    <row r="544" s="120" customFormat="1" x14ac:dyDescent="0.15"/>
    <row r="545" s="120" customFormat="1" x14ac:dyDescent="0.15"/>
    <row r="546" s="120" customFormat="1" x14ac:dyDescent="0.15"/>
    <row r="547" s="120" customFormat="1" x14ac:dyDescent="0.15"/>
    <row r="548" s="120" customFormat="1" x14ac:dyDescent="0.15"/>
    <row r="549" s="120" customFormat="1" x14ac:dyDescent="0.15"/>
    <row r="550" s="120" customFormat="1" x14ac:dyDescent="0.15"/>
    <row r="551" s="120" customFormat="1" x14ac:dyDescent="0.15"/>
    <row r="552" s="120" customFormat="1" x14ac:dyDescent="0.15"/>
    <row r="553" s="120" customFormat="1" x14ac:dyDescent="0.15"/>
    <row r="554" s="120" customFormat="1" x14ac:dyDescent="0.15"/>
    <row r="555" s="120" customFormat="1" x14ac:dyDescent="0.15"/>
    <row r="556" s="120" customFormat="1" x14ac:dyDescent="0.15"/>
    <row r="557" s="120" customFormat="1" x14ac:dyDescent="0.15"/>
    <row r="558" s="120" customFormat="1" x14ac:dyDescent="0.15"/>
    <row r="559" s="120" customFormat="1" x14ac:dyDescent="0.15"/>
    <row r="560" s="120" customFormat="1" x14ac:dyDescent="0.15"/>
    <row r="561" s="120" customFormat="1" x14ac:dyDescent="0.15"/>
    <row r="562" s="120" customFormat="1" x14ac:dyDescent="0.15"/>
    <row r="563" s="120" customFormat="1" x14ac:dyDescent="0.15"/>
    <row r="564" s="120" customFormat="1" x14ac:dyDescent="0.15"/>
    <row r="565" s="120" customFormat="1" x14ac:dyDescent="0.15"/>
    <row r="566" s="120" customFormat="1" x14ac:dyDescent="0.15"/>
    <row r="567" s="120" customFormat="1" x14ac:dyDescent="0.15"/>
    <row r="568" s="120" customFormat="1" x14ac:dyDescent="0.15"/>
    <row r="569" s="120" customFormat="1" x14ac:dyDescent="0.15"/>
    <row r="570" s="120" customFormat="1" x14ac:dyDescent="0.15"/>
    <row r="571" s="120" customFormat="1" x14ac:dyDescent="0.15"/>
    <row r="572" s="120" customFormat="1" x14ac:dyDescent="0.15"/>
    <row r="573" s="120" customFormat="1" x14ac:dyDescent="0.15"/>
    <row r="574" s="120" customFormat="1" x14ac:dyDescent="0.15"/>
    <row r="575" s="120" customFormat="1" x14ac:dyDescent="0.15"/>
    <row r="576" s="120" customFormat="1" x14ac:dyDescent="0.15"/>
    <row r="577" s="120" customFormat="1" x14ac:dyDescent="0.15"/>
    <row r="578" s="120" customFormat="1" x14ac:dyDescent="0.15"/>
    <row r="579" s="120" customFormat="1" x14ac:dyDescent="0.15"/>
    <row r="580" s="120" customFormat="1" x14ac:dyDescent="0.15"/>
    <row r="581" s="120" customFormat="1" x14ac:dyDescent="0.15"/>
    <row r="582" s="120" customFormat="1" x14ac:dyDescent="0.15"/>
    <row r="583" s="120" customFormat="1" x14ac:dyDescent="0.15"/>
    <row r="584" s="120" customFormat="1" x14ac:dyDescent="0.15"/>
    <row r="585" s="120" customFormat="1" x14ac:dyDescent="0.15"/>
    <row r="586" s="120" customFormat="1" x14ac:dyDescent="0.15"/>
    <row r="587" s="120" customFormat="1" x14ac:dyDescent="0.15"/>
    <row r="588" s="120" customFormat="1" x14ac:dyDescent="0.15"/>
    <row r="589" s="120" customFormat="1" x14ac:dyDescent="0.15"/>
    <row r="590" s="120" customFormat="1" x14ac:dyDescent="0.15"/>
    <row r="591" s="120" customFormat="1" x14ac:dyDescent="0.15"/>
    <row r="592" s="120" customFormat="1" x14ac:dyDescent="0.15"/>
    <row r="593" s="120" customFormat="1" x14ac:dyDescent="0.15"/>
    <row r="594" s="120" customFormat="1" x14ac:dyDescent="0.15"/>
    <row r="595" s="120" customFormat="1" x14ac:dyDescent="0.15"/>
    <row r="596" s="120" customFormat="1" x14ac:dyDescent="0.15"/>
    <row r="597" s="120" customFormat="1" x14ac:dyDescent="0.15"/>
    <row r="598" s="120" customFormat="1" x14ac:dyDescent="0.15"/>
    <row r="599" s="120" customFormat="1" x14ac:dyDescent="0.15"/>
    <row r="600" s="120" customFormat="1" x14ac:dyDescent="0.15"/>
    <row r="601" s="120" customFormat="1" x14ac:dyDescent="0.15"/>
    <row r="602" s="120" customFormat="1" x14ac:dyDescent="0.15"/>
    <row r="603" s="120" customFormat="1" x14ac:dyDescent="0.15"/>
    <row r="604" s="120" customFormat="1" x14ac:dyDescent="0.15"/>
    <row r="605" s="120" customFormat="1" x14ac:dyDescent="0.15"/>
    <row r="606" s="120" customFormat="1" x14ac:dyDescent="0.15"/>
    <row r="607" s="120" customFormat="1" x14ac:dyDescent="0.15"/>
    <row r="608" s="120" customFormat="1" x14ac:dyDescent="0.15"/>
    <row r="609" s="120" customFormat="1" x14ac:dyDescent="0.15"/>
    <row r="610" s="120" customFormat="1" x14ac:dyDescent="0.15"/>
    <row r="611" s="120" customFormat="1" x14ac:dyDescent="0.15"/>
    <row r="612" s="120" customFormat="1" x14ac:dyDescent="0.15"/>
    <row r="613" s="120" customFormat="1" x14ac:dyDescent="0.15"/>
    <row r="614" s="120" customFormat="1" x14ac:dyDescent="0.15"/>
    <row r="615" s="120" customFormat="1" x14ac:dyDescent="0.15"/>
    <row r="616" s="120" customFormat="1" x14ac:dyDescent="0.15"/>
    <row r="617" s="120" customFormat="1" x14ac:dyDescent="0.15"/>
    <row r="618" s="120" customFormat="1" x14ac:dyDescent="0.15"/>
    <row r="619" s="120" customFormat="1" x14ac:dyDescent="0.15"/>
    <row r="620" s="120" customFormat="1" x14ac:dyDescent="0.15"/>
    <row r="621" s="120" customFormat="1" x14ac:dyDescent="0.15"/>
    <row r="622" s="120" customFormat="1" x14ac:dyDescent="0.15"/>
    <row r="623" s="120" customFormat="1" x14ac:dyDescent="0.15"/>
    <row r="624" s="120" customFormat="1" x14ac:dyDescent="0.15"/>
    <row r="625" s="120" customFormat="1" x14ac:dyDescent="0.15"/>
    <row r="626" s="120" customFormat="1" x14ac:dyDescent="0.15"/>
    <row r="627" s="120" customFormat="1" x14ac:dyDescent="0.15"/>
    <row r="628" s="120" customFormat="1" x14ac:dyDescent="0.15"/>
    <row r="629" s="120" customFormat="1" x14ac:dyDescent="0.15"/>
    <row r="630" s="120" customFormat="1" x14ac:dyDescent="0.15"/>
    <row r="631" s="120" customFormat="1" x14ac:dyDescent="0.15"/>
    <row r="632" s="120" customFormat="1" x14ac:dyDescent="0.15"/>
    <row r="633" s="120" customFormat="1" x14ac:dyDescent="0.15"/>
    <row r="634" s="120" customFormat="1" x14ac:dyDescent="0.15"/>
    <row r="635" s="120" customFormat="1" x14ac:dyDescent="0.15"/>
    <row r="636" s="120" customFormat="1" x14ac:dyDescent="0.15"/>
    <row r="637" s="120" customFormat="1" x14ac:dyDescent="0.15"/>
    <row r="638" s="120" customFormat="1" x14ac:dyDescent="0.15"/>
    <row r="639" s="120" customFormat="1" x14ac:dyDescent="0.15"/>
    <row r="640" s="120" customFormat="1" x14ac:dyDescent="0.15"/>
    <row r="641" s="120" customFormat="1" x14ac:dyDescent="0.15"/>
    <row r="642" s="120" customFormat="1" x14ac:dyDescent="0.15"/>
    <row r="643" s="120" customFormat="1" x14ac:dyDescent="0.15"/>
    <row r="644" s="120" customFormat="1" x14ac:dyDescent="0.15"/>
    <row r="645" s="120" customFormat="1" x14ac:dyDescent="0.15"/>
    <row r="646" s="120" customFormat="1" x14ac:dyDescent="0.15"/>
    <row r="647" s="120" customFormat="1" x14ac:dyDescent="0.15"/>
    <row r="648" s="120" customFormat="1" x14ac:dyDescent="0.15"/>
    <row r="649" s="120" customFormat="1" x14ac:dyDescent="0.15"/>
    <row r="650" s="120" customFormat="1" x14ac:dyDescent="0.15"/>
    <row r="651" s="120" customFormat="1" x14ac:dyDescent="0.15"/>
    <row r="652" s="120" customFormat="1" x14ac:dyDescent="0.15"/>
    <row r="653" s="120" customFormat="1" x14ac:dyDescent="0.15"/>
    <row r="654" s="120" customFormat="1" x14ac:dyDescent="0.15"/>
    <row r="655" s="120" customFormat="1" x14ac:dyDescent="0.15"/>
    <row r="656" s="120" customFormat="1" x14ac:dyDescent="0.15"/>
    <row r="657" s="120" customFormat="1" x14ac:dyDescent="0.15"/>
    <row r="658" s="120" customFormat="1" x14ac:dyDescent="0.15"/>
    <row r="659" s="120" customFormat="1" x14ac:dyDescent="0.15"/>
    <row r="660" s="120" customFormat="1" x14ac:dyDescent="0.15"/>
    <row r="661" s="120" customFormat="1" x14ac:dyDescent="0.15"/>
    <row r="662" s="120" customFormat="1" x14ac:dyDescent="0.15"/>
    <row r="663" s="120" customFormat="1" x14ac:dyDescent="0.15"/>
    <row r="664" s="120" customFormat="1" x14ac:dyDescent="0.15"/>
    <row r="665" s="120" customFormat="1" x14ac:dyDescent="0.15"/>
    <row r="666" s="120" customFormat="1" x14ac:dyDescent="0.15"/>
    <row r="667" s="120" customFormat="1" x14ac:dyDescent="0.15"/>
    <row r="668" s="120" customFormat="1" x14ac:dyDescent="0.15"/>
    <row r="669" s="120" customFormat="1" x14ac:dyDescent="0.15"/>
    <row r="670" s="120" customFormat="1" x14ac:dyDescent="0.15"/>
    <row r="671" s="120" customFormat="1" x14ac:dyDescent="0.15"/>
    <row r="672" s="120" customFormat="1" x14ac:dyDescent="0.15"/>
    <row r="673" s="120" customFormat="1" x14ac:dyDescent="0.15"/>
    <row r="674" s="120" customFormat="1" x14ac:dyDescent="0.15"/>
    <row r="675" s="120" customFormat="1" x14ac:dyDescent="0.15"/>
    <row r="676" s="120" customFormat="1" x14ac:dyDescent="0.15"/>
    <row r="677" s="120" customFormat="1" x14ac:dyDescent="0.15"/>
    <row r="678" s="120" customFormat="1" x14ac:dyDescent="0.15"/>
    <row r="679" s="120" customFormat="1" x14ac:dyDescent="0.15"/>
    <row r="680" s="120" customFormat="1" x14ac:dyDescent="0.15"/>
    <row r="681" s="120" customFormat="1" x14ac:dyDescent="0.15"/>
    <row r="682" s="120" customFormat="1" x14ac:dyDescent="0.15"/>
    <row r="683" s="120" customFormat="1" x14ac:dyDescent="0.15"/>
    <row r="684" s="120" customFormat="1" x14ac:dyDescent="0.15"/>
    <row r="685" s="120" customFormat="1" x14ac:dyDescent="0.15"/>
    <row r="686" s="120" customFormat="1" x14ac:dyDescent="0.15"/>
    <row r="687" s="120" customFormat="1" x14ac:dyDescent="0.15"/>
    <row r="688" s="120" customFormat="1" x14ac:dyDescent="0.15"/>
    <row r="689" s="120" customFormat="1" x14ac:dyDescent="0.15"/>
    <row r="690" s="120" customFormat="1" x14ac:dyDescent="0.15"/>
    <row r="691" s="120" customFormat="1" x14ac:dyDescent="0.15"/>
    <row r="692" s="120" customFormat="1" x14ac:dyDescent="0.15"/>
    <row r="693" s="120" customFormat="1" x14ac:dyDescent="0.15"/>
    <row r="694" s="120" customFormat="1" x14ac:dyDescent="0.15"/>
    <row r="695" s="120" customFormat="1" x14ac:dyDescent="0.15"/>
    <row r="696" s="120" customFormat="1" x14ac:dyDescent="0.15"/>
    <row r="697" s="120" customFormat="1" x14ac:dyDescent="0.15"/>
    <row r="698" s="120" customFormat="1" x14ac:dyDescent="0.15"/>
    <row r="699" s="120" customFormat="1" x14ac:dyDescent="0.15"/>
    <row r="700" s="120" customFormat="1" x14ac:dyDescent="0.15"/>
    <row r="701" s="120" customFormat="1" x14ac:dyDescent="0.15"/>
    <row r="702" s="120" customFormat="1" x14ac:dyDescent="0.15"/>
    <row r="703" s="120" customFormat="1" x14ac:dyDescent="0.15"/>
    <row r="704" s="120" customFormat="1" x14ac:dyDescent="0.15"/>
    <row r="705" s="120" customFormat="1" x14ac:dyDescent="0.15"/>
    <row r="706" s="120" customFormat="1" x14ac:dyDescent="0.15"/>
    <row r="707" s="120" customFormat="1" x14ac:dyDescent="0.15"/>
    <row r="708" s="120" customFormat="1" x14ac:dyDescent="0.15"/>
    <row r="709" s="120" customFormat="1" x14ac:dyDescent="0.15"/>
    <row r="710" s="120" customFormat="1" x14ac:dyDescent="0.15"/>
    <row r="711" s="120" customFormat="1" x14ac:dyDescent="0.15"/>
    <row r="712" s="120" customFormat="1" x14ac:dyDescent="0.15"/>
    <row r="713" s="120" customFormat="1" x14ac:dyDescent="0.15"/>
    <row r="714" s="120" customFormat="1" x14ac:dyDescent="0.15"/>
    <row r="715" s="120" customFormat="1" x14ac:dyDescent="0.15"/>
    <row r="716" s="120" customFormat="1" x14ac:dyDescent="0.15"/>
    <row r="717" s="120" customFormat="1" x14ac:dyDescent="0.15"/>
    <row r="718" s="120" customFormat="1" x14ac:dyDescent="0.15"/>
    <row r="719" s="120" customFormat="1" x14ac:dyDescent="0.15"/>
    <row r="720" s="120" customFormat="1" x14ac:dyDescent="0.15"/>
    <row r="721" s="120" customFormat="1" x14ac:dyDescent="0.15"/>
    <row r="722" s="120" customFormat="1" x14ac:dyDescent="0.15"/>
    <row r="723" s="120" customFormat="1" x14ac:dyDescent="0.15"/>
    <row r="724" s="120" customFormat="1" x14ac:dyDescent="0.15"/>
    <row r="725" s="120" customFormat="1" x14ac:dyDescent="0.15"/>
    <row r="726" s="120" customFormat="1" x14ac:dyDescent="0.15"/>
    <row r="727" s="120" customFormat="1" x14ac:dyDescent="0.15"/>
    <row r="728" s="120" customFormat="1" x14ac:dyDescent="0.15"/>
    <row r="729" s="120" customFormat="1" x14ac:dyDescent="0.15"/>
    <row r="730" s="120" customFormat="1" x14ac:dyDescent="0.15"/>
    <row r="731" s="120" customFormat="1" x14ac:dyDescent="0.15"/>
    <row r="732" s="120" customFormat="1" x14ac:dyDescent="0.15"/>
    <row r="733" s="120" customFormat="1" x14ac:dyDescent="0.15"/>
    <row r="734" s="120" customFormat="1" x14ac:dyDescent="0.15"/>
    <row r="735" s="120" customFormat="1" x14ac:dyDescent="0.15"/>
    <row r="736" s="120" customFormat="1" x14ac:dyDescent="0.15"/>
    <row r="737" s="120" customFormat="1" x14ac:dyDescent="0.15"/>
    <row r="738" s="120" customFormat="1" x14ac:dyDescent="0.15"/>
    <row r="739" s="120" customFormat="1" x14ac:dyDescent="0.15"/>
    <row r="740" s="120" customFormat="1" x14ac:dyDescent="0.15"/>
    <row r="741" s="120" customFormat="1" x14ac:dyDescent="0.15"/>
    <row r="742" s="120" customFormat="1" x14ac:dyDescent="0.15"/>
    <row r="743" s="120" customFormat="1" x14ac:dyDescent="0.15"/>
    <row r="744" s="120" customFormat="1" x14ac:dyDescent="0.15"/>
    <row r="745" s="120" customFormat="1" x14ac:dyDescent="0.15"/>
    <row r="746" s="120" customFormat="1" x14ac:dyDescent="0.15"/>
    <row r="747" s="120" customFormat="1" x14ac:dyDescent="0.15"/>
    <row r="748" s="120" customFormat="1" x14ac:dyDescent="0.15"/>
    <row r="749" s="120" customFormat="1" x14ac:dyDescent="0.15"/>
    <row r="750" s="120" customFormat="1" x14ac:dyDescent="0.15"/>
    <row r="751" s="120" customFormat="1" x14ac:dyDescent="0.15"/>
    <row r="752" s="120" customFormat="1" x14ac:dyDescent="0.15"/>
    <row r="753" s="120" customFormat="1" x14ac:dyDescent="0.15"/>
    <row r="754" s="120" customFormat="1" x14ac:dyDescent="0.15"/>
    <row r="755" s="120" customFormat="1" x14ac:dyDescent="0.15"/>
    <row r="756" s="120" customFormat="1" x14ac:dyDescent="0.15"/>
    <row r="757" s="120" customFormat="1" x14ac:dyDescent="0.15"/>
    <row r="758" s="120" customFormat="1" x14ac:dyDescent="0.15"/>
    <row r="759" s="120" customFormat="1" x14ac:dyDescent="0.15"/>
    <row r="760" s="120" customFormat="1" x14ac:dyDescent="0.15"/>
    <row r="761" s="120" customFormat="1" x14ac:dyDescent="0.15"/>
    <row r="762" s="120" customFormat="1" x14ac:dyDescent="0.15"/>
    <row r="763" s="120" customFormat="1" x14ac:dyDescent="0.15"/>
    <row r="764" s="120" customFormat="1" x14ac:dyDescent="0.15"/>
    <row r="765" s="120" customFormat="1" x14ac:dyDescent="0.15"/>
    <row r="766" s="120" customFormat="1" x14ac:dyDescent="0.15"/>
    <row r="767" s="120" customFormat="1" x14ac:dyDescent="0.15"/>
    <row r="768" s="120" customFormat="1" x14ac:dyDescent="0.15"/>
    <row r="769" s="120" customFormat="1" x14ac:dyDescent="0.15"/>
    <row r="770" s="120" customFormat="1" x14ac:dyDescent="0.15"/>
    <row r="771" s="120" customFormat="1" x14ac:dyDescent="0.15"/>
    <row r="772" s="120" customFormat="1" x14ac:dyDescent="0.15"/>
    <row r="773" s="120" customFormat="1" x14ac:dyDescent="0.15"/>
    <row r="774" s="120" customFormat="1" x14ac:dyDescent="0.15"/>
    <row r="775" s="120" customFormat="1" x14ac:dyDescent="0.15"/>
    <row r="776" s="120" customFormat="1" x14ac:dyDescent="0.15"/>
    <row r="777" s="120" customFormat="1" x14ac:dyDescent="0.15"/>
    <row r="778" s="120" customFormat="1" x14ac:dyDescent="0.15"/>
    <row r="779" s="120" customFormat="1" x14ac:dyDescent="0.15"/>
    <row r="780" s="120" customFormat="1" x14ac:dyDescent="0.15"/>
    <row r="781" s="120" customFormat="1" x14ac:dyDescent="0.15"/>
    <row r="782" s="120" customFormat="1" x14ac:dyDescent="0.15"/>
    <row r="783" s="120" customFormat="1" x14ac:dyDescent="0.15"/>
    <row r="784" s="120" customFormat="1" x14ac:dyDescent="0.15"/>
    <row r="785" s="120" customFormat="1" x14ac:dyDescent="0.15"/>
    <row r="786" s="120" customFormat="1" x14ac:dyDescent="0.15"/>
    <row r="787" s="120" customFormat="1" x14ac:dyDescent="0.15"/>
    <row r="788" s="120" customFormat="1" x14ac:dyDescent="0.15"/>
    <row r="789" s="120" customFormat="1" x14ac:dyDescent="0.15"/>
    <row r="790" s="120" customFormat="1" x14ac:dyDescent="0.15"/>
    <row r="791" s="120" customFormat="1" x14ac:dyDescent="0.15"/>
    <row r="792" s="120" customFormat="1" x14ac:dyDescent="0.15"/>
    <row r="793" s="120" customFormat="1" x14ac:dyDescent="0.15"/>
    <row r="794" s="120" customFormat="1" x14ac:dyDescent="0.15"/>
    <row r="795" s="120" customFormat="1" x14ac:dyDescent="0.15"/>
    <row r="796" s="120" customFormat="1" x14ac:dyDescent="0.15"/>
    <row r="797" s="120" customFormat="1" x14ac:dyDescent="0.15"/>
    <row r="798" s="120" customFormat="1" x14ac:dyDescent="0.15"/>
    <row r="799" s="120" customFormat="1" x14ac:dyDescent="0.15"/>
    <row r="800" s="120" customFormat="1" x14ac:dyDescent="0.15"/>
    <row r="801" s="120" customFormat="1" x14ac:dyDescent="0.15"/>
    <row r="802" s="120" customFormat="1" x14ac:dyDescent="0.15"/>
    <row r="803" s="120" customFormat="1" x14ac:dyDescent="0.15"/>
    <row r="804" s="120" customFormat="1" x14ac:dyDescent="0.15"/>
    <row r="805" s="120" customFormat="1" x14ac:dyDescent="0.15"/>
    <row r="806" s="120" customFormat="1" x14ac:dyDescent="0.15"/>
    <row r="807" s="120" customFormat="1" x14ac:dyDescent="0.15"/>
    <row r="808" s="120" customFormat="1" x14ac:dyDescent="0.15"/>
    <row r="809" s="120" customFormat="1" x14ac:dyDescent="0.15"/>
    <row r="810" s="120" customFormat="1" x14ac:dyDescent="0.15"/>
    <row r="811" s="120" customFormat="1" x14ac:dyDescent="0.15"/>
    <row r="812" s="120" customFormat="1" x14ac:dyDescent="0.15"/>
    <row r="813" s="120" customFormat="1" x14ac:dyDescent="0.15"/>
    <row r="814" s="120" customFormat="1" x14ac:dyDescent="0.15"/>
    <row r="815" s="120" customFormat="1" x14ac:dyDescent="0.15"/>
    <row r="816" s="120" customFormat="1" x14ac:dyDescent="0.15"/>
    <row r="817" s="120" customFormat="1" x14ac:dyDescent="0.15"/>
    <row r="818" s="120" customFormat="1" x14ac:dyDescent="0.15"/>
    <row r="819" s="120" customFormat="1" x14ac:dyDescent="0.15"/>
    <row r="820" s="120" customFormat="1" x14ac:dyDescent="0.15"/>
    <row r="821" s="120" customFormat="1" x14ac:dyDescent="0.15"/>
    <row r="822" s="120" customFormat="1" x14ac:dyDescent="0.15"/>
    <row r="823" s="120" customFormat="1" x14ac:dyDescent="0.15"/>
    <row r="824" s="120" customFormat="1" x14ac:dyDescent="0.15"/>
    <row r="825" s="120" customFormat="1" x14ac:dyDescent="0.15"/>
    <row r="826" s="120" customFormat="1" x14ac:dyDescent="0.15"/>
    <row r="827" s="120" customFormat="1" x14ac:dyDescent="0.15"/>
    <row r="828" s="120" customFormat="1" x14ac:dyDescent="0.15"/>
    <row r="829" s="120" customFormat="1" x14ac:dyDescent="0.15"/>
    <row r="830" s="120" customFormat="1" x14ac:dyDescent="0.15"/>
    <row r="831" s="120" customFormat="1" x14ac:dyDescent="0.15"/>
    <row r="832" s="120" customFormat="1" x14ac:dyDescent="0.15"/>
    <row r="833" s="120" customFormat="1" x14ac:dyDescent="0.15"/>
    <row r="834" s="120" customFormat="1" x14ac:dyDescent="0.15"/>
    <row r="835" s="120" customFormat="1" x14ac:dyDescent="0.15"/>
    <row r="836" s="120" customFormat="1" x14ac:dyDescent="0.15"/>
    <row r="837" s="120" customFormat="1" x14ac:dyDescent="0.15"/>
    <row r="838" s="120" customFormat="1" x14ac:dyDescent="0.15"/>
    <row r="839" s="120" customFormat="1" x14ac:dyDescent="0.15"/>
    <row r="840" s="120" customFormat="1" x14ac:dyDescent="0.15"/>
    <row r="841" s="120" customFormat="1" x14ac:dyDescent="0.15"/>
    <row r="842" s="120" customFormat="1" x14ac:dyDescent="0.15"/>
    <row r="843" s="120" customFormat="1" x14ac:dyDescent="0.15"/>
    <row r="844" s="120" customFormat="1" x14ac:dyDescent="0.15"/>
    <row r="845" s="120" customFormat="1" x14ac:dyDescent="0.15"/>
    <row r="846" s="120" customFormat="1" x14ac:dyDescent="0.15"/>
    <row r="847" s="120" customFormat="1" x14ac:dyDescent="0.15"/>
    <row r="848" s="120" customFormat="1" x14ac:dyDescent="0.15"/>
    <row r="849" s="120" customFormat="1" x14ac:dyDescent="0.15"/>
    <row r="850" s="120" customFormat="1" x14ac:dyDescent="0.15"/>
    <row r="851" s="120" customFormat="1" x14ac:dyDescent="0.15"/>
    <row r="852" s="120" customFormat="1" x14ac:dyDescent="0.15"/>
    <row r="853" s="120" customFormat="1" x14ac:dyDescent="0.15"/>
    <row r="854" s="120" customFormat="1" x14ac:dyDescent="0.15"/>
    <row r="855" s="120" customFormat="1" x14ac:dyDescent="0.15"/>
    <row r="856" s="120" customFormat="1" x14ac:dyDescent="0.15"/>
    <row r="857" s="120" customFormat="1" x14ac:dyDescent="0.15"/>
    <row r="858" s="120" customFormat="1" x14ac:dyDescent="0.15"/>
    <row r="859" s="120" customFormat="1" x14ac:dyDescent="0.15"/>
    <row r="860" s="120" customFormat="1" x14ac:dyDescent="0.15"/>
    <row r="861" s="120" customFormat="1" x14ac:dyDescent="0.15"/>
    <row r="862" s="120" customFormat="1" x14ac:dyDescent="0.15"/>
    <row r="863" s="120" customFormat="1" x14ac:dyDescent="0.15"/>
    <row r="864" s="120" customFormat="1" x14ac:dyDescent="0.15"/>
    <row r="865" s="120" customFormat="1" x14ac:dyDescent="0.15"/>
    <row r="866" s="120" customFormat="1" x14ac:dyDescent="0.15"/>
    <row r="867" s="120" customFormat="1" x14ac:dyDescent="0.15"/>
    <row r="868" s="120" customFormat="1" x14ac:dyDescent="0.15"/>
    <row r="869" s="120" customFormat="1" x14ac:dyDescent="0.15"/>
    <row r="870" s="120" customFormat="1" x14ac:dyDescent="0.15"/>
    <row r="871" s="120" customFormat="1" x14ac:dyDescent="0.15"/>
    <row r="872" s="120" customFormat="1" x14ac:dyDescent="0.15"/>
    <row r="873" s="120" customFormat="1" x14ac:dyDescent="0.15"/>
    <row r="874" s="120" customFormat="1" x14ac:dyDescent="0.15"/>
    <row r="875" s="120" customFormat="1" x14ac:dyDescent="0.15"/>
    <row r="876" s="120" customFormat="1" x14ac:dyDescent="0.15"/>
    <row r="877" s="120" customFormat="1" x14ac:dyDescent="0.15"/>
    <row r="878" s="120" customFormat="1" x14ac:dyDescent="0.15"/>
    <row r="879" s="120" customFormat="1" x14ac:dyDescent="0.15"/>
    <row r="880" s="120" customFormat="1" x14ac:dyDescent="0.15"/>
    <row r="881" s="120" customFormat="1" x14ac:dyDescent="0.15"/>
    <row r="882" s="120" customFormat="1" x14ac:dyDescent="0.15"/>
    <row r="883" s="120" customFormat="1" x14ac:dyDescent="0.15"/>
    <row r="884" s="120" customFormat="1" x14ac:dyDescent="0.15"/>
    <row r="885" s="120" customFormat="1" x14ac:dyDescent="0.15"/>
    <row r="886" s="120" customFormat="1" x14ac:dyDescent="0.15"/>
    <row r="887" s="120" customFormat="1" x14ac:dyDescent="0.15"/>
    <row r="888" s="120" customFormat="1" x14ac:dyDescent="0.15"/>
    <row r="889" s="120" customFormat="1" x14ac:dyDescent="0.15"/>
    <row r="890" s="120" customFormat="1" x14ac:dyDescent="0.15"/>
    <row r="891" s="120" customFormat="1" x14ac:dyDescent="0.15"/>
    <row r="892" s="120" customFormat="1" x14ac:dyDescent="0.15"/>
    <row r="893" s="120" customFormat="1" x14ac:dyDescent="0.15"/>
    <row r="894" s="120" customFormat="1" x14ac:dyDescent="0.15"/>
    <row r="895" s="120" customFormat="1" x14ac:dyDescent="0.15"/>
    <row r="896" s="120" customFormat="1" x14ac:dyDescent="0.15"/>
    <row r="897" s="120" customFormat="1" x14ac:dyDescent="0.15"/>
    <row r="898" s="120" customFormat="1" x14ac:dyDescent="0.15"/>
    <row r="899" s="120" customFormat="1" x14ac:dyDescent="0.15"/>
    <row r="900" s="120" customFormat="1" x14ac:dyDescent="0.15"/>
    <row r="901" s="120" customFormat="1" x14ac:dyDescent="0.15"/>
    <row r="902" s="120" customFormat="1" x14ac:dyDescent="0.15"/>
    <row r="903" s="120" customFormat="1" x14ac:dyDescent="0.15"/>
    <row r="904" s="120" customFormat="1" x14ac:dyDescent="0.15"/>
    <row r="905" s="120" customFormat="1" x14ac:dyDescent="0.15"/>
    <row r="906" s="120" customFormat="1" x14ac:dyDescent="0.15"/>
    <row r="907" s="120" customFormat="1" x14ac:dyDescent="0.15"/>
    <row r="908" s="120" customFormat="1" x14ac:dyDescent="0.15"/>
    <row r="909" s="120" customFormat="1" x14ac:dyDescent="0.15"/>
    <row r="910" s="120" customFormat="1" x14ac:dyDescent="0.15"/>
    <row r="911" s="120" customFormat="1" x14ac:dyDescent="0.15"/>
    <row r="912" s="120" customFormat="1" x14ac:dyDescent="0.15"/>
    <row r="913" s="120" customFormat="1" x14ac:dyDescent="0.15"/>
    <row r="914" s="120" customFormat="1" x14ac:dyDescent="0.15"/>
    <row r="915" s="120" customFormat="1" x14ac:dyDescent="0.15"/>
    <row r="916" s="120" customFormat="1" x14ac:dyDescent="0.15"/>
    <row r="917" s="120" customFormat="1" x14ac:dyDescent="0.15"/>
    <row r="918" s="120" customFormat="1" x14ac:dyDescent="0.15"/>
    <row r="919" s="120" customFormat="1" x14ac:dyDescent="0.15"/>
    <row r="920" s="120" customFormat="1" x14ac:dyDescent="0.15"/>
    <row r="921" s="120" customFormat="1" x14ac:dyDescent="0.15"/>
    <row r="922" s="120" customFormat="1" x14ac:dyDescent="0.15"/>
    <row r="923" s="120" customFormat="1" x14ac:dyDescent="0.15"/>
    <row r="924" s="120" customFormat="1" x14ac:dyDescent="0.15"/>
    <row r="925" s="120" customFormat="1" x14ac:dyDescent="0.15"/>
    <row r="926" s="120" customFormat="1" x14ac:dyDescent="0.15"/>
    <row r="927" s="120" customFormat="1" x14ac:dyDescent="0.15"/>
    <row r="928" s="120" customFormat="1" x14ac:dyDescent="0.15"/>
    <row r="929" s="120" customFormat="1" x14ac:dyDescent="0.15"/>
    <row r="930" s="120" customFormat="1" x14ac:dyDescent="0.15"/>
    <row r="931" s="120" customFormat="1" x14ac:dyDescent="0.15"/>
    <row r="932" s="120" customFormat="1" x14ac:dyDescent="0.15"/>
    <row r="933" s="120" customFormat="1" x14ac:dyDescent="0.15"/>
    <row r="934" s="120" customFormat="1" x14ac:dyDescent="0.15"/>
    <row r="935" s="120" customFormat="1" x14ac:dyDescent="0.15"/>
    <row r="936" s="120" customFormat="1" x14ac:dyDescent="0.15"/>
    <row r="937" s="120" customFormat="1" x14ac:dyDescent="0.15"/>
    <row r="938" s="120" customFormat="1" x14ac:dyDescent="0.15"/>
    <row r="939" s="120" customFormat="1" x14ac:dyDescent="0.15"/>
    <row r="940" s="120" customFormat="1" x14ac:dyDescent="0.15"/>
    <row r="941" s="120" customFormat="1" x14ac:dyDescent="0.15"/>
    <row r="942" s="120" customFormat="1" x14ac:dyDescent="0.15"/>
    <row r="943" s="120" customFormat="1" x14ac:dyDescent="0.15"/>
    <row r="944" s="120" customFormat="1" x14ac:dyDescent="0.15"/>
    <row r="945" s="120" customFormat="1" x14ac:dyDescent="0.15"/>
    <row r="946" s="120" customFormat="1" x14ac:dyDescent="0.15"/>
    <row r="947" s="120" customFormat="1" x14ac:dyDescent="0.15"/>
    <row r="948" s="120" customFormat="1" x14ac:dyDescent="0.15"/>
    <row r="949" s="120" customFormat="1" x14ac:dyDescent="0.15"/>
    <row r="950" s="120" customFormat="1" x14ac:dyDescent="0.15"/>
    <row r="951" s="120" customFormat="1" x14ac:dyDescent="0.15"/>
    <row r="952" s="120" customFormat="1" x14ac:dyDescent="0.15"/>
    <row r="953" s="120" customFormat="1" x14ac:dyDescent="0.15"/>
    <row r="954" s="120" customFormat="1" x14ac:dyDescent="0.15"/>
    <row r="955" s="120" customFormat="1" x14ac:dyDescent="0.15"/>
    <row r="956" s="120" customFormat="1" x14ac:dyDescent="0.15"/>
    <row r="957" s="120" customFormat="1" x14ac:dyDescent="0.15"/>
    <row r="958" s="120" customFormat="1" x14ac:dyDescent="0.15"/>
    <row r="959" s="120" customFormat="1" x14ac:dyDescent="0.15"/>
    <row r="960" s="120" customFormat="1" x14ac:dyDescent="0.15"/>
    <row r="961" s="120" customFormat="1" x14ac:dyDescent="0.15"/>
    <row r="962" s="120" customFormat="1" x14ac:dyDescent="0.15"/>
    <row r="963" s="120" customFormat="1" x14ac:dyDescent="0.15"/>
    <row r="964" s="120" customFormat="1" x14ac:dyDescent="0.15"/>
    <row r="965" s="120" customFormat="1" x14ac:dyDescent="0.15"/>
    <row r="966" s="120" customFormat="1" x14ac:dyDescent="0.15"/>
    <row r="967" s="120" customFormat="1" x14ac:dyDescent="0.15"/>
    <row r="968" s="120" customFormat="1" x14ac:dyDescent="0.15"/>
    <row r="969" s="120" customFormat="1" x14ac:dyDescent="0.15"/>
    <row r="970" s="120" customFormat="1" x14ac:dyDescent="0.15"/>
    <row r="971" s="120" customFormat="1" x14ac:dyDescent="0.15"/>
    <row r="972" s="120" customFormat="1" x14ac:dyDescent="0.15"/>
    <row r="973" s="120" customFormat="1" x14ac:dyDescent="0.15"/>
    <row r="974" s="120" customFormat="1" x14ac:dyDescent="0.15"/>
    <row r="975" s="120" customFormat="1" x14ac:dyDescent="0.15"/>
    <row r="976" s="120" customFormat="1" x14ac:dyDescent="0.15"/>
    <row r="977" s="120" customFormat="1" x14ac:dyDescent="0.15"/>
    <row r="978" s="120" customFormat="1" x14ac:dyDescent="0.15"/>
    <row r="979" s="120" customFormat="1" x14ac:dyDescent="0.15"/>
    <row r="980" s="120" customFormat="1" x14ac:dyDescent="0.15"/>
    <row r="981" s="120" customFormat="1" x14ac:dyDescent="0.15"/>
    <row r="982" s="120" customFormat="1" x14ac:dyDescent="0.15"/>
    <row r="983" s="120" customFormat="1" x14ac:dyDescent="0.15"/>
    <row r="984" s="120" customFormat="1" x14ac:dyDescent="0.15"/>
    <row r="985" s="120" customFormat="1" x14ac:dyDescent="0.15"/>
    <row r="986" s="120" customFormat="1" x14ac:dyDescent="0.15"/>
    <row r="987" s="120" customFormat="1" x14ac:dyDescent="0.15"/>
    <row r="988" s="120" customFormat="1" x14ac:dyDescent="0.15"/>
    <row r="989" s="120" customFormat="1" x14ac:dyDescent="0.15"/>
    <row r="990" s="120" customFormat="1" x14ac:dyDescent="0.15"/>
    <row r="991" s="120" customFormat="1" x14ac:dyDescent="0.15"/>
    <row r="992" s="120" customFormat="1" x14ac:dyDescent="0.15"/>
    <row r="993" s="120" customFormat="1" x14ac:dyDescent="0.15"/>
    <row r="994" s="120" customFormat="1" x14ac:dyDescent="0.15"/>
    <row r="995" s="120" customFormat="1" x14ac:dyDescent="0.15"/>
    <row r="996" s="120" customFormat="1" x14ac:dyDescent="0.15"/>
    <row r="997" s="120" customFormat="1" x14ac:dyDescent="0.15"/>
    <row r="998" s="120" customFormat="1" x14ac:dyDescent="0.15"/>
    <row r="999" s="120" customFormat="1" x14ac:dyDescent="0.15"/>
    <row r="1000" s="120" customFormat="1" x14ac:dyDescent="0.15"/>
    <row r="1001" s="120" customFormat="1" x14ac:dyDescent="0.15"/>
    <row r="1002" s="120" customFormat="1" x14ac:dyDescent="0.15"/>
    <row r="1003" s="120" customFormat="1" x14ac:dyDescent="0.15"/>
    <row r="1004" s="120" customFormat="1" x14ac:dyDescent="0.15"/>
    <row r="1005" s="120" customFormat="1" x14ac:dyDescent="0.15"/>
    <row r="1006" s="120" customFormat="1" x14ac:dyDescent="0.15"/>
    <row r="1007" s="120" customFormat="1" x14ac:dyDescent="0.15"/>
    <row r="1008" s="120" customFormat="1" x14ac:dyDescent="0.15"/>
    <row r="1009" s="120" customFormat="1" x14ac:dyDescent="0.15"/>
    <row r="1010" s="120" customFormat="1" x14ac:dyDescent="0.15"/>
    <row r="1011" s="120" customFormat="1" x14ac:dyDescent="0.15"/>
    <row r="1012" s="120" customFormat="1" x14ac:dyDescent="0.15"/>
    <row r="1013" s="120" customFormat="1" x14ac:dyDescent="0.15"/>
    <row r="1014" s="120" customFormat="1" x14ac:dyDescent="0.15"/>
    <row r="1015" s="120" customFormat="1" x14ac:dyDescent="0.15"/>
    <row r="1016" s="120" customFormat="1" x14ac:dyDescent="0.15"/>
    <row r="1017" s="120" customFormat="1" x14ac:dyDescent="0.15"/>
    <row r="1018" s="120" customFormat="1" x14ac:dyDescent="0.15"/>
    <row r="1019" s="120" customFormat="1" x14ac:dyDescent="0.15"/>
    <row r="1020" s="120" customFormat="1" x14ac:dyDescent="0.15"/>
    <row r="1021" s="120" customFormat="1" x14ac:dyDescent="0.15"/>
    <row r="1022" s="120" customFormat="1" x14ac:dyDescent="0.15"/>
    <row r="1023" s="120" customFormat="1" x14ac:dyDescent="0.15"/>
    <row r="1024" s="120" customFormat="1" x14ac:dyDescent="0.15"/>
    <row r="1025" s="120" customFormat="1" x14ac:dyDescent="0.15"/>
    <row r="1026" s="120" customFormat="1" x14ac:dyDescent="0.15"/>
    <row r="1027" s="120" customFormat="1" x14ac:dyDescent="0.15"/>
    <row r="1028" s="120" customFormat="1" x14ac:dyDescent="0.15"/>
    <row r="1029" s="120" customFormat="1" x14ac:dyDescent="0.15"/>
    <row r="1030" s="120" customFormat="1" x14ac:dyDescent="0.15"/>
    <row r="1031" s="120" customFormat="1" x14ac:dyDescent="0.15"/>
    <row r="1032" s="120" customFormat="1" x14ac:dyDescent="0.15"/>
    <row r="1033" s="120" customFormat="1" x14ac:dyDescent="0.15"/>
    <row r="1034" s="120" customFormat="1" x14ac:dyDescent="0.15"/>
    <row r="1035" s="120" customFormat="1" x14ac:dyDescent="0.15"/>
    <row r="1036" s="120" customFormat="1" x14ac:dyDescent="0.15"/>
    <row r="1037" s="120" customFormat="1" x14ac:dyDescent="0.15"/>
    <row r="1038" s="120" customFormat="1" x14ac:dyDescent="0.15"/>
    <row r="1039" s="120" customFormat="1" x14ac:dyDescent="0.15"/>
    <row r="1040" s="120" customFormat="1" x14ac:dyDescent="0.15"/>
    <row r="1041" s="120" customFormat="1" x14ac:dyDescent="0.15"/>
    <row r="1042" s="120" customFormat="1" x14ac:dyDescent="0.15"/>
    <row r="1043" s="120" customFormat="1" x14ac:dyDescent="0.15"/>
    <row r="1044" s="120" customFormat="1" x14ac:dyDescent="0.15"/>
    <row r="1045" s="120" customFormat="1" x14ac:dyDescent="0.15"/>
    <row r="1046" s="120" customFormat="1" x14ac:dyDescent="0.15"/>
    <row r="1047" s="120" customFormat="1" x14ac:dyDescent="0.15"/>
    <row r="1048" s="120" customFormat="1" x14ac:dyDescent="0.15"/>
    <row r="1049" s="120" customFormat="1" x14ac:dyDescent="0.15"/>
    <row r="1050" s="120" customFormat="1" x14ac:dyDescent="0.15"/>
    <row r="1051" s="120" customFormat="1" x14ac:dyDescent="0.15"/>
    <row r="1052" s="120" customFormat="1" x14ac:dyDescent="0.15"/>
    <row r="1053" s="120" customFormat="1" x14ac:dyDescent="0.15"/>
    <row r="1054" s="120" customFormat="1" x14ac:dyDescent="0.15"/>
    <row r="1055" s="120" customFormat="1" x14ac:dyDescent="0.15"/>
    <row r="1056" s="120" customFormat="1" x14ac:dyDescent="0.15"/>
    <row r="1057" s="120" customFormat="1" x14ac:dyDescent="0.15"/>
    <row r="1058" s="120" customFormat="1" x14ac:dyDescent="0.15"/>
    <row r="1059" s="120" customFormat="1" x14ac:dyDescent="0.15"/>
    <row r="1060" s="120" customFormat="1" x14ac:dyDescent="0.15"/>
    <row r="1061" s="120" customFormat="1" x14ac:dyDescent="0.15"/>
    <row r="1062" s="120" customFormat="1" x14ac:dyDescent="0.15"/>
    <row r="1063" s="120" customFormat="1" x14ac:dyDescent="0.15"/>
    <row r="1064" s="120" customFormat="1" x14ac:dyDescent="0.15"/>
    <row r="1065" s="120" customFormat="1" x14ac:dyDescent="0.15"/>
    <row r="1066" s="120" customFormat="1" x14ac:dyDescent="0.15"/>
    <row r="1067" s="120" customFormat="1" x14ac:dyDescent="0.15"/>
    <row r="1068" s="120" customFormat="1" x14ac:dyDescent="0.15"/>
    <row r="1069" s="120" customFormat="1" x14ac:dyDescent="0.15"/>
    <row r="1070" s="120" customFormat="1" x14ac:dyDescent="0.15"/>
    <row r="1071" s="120" customFormat="1" x14ac:dyDescent="0.15"/>
    <row r="1072" s="120" customFormat="1" x14ac:dyDescent="0.15"/>
    <row r="1073" s="120" customFormat="1" x14ac:dyDescent="0.15"/>
    <row r="1074" s="120" customFormat="1" x14ac:dyDescent="0.15"/>
    <row r="1075" s="120" customFormat="1" x14ac:dyDescent="0.15"/>
    <row r="1076" s="120" customFormat="1" x14ac:dyDescent="0.15"/>
    <row r="1077" s="120" customFormat="1" x14ac:dyDescent="0.15"/>
    <row r="1078" s="120" customFormat="1" x14ac:dyDescent="0.15"/>
    <row r="1079" s="120" customFormat="1" x14ac:dyDescent="0.15"/>
    <row r="1080" s="120" customFormat="1" x14ac:dyDescent="0.15"/>
    <row r="1081" s="120" customFormat="1" x14ac:dyDescent="0.15"/>
    <row r="1082" s="120" customFormat="1" x14ac:dyDescent="0.15"/>
    <row r="1083" s="120" customFormat="1" x14ac:dyDescent="0.15"/>
    <row r="1084" s="120" customFormat="1" x14ac:dyDescent="0.15"/>
    <row r="1085" s="120" customFormat="1" x14ac:dyDescent="0.15"/>
    <row r="1086" s="120" customFormat="1" x14ac:dyDescent="0.15"/>
    <row r="1087" s="120" customFormat="1" x14ac:dyDescent="0.15"/>
    <row r="1088" s="120" customFormat="1" x14ac:dyDescent="0.15"/>
    <row r="1089" s="120" customFormat="1" x14ac:dyDescent="0.15"/>
    <row r="1090" s="120" customFormat="1" x14ac:dyDescent="0.15"/>
    <row r="1091" s="120" customFormat="1" x14ac:dyDescent="0.15"/>
    <row r="1092" s="120" customFormat="1" x14ac:dyDescent="0.15"/>
    <row r="1093" s="120" customFormat="1" x14ac:dyDescent="0.15"/>
    <row r="1094" s="120" customFormat="1" x14ac:dyDescent="0.15"/>
    <row r="1095" s="120" customFormat="1" x14ac:dyDescent="0.15"/>
    <row r="1096" s="120" customFormat="1" x14ac:dyDescent="0.15"/>
    <row r="1097" s="120" customFormat="1" x14ac:dyDescent="0.15"/>
    <row r="1098" s="120" customFormat="1" x14ac:dyDescent="0.15"/>
    <row r="1099" s="120" customFormat="1" x14ac:dyDescent="0.15"/>
    <row r="1100" s="120" customFormat="1" x14ac:dyDescent="0.15"/>
    <row r="1101" s="120" customFormat="1" x14ac:dyDescent="0.15"/>
    <row r="1102" s="120" customFormat="1" x14ac:dyDescent="0.15"/>
    <row r="1103" s="120" customFormat="1" x14ac:dyDescent="0.15"/>
    <row r="1104" s="120" customFormat="1" x14ac:dyDescent="0.15"/>
    <row r="1105" s="120" customFormat="1" x14ac:dyDescent="0.15"/>
    <row r="1106" s="120" customFormat="1" x14ac:dyDescent="0.15"/>
    <row r="1107" s="120" customFormat="1" x14ac:dyDescent="0.15"/>
    <row r="1108" s="120" customFormat="1" x14ac:dyDescent="0.15"/>
    <row r="1109" s="120" customFormat="1" x14ac:dyDescent="0.15"/>
    <row r="1110" s="120" customFormat="1" x14ac:dyDescent="0.15"/>
    <row r="1111" s="120" customFormat="1" x14ac:dyDescent="0.15"/>
    <row r="1112" s="120" customFormat="1" x14ac:dyDescent="0.15"/>
    <row r="1113" s="120" customFormat="1" x14ac:dyDescent="0.15"/>
    <row r="1114" s="120" customFormat="1" x14ac:dyDescent="0.15"/>
    <row r="1115" s="120" customFormat="1" x14ac:dyDescent="0.15"/>
    <row r="1116" s="120" customFormat="1" x14ac:dyDescent="0.15"/>
    <row r="1117" s="120" customFormat="1" x14ac:dyDescent="0.15"/>
    <row r="1118" s="120" customFormat="1" x14ac:dyDescent="0.15"/>
    <row r="1119" s="120" customFormat="1" x14ac:dyDescent="0.15"/>
    <row r="1120" s="120" customFormat="1" x14ac:dyDescent="0.15"/>
    <row r="1121" s="120" customFormat="1" x14ac:dyDescent="0.15"/>
    <row r="1122" s="120" customFormat="1" x14ac:dyDescent="0.15"/>
    <row r="1123" s="120" customFormat="1" x14ac:dyDescent="0.15"/>
    <row r="1124" s="120" customFormat="1" x14ac:dyDescent="0.15"/>
    <row r="1125" s="120" customFormat="1" x14ac:dyDescent="0.15"/>
    <row r="1126" s="120" customFormat="1" x14ac:dyDescent="0.15"/>
    <row r="1127" s="120" customFormat="1" x14ac:dyDescent="0.15"/>
    <row r="1128" s="120" customFormat="1" x14ac:dyDescent="0.15"/>
    <row r="1129" s="120" customFormat="1" x14ac:dyDescent="0.15"/>
    <row r="1130" s="120" customFormat="1" x14ac:dyDescent="0.15"/>
    <row r="1131" s="120" customFormat="1" x14ac:dyDescent="0.15"/>
    <row r="1132" s="120" customFormat="1" x14ac:dyDescent="0.15"/>
    <row r="1133" s="120" customFormat="1" x14ac:dyDescent="0.15"/>
    <row r="1134" s="120" customFormat="1" x14ac:dyDescent="0.15"/>
    <row r="1135" s="120" customFormat="1" x14ac:dyDescent="0.15"/>
    <row r="1136" s="120" customFormat="1" x14ac:dyDescent="0.15"/>
    <row r="1137" s="120" customFormat="1" x14ac:dyDescent="0.15"/>
    <row r="1138" s="120" customFormat="1" x14ac:dyDescent="0.15"/>
    <row r="1139" s="120" customFormat="1" x14ac:dyDescent="0.15"/>
    <row r="1140" s="120" customFormat="1" x14ac:dyDescent="0.15"/>
    <row r="1141" s="120" customFormat="1" x14ac:dyDescent="0.15"/>
    <row r="1142" s="120" customFormat="1" x14ac:dyDescent="0.15"/>
    <row r="1143" s="120" customFormat="1" x14ac:dyDescent="0.15"/>
    <row r="1144" s="120" customFormat="1" x14ac:dyDescent="0.15"/>
    <row r="1145" s="120" customFormat="1" x14ac:dyDescent="0.15"/>
    <row r="1146" s="120" customFormat="1" x14ac:dyDescent="0.15"/>
    <row r="1147" s="120" customFormat="1" x14ac:dyDescent="0.15"/>
    <row r="1148" s="120" customFormat="1" x14ac:dyDescent="0.15"/>
    <row r="1149" s="120" customFormat="1" x14ac:dyDescent="0.15"/>
    <row r="1150" s="120" customFormat="1" x14ac:dyDescent="0.15"/>
    <row r="1151" s="120" customFormat="1" x14ac:dyDescent="0.15"/>
    <row r="1152" s="120" customFormat="1" x14ac:dyDescent="0.15"/>
    <row r="1153" s="120" customFormat="1" x14ac:dyDescent="0.15"/>
    <row r="1154" s="120" customFormat="1" x14ac:dyDescent="0.15"/>
    <row r="1155" s="120" customFormat="1" x14ac:dyDescent="0.15"/>
    <row r="1156" s="120" customFormat="1" x14ac:dyDescent="0.15"/>
    <row r="1157" s="120" customFormat="1" x14ac:dyDescent="0.15"/>
    <row r="1158" s="120" customFormat="1" x14ac:dyDescent="0.15"/>
    <row r="1159" s="120" customFormat="1" x14ac:dyDescent="0.15"/>
    <row r="1160" s="120" customFormat="1" x14ac:dyDescent="0.15"/>
    <row r="1161" s="120" customFormat="1" x14ac:dyDescent="0.15"/>
    <row r="1162" s="120" customFormat="1" x14ac:dyDescent="0.15"/>
    <row r="1163" s="120" customFormat="1" x14ac:dyDescent="0.15"/>
    <row r="1164" s="120" customFormat="1" x14ac:dyDescent="0.15"/>
    <row r="1165" s="120" customFormat="1" x14ac:dyDescent="0.15"/>
    <row r="1166" s="120" customFormat="1" x14ac:dyDescent="0.15"/>
    <row r="1167" s="120" customFormat="1" x14ac:dyDescent="0.15"/>
    <row r="1168" s="120" customFormat="1" x14ac:dyDescent="0.15"/>
    <row r="1169" s="120" customFormat="1" x14ac:dyDescent="0.15"/>
    <row r="1170" s="120" customFormat="1" x14ac:dyDescent="0.15"/>
    <row r="1171" s="120" customFormat="1" x14ac:dyDescent="0.15"/>
    <row r="1172" s="120" customFormat="1" x14ac:dyDescent="0.15"/>
    <row r="1173" s="120" customFormat="1" x14ac:dyDescent="0.15"/>
    <row r="1174" s="120" customFormat="1" x14ac:dyDescent="0.15"/>
    <row r="1175" s="120" customFormat="1" x14ac:dyDescent="0.15"/>
    <row r="1176" s="120" customFormat="1" x14ac:dyDescent="0.15"/>
    <row r="1177" s="120" customFormat="1" x14ac:dyDescent="0.15"/>
    <row r="1178" s="120" customFormat="1" x14ac:dyDescent="0.15"/>
    <row r="1179" s="120" customFormat="1" x14ac:dyDescent="0.15"/>
    <row r="1180" s="120" customFormat="1" x14ac:dyDescent="0.15"/>
    <row r="1181" s="120" customFormat="1" x14ac:dyDescent="0.15"/>
    <row r="1182" s="120" customFormat="1" x14ac:dyDescent="0.15"/>
    <row r="1183" s="120" customFormat="1" x14ac:dyDescent="0.15"/>
    <row r="1184" s="120" customFormat="1" x14ac:dyDescent="0.15"/>
    <row r="1185" s="120" customFormat="1" x14ac:dyDescent="0.15"/>
    <row r="1186" s="120" customFormat="1" x14ac:dyDescent="0.15"/>
    <row r="1187" s="120" customFormat="1" x14ac:dyDescent="0.15"/>
    <row r="1188" s="120" customFormat="1" x14ac:dyDescent="0.15"/>
    <row r="1189" s="120" customFormat="1" x14ac:dyDescent="0.15"/>
    <row r="1190" s="120" customFormat="1" x14ac:dyDescent="0.15"/>
    <row r="1191" s="120" customFormat="1" x14ac:dyDescent="0.15"/>
    <row r="1192" s="120" customFormat="1" x14ac:dyDescent="0.15"/>
    <row r="1193" s="120" customFormat="1" x14ac:dyDescent="0.15"/>
    <row r="1194" s="120" customFormat="1" x14ac:dyDescent="0.15"/>
    <row r="1195" s="120" customFormat="1" x14ac:dyDescent="0.15"/>
    <row r="1196" s="120" customFormat="1" x14ac:dyDescent="0.15"/>
    <row r="1197" s="120" customFormat="1" x14ac:dyDescent="0.15"/>
    <row r="1198" s="120" customFormat="1" x14ac:dyDescent="0.15"/>
    <row r="1199" s="120" customFormat="1" x14ac:dyDescent="0.15"/>
    <row r="1200" s="120" customFormat="1" x14ac:dyDescent="0.15"/>
    <row r="1201" s="120" customFormat="1" x14ac:dyDescent="0.15"/>
    <row r="1202" s="120" customFormat="1" x14ac:dyDescent="0.15"/>
    <row r="1203" s="120" customFormat="1" x14ac:dyDescent="0.15"/>
    <row r="1204" s="120" customFormat="1" x14ac:dyDescent="0.15"/>
    <row r="1205" s="120" customFormat="1" x14ac:dyDescent="0.15"/>
    <row r="1206" s="120" customFormat="1" x14ac:dyDescent="0.15"/>
    <row r="1207" s="120" customFormat="1" x14ac:dyDescent="0.15"/>
    <row r="1208" s="120" customFormat="1" x14ac:dyDescent="0.15"/>
    <row r="1209" s="120" customFormat="1" x14ac:dyDescent="0.15"/>
    <row r="1210" s="120" customFormat="1" x14ac:dyDescent="0.15"/>
    <row r="1211" s="120" customFormat="1" x14ac:dyDescent="0.15"/>
    <row r="1212" s="120" customFormat="1" x14ac:dyDescent="0.15"/>
    <row r="1213" s="120" customFormat="1" x14ac:dyDescent="0.15"/>
    <row r="1214" s="120" customFormat="1" x14ac:dyDescent="0.15"/>
    <row r="1215" s="120" customFormat="1" x14ac:dyDescent="0.15"/>
    <row r="1216" s="120" customFormat="1" x14ac:dyDescent="0.15"/>
    <row r="1217" s="120" customFormat="1" x14ac:dyDescent="0.15"/>
    <row r="1218" s="120" customFormat="1" x14ac:dyDescent="0.15"/>
    <row r="1219" s="120" customFormat="1" x14ac:dyDescent="0.15"/>
    <row r="1220" s="120" customFormat="1" x14ac:dyDescent="0.15"/>
    <row r="1221" s="120" customFormat="1" x14ac:dyDescent="0.15"/>
    <row r="1222" s="120" customFormat="1" x14ac:dyDescent="0.15"/>
    <row r="1223" s="120" customFormat="1" x14ac:dyDescent="0.15"/>
    <row r="1224" s="120" customFormat="1" x14ac:dyDescent="0.15"/>
    <row r="1225" s="120" customFormat="1" x14ac:dyDescent="0.15"/>
    <row r="1226" s="120" customFormat="1" x14ac:dyDescent="0.15"/>
    <row r="1227" s="120" customFormat="1" x14ac:dyDescent="0.15"/>
    <row r="1228" s="120" customFormat="1" x14ac:dyDescent="0.15"/>
    <row r="1229" s="120" customFormat="1" x14ac:dyDescent="0.15"/>
    <row r="1230" s="120" customFormat="1" x14ac:dyDescent="0.15"/>
    <row r="1231" s="120" customFormat="1" x14ac:dyDescent="0.15"/>
    <row r="1232" s="120" customFormat="1" x14ac:dyDescent="0.15"/>
    <row r="1233" s="120" customFormat="1" x14ac:dyDescent="0.15"/>
    <row r="1234" s="120" customFormat="1" x14ac:dyDescent="0.15"/>
    <row r="1235" s="120" customFormat="1" x14ac:dyDescent="0.15"/>
    <row r="1236" s="120" customFormat="1" x14ac:dyDescent="0.15"/>
    <row r="1237" s="120" customFormat="1" x14ac:dyDescent="0.15"/>
    <row r="1238" s="120" customFormat="1" x14ac:dyDescent="0.15"/>
    <row r="1239" s="120" customFormat="1" x14ac:dyDescent="0.15"/>
    <row r="1240" s="120" customFormat="1" x14ac:dyDescent="0.15"/>
    <row r="1241" s="120" customFormat="1" x14ac:dyDescent="0.15"/>
    <row r="1242" s="120" customFormat="1" x14ac:dyDescent="0.15"/>
    <row r="1243" s="120" customFormat="1" x14ac:dyDescent="0.15"/>
    <row r="1244" s="120" customFormat="1" x14ac:dyDescent="0.15"/>
    <row r="1245" s="120" customFormat="1" x14ac:dyDescent="0.15"/>
    <row r="1246" s="120" customFormat="1" x14ac:dyDescent="0.15"/>
    <row r="1247" s="120" customFormat="1" x14ac:dyDescent="0.15"/>
    <row r="1248" s="120" customFormat="1" x14ac:dyDescent="0.15"/>
    <row r="1249" s="120" customFormat="1" x14ac:dyDescent="0.15"/>
    <row r="1250" s="120" customFormat="1" x14ac:dyDescent="0.15"/>
    <row r="1251" s="120" customFormat="1" x14ac:dyDescent="0.15"/>
    <row r="1252" s="120" customFormat="1" x14ac:dyDescent="0.15"/>
    <row r="1253" s="120" customFormat="1" x14ac:dyDescent="0.15"/>
    <row r="1254" s="120" customFormat="1" x14ac:dyDescent="0.15"/>
    <row r="1255" s="120" customFormat="1" x14ac:dyDescent="0.15"/>
    <row r="1256" s="120" customFormat="1" x14ac:dyDescent="0.15"/>
    <row r="1257" s="120" customFormat="1" x14ac:dyDescent="0.15"/>
    <row r="1258" s="120" customFormat="1" x14ac:dyDescent="0.15"/>
    <row r="1259" s="120" customFormat="1" x14ac:dyDescent="0.15"/>
    <row r="1260" s="120" customFormat="1" x14ac:dyDescent="0.15"/>
    <row r="1261" s="120" customFormat="1" x14ac:dyDescent="0.15"/>
    <row r="1262" s="120" customFormat="1" x14ac:dyDescent="0.15"/>
    <row r="1263" s="120" customFormat="1" x14ac:dyDescent="0.15"/>
    <row r="1264" s="120" customFormat="1" x14ac:dyDescent="0.15"/>
    <row r="1265" s="120" customFormat="1" x14ac:dyDescent="0.15"/>
    <row r="1266" s="120" customFormat="1" x14ac:dyDescent="0.15"/>
    <row r="1267" s="120" customFormat="1" x14ac:dyDescent="0.15"/>
    <row r="1268" s="120" customFormat="1" x14ac:dyDescent="0.15"/>
    <row r="1269" s="120" customFormat="1" x14ac:dyDescent="0.15"/>
    <row r="1270" s="120" customFormat="1" x14ac:dyDescent="0.15"/>
    <row r="1271" s="120" customFormat="1" x14ac:dyDescent="0.15"/>
    <row r="1272" s="120" customFormat="1" x14ac:dyDescent="0.15"/>
    <row r="1273" s="120" customFormat="1" x14ac:dyDescent="0.15"/>
    <row r="1274" s="120" customFormat="1" x14ac:dyDescent="0.15"/>
    <row r="1275" s="120" customFormat="1" x14ac:dyDescent="0.15"/>
    <row r="1276" s="120" customFormat="1" x14ac:dyDescent="0.15"/>
    <row r="1277" s="120" customFormat="1" x14ac:dyDescent="0.15"/>
    <row r="1278" s="120" customFormat="1" x14ac:dyDescent="0.15"/>
    <row r="1279" s="120" customFormat="1" x14ac:dyDescent="0.15"/>
    <row r="1280" s="120" customFormat="1" x14ac:dyDescent="0.15"/>
    <row r="1281" s="120" customFormat="1" x14ac:dyDescent="0.15"/>
    <row r="1282" s="120" customFormat="1" x14ac:dyDescent="0.15"/>
    <row r="1283" s="120" customFormat="1" x14ac:dyDescent="0.15"/>
    <row r="1284" s="120" customFormat="1" x14ac:dyDescent="0.15"/>
    <row r="1285" s="120" customFormat="1" x14ac:dyDescent="0.15"/>
    <row r="1286" s="120" customFormat="1" x14ac:dyDescent="0.15"/>
    <row r="1287" s="120" customFormat="1" x14ac:dyDescent="0.15"/>
    <row r="1288" s="120" customFormat="1" x14ac:dyDescent="0.15"/>
    <row r="1289" s="120" customFormat="1" x14ac:dyDescent="0.15"/>
    <row r="1290" s="120" customFormat="1" x14ac:dyDescent="0.15"/>
    <row r="1291" s="120" customFormat="1" x14ac:dyDescent="0.15"/>
    <row r="1292" s="120" customFormat="1" x14ac:dyDescent="0.15"/>
    <row r="1293" s="120" customFormat="1" x14ac:dyDescent="0.15"/>
    <row r="1294" s="120" customFormat="1" x14ac:dyDescent="0.15"/>
    <row r="1295" s="120" customFormat="1" x14ac:dyDescent="0.15"/>
    <row r="1296" s="120" customFormat="1" x14ac:dyDescent="0.15"/>
    <row r="1297" s="120" customFormat="1" x14ac:dyDescent="0.15"/>
    <row r="1298" s="120" customFormat="1" x14ac:dyDescent="0.15"/>
    <row r="1299" s="120" customFormat="1" x14ac:dyDescent="0.15"/>
    <row r="1300" s="120" customFormat="1" x14ac:dyDescent="0.15"/>
    <row r="1301" s="120" customFormat="1" x14ac:dyDescent="0.15"/>
    <row r="1302" s="120" customFormat="1" x14ac:dyDescent="0.15"/>
    <row r="1303" s="120" customFormat="1" x14ac:dyDescent="0.15"/>
    <row r="1304" s="120" customFormat="1" x14ac:dyDescent="0.15"/>
    <row r="1305" s="120" customFormat="1" x14ac:dyDescent="0.15"/>
    <row r="1306" s="120" customFormat="1" x14ac:dyDescent="0.15"/>
    <row r="1307" s="120" customFormat="1" x14ac:dyDescent="0.15"/>
    <row r="1308" s="120" customFormat="1" x14ac:dyDescent="0.15"/>
    <row r="1309" s="120" customFormat="1" x14ac:dyDescent="0.15"/>
    <row r="1310" s="120" customFormat="1" x14ac:dyDescent="0.15"/>
    <row r="1311" s="120" customFormat="1" x14ac:dyDescent="0.15"/>
    <row r="1312" s="120" customFormat="1" x14ac:dyDescent="0.15"/>
    <row r="1313" s="120" customFormat="1" x14ac:dyDescent="0.15"/>
    <row r="1314" s="120" customFormat="1" x14ac:dyDescent="0.15"/>
    <row r="1315" s="120" customFormat="1" x14ac:dyDescent="0.15"/>
    <row r="1316" s="120" customFormat="1" x14ac:dyDescent="0.15"/>
    <row r="1317" s="120" customFormat="1" x14ac:dyDescent="0.15"/>
    <row r="1318" s="120" customFormat="1" x14ac:dyDescent="0.15"/>
    <row r="1319" s="120" customFormat="1" x14ac:dyDescent="0.15"/>
    <row r="1320" s="120" customFormat="1" x14ac:dyDescent="0.15"/>
    <row r="1321" s="120" customFormat="1" x14ac:dyDescent="0.15"/>
    <row r="1322" s="120" customFormat="1" x14ac:dyDescent="0.15"/>
    <row r="1323" s="120" customFormat="1" x14ac:dyDescent="0.15"/>
    <row r="1324" s="120" customFormat="1" x14ac:dyDescent="0.15"/>
    <row r="1325" s="120" customFormat="1" x14ac:dyDescent="0.15"/>
    <row r="1326" s="120" customFormat="1" x14ac:dyDescent="0.15"/>
    <row r="1327" s="120" customFormat="1" x14ac:dyDescent="0.15"/>
    <row r="1328" s="120" customFormat="1" x14ac:dyDescent="0.15"/>
    <row r="1329" s="120" customFormat="1" x14ac:dyDescent="0.15"/>
    <row r="1330" s="120" customFormat="1" x14ac:dyDescent="0.15"/>
    <row r="1331" s="120" customFormat="1" x14ac:dyDescent="0.15"/>
    <row r="1332" s="120" customFormat="1" x14ac:dyDescent="0.15"/>
    <row r="1333" s="120" customFormat="1" x14ac:dyDescent="0.15"/>
    <row r="1334" s="120" customFormat="1" x14ac:dyDescent="0.15"/>
    <row r="1335" s="120" customFormat="1" x14ac:dyDescent="0.15"/>
    <row r="1336" s="120" customFormat="1" x14ac:dyDescent="0.15"/>
    <row r="1337" s="120" customFormat="1" x14ac:dyDescent="0.15"/>
    <row r="1338" s="120" customFormat="1" x14ac:dyDescent="0.15"/>
    <row r="1339" s="120" customFormat="1" x14ac:dyDescent="0.15"/>
    <row r="1340" s="120" customFormat="1" x14ac:dyDescent="0.15"/>
    <row r="1341" s="120" customFormat="1" x14ac:dyDescent="0.15"/>
    <row r="1342" s="120" customFormat="1" x14ac:dyDescent="0.15"/>
    <row r="1343" s="120" customFormat="1" x14ac:dyDescent="0.15"/>
    <row r="1344" s="120" customFormat="1" x14ac:dyDescent="0.15"/>
    <row r="1345" s="120" customFormat="1" x14ac:dyDescent="0.15"/>
    <row r="1346" s="120" customFormat="1" x14ac:dyDescent="0.15"/>
    <row r="1347" s="120" customFormat="1" x14ac:dyDescent="0.15"/>
    <row r="1348" s="120" customFormat="1" x14ac:dyDescent="0.15"/>
    <row r="1349" s="120" customFormat="1" x14ac:dyDescent="0.15"/>
    <row r="1350" s="120" customFormat="1" x14ac:dyDescent="0.15"/>
    <row r="1351" s="120" customFormat="1" x14ac:dyDescent="0.15"/>
    <row r="1352" s="120" customFormat="1" x14ac:dyDescent="0.15"/>
    <row r="1353" s="120" customFormat="1" x14ac:dyDescent="0.15"/>
    <row r="1354" s="120" customFormat="1" x14ac:dyDescent="0.15"/>
    <row r="1355" s="120" customFormat="1" x14ac:dyDescent="0.15"/>
    <row r="1356" s="120" customFormat="1" x14ac:dyDescent="0.15"/>
    <row r="1357" s="120" customFormat="1" x14ac:dyDescent="0.15"/>
    <row r="1358" s="120" customFormat="1" x14ac:dyDescent="0.15"/>
    <row r="1359" s="120" customFormat="1" x14ac:dyDescent="0.15"/>
    <row r="1360" s="120" customFormat="1" x14ac:dyDescent="0.15"/>
    <row r="1361" s="120" customFormat="1" x14ac:dyDescent="0.15"/>
    <row r="1362" s="120" customFormat="1" x14ac:dyDescent="0.15"/>
    <row r="1363" s="120" customFormat="1" x14ac:dyDescent="0.15"/>
    <row r="1364" s="120" customFormat="1" x14ac:dyDescent="0.15"/>
    <row r="1365" s="120" customFormat="1" x14ac:dyDescent="0.15"/>
    <row r="1366" s="120" customFormat="1" x14ac:dyDescent="0.15"/>
    <row r="1367" s="120" customFormat="1" x14ac:dyDescent="0.15"/>
    <row r="1368" s="120" customFormat="1" x14ac:dyDescent="0.15"/>
    <row r="1369" s="120" customFormat="1" x14ac:dyDescent="0.15"/>
    <row r="1370" s="120" customFormat="1" x14ac:dyDescent="0.15"/>
    <row r="1371" s="120" customFormat="1" x14ac:dyDescent="0.15"/>
    <row r="1372" s="120" customFormat="1" x14ac:dyDescent="0.15"/>
    <row r="1373" s="120" customFormat="1" x14ac:dyDescent="0.15"/>
    <row r="1374" s="120" customFormat="1" x14ac:dyDescent="0.15"/>
    <row r="1375" s="120" customFormat="1" x14ac:dyDescent="0.15"/>
    <row r="1376" s="120" customFormat="1" x14ac:dyDescent="0.15"/>
    <row r="1377" s="120" customFormat="1" x14ac:dyDescent="0.15"/>
    <row r="1378" s="120" customFormat="1" x14ac:dyDescent="0.15"/>
    <row r="1379" s="120" customFormat="1" x14ac:dyDescent="0.15"/>
    <row r="1380" s="120" customFormat="1" x14ac:dyDescent="0.15"/>
    <row r="1381" s="120" customFormat="1" x14ac:dyDescent="0.15"/>
    <row r="1382" s="120" customFormat="1" x14ac:dyDescent="0.15"/>
    <row r="1383" s="120" customFormat="1" x14ac:dyDescent="0.15"/>
    <row r="1384" s="120" customFormat="1" x14ac:dyDescent="0.15"/>
    <row r="1385" s="120" customFormat="1" x14ac:dyDescent="0.15"/>
    <row r="1386" s="120" customFormat="1" x14ac:dyDescent="0.15"/>
    <row r="1387" s="120" customFormat="1" x14ac:dyDescent="0.15"/>
    <row r="1388" s="120" customFormat="1" x14ac:dyDescent="0.15"/>
    <row r="1389" s="120" customFormat="1" x14ac:dyDescent="0.15"/>
    <row r="1390" s="120" customFormat="1" x14ac:dyDescent="0.15"/>
    <row r="1391" s="120" customFormat="1" x14ac:dyDescent="0.15"/>
    <row r="1392" s="120" customFormat="1" x14ac:dyDescent="0.15"/>
    <row r="1393" s="120" customFormat="1" x14ac:dyDescent="0.15"/>
    <row r="1394" s="120" customFormat="1" x14ac:dyDescent="0.15"/>
    <row r="1395" s="120" customFormat="1" x14ac:dyDescent="0.15"/>
    <row r="1396" s="120" customFormat="1" x14ac:dyDescent="0.15"/>
    <row r="1397" s="120" customFormat="1" x14ac:dyDescent="0.15"/>
    <row r="1398" s="120" customFormat="1" x14ac:dyDescent="0.15"/>
    <row r="1399" s="120" customFormat="1" x14ac:dyDescent="0.15"/>
    <row r="1400" s="120" customFormat="1" x14ac:dyDescent="0.15"/>
    <row r="1401" s="120" customFormat="1" x14ac:dyDescent="0.15"/>
    <row r="1402" s="120" customFormat="1" x14ac:dyDescent="0.15"/>
    <row r="1403" s="120" customFormat="1" x14ac:dyDescent="0.15"/>
    <row r="1404" s="120" customFormat="1" x14ac:dyDescent="0.15"/>
    <row r="1405" s="120" customFormat="1" x14ac:dyDescent="0.15"/>
    <row r="1406" s="120" customFormat="1" x14ac:dyDescent="0.15"/>
    <row r="1407" s="120" customFormat="1" x14ac:dyDescent="0.15"/>
    <row r="1408" s="120" customFormat="1" x14ac:dyDescent="0.15"/>
    <row r="1409" s="120" customFormat="1" x14ac:dyDescent="0.15"/>
    <row r="1410" s="120" customFormat="1" x14ac:dyDescent="0.15"/>
    <row r="1411" s="120" customFormat="1" x14ac:dyDescent="0.15"/>
    <row r="1412" s="120" customFormat="1" x14ac:dyDescent="0.15"/>
    <row r="1413" s="120" customFormat="1" x14ac:dyDescent="0.15"/>
    <row r="1414" s="120" customFormat="1" x14ac:dyDescent="0.15"/>
    <row r="1415" s="120" customFormat="1" x14ac:dyDescent="0.15"/>
    <row r="1416" s="120" customFormat="1" x14ac:dyDescent="0.15"/>
    <row r="1417" s="120" customFormat="1" x14ac:dyDescent="0.15"/>
    <row r="1418" s="120" customFormat="1" x14ac:dyDescent="0.15"/>
    <row r="1419" s="120" customFormat="1" x14ac:dyDescent="0.15"/>
    <row r="1420" s="120" customFormat="1" x14ac:dyDescent="0.15"/>
    <row r="1421" s="120" customFormat="1" x14ac:dyDescent="0.15"/>
    <row r="1422" s="120" customFormat="1" x14ac:dyDescent="0.15"/>
    <row r="1423" s="120" customFormat="1" x14ac:dyDescent="0.15"/>
    <row r="1424" s="120" customFormat="1" x14ac:dyDescent="0.15"/>
    <row r="1425" s="120" customFormat="1" x14ac:dyDescent="0.15"/>
    <row r="1426" s="120" customFormat="1" x14ac:dyDescent="0.15"/>
    <row r="1427" s="120" customFormat="1" x14ac:dyDescent="0.15"/>
    <row r="1428" s="120" customFormat="1" x14ac:dyDescent="0.15"/>
    <row r="1429" s="120" customFormat="1" x14ac:dyDescent="0.15"/>
    <row r="1430" s="120" customFormat="1" x14ac:dyDescent="0.15"/>
    <row r="1431" s="120" customFormat="1" x14ac:dyDescent="0.15"/>
    <row r="1432" s="120" customFormat="1" x14ac:dyDescent="0.15"/>
    <row r="1433" s="120" customFormat="1" x14ac:dyDescent="0.15"/>
    <row r="1434" s="120" customFormat="1" x14ac:dyDescent="0.15"/>
    <row r="1435" s="120" customFormat="1" x14ac:dyDescent="0.15"/>
    <row r="1436" s="120" customFormat="1" x14ac:dyDescent="0.15"/>
    <row r="1437" s="120" customFormat="1" x14ac:dyDescent="0.15"/>
    <row r="1438" s="120" customFormat="1" x14ac:dyDescent="0.15"/>
    <row r="1439" s="120" customFormat="1" x14ac:dyDescent="0.15"/>
    <row r="1440" s="120" customFormat="1" x14ac:dyDescent="0.15"/>
    <row r="1441" s="120" customFormat="1" x14ac:dyDescent="0.15"/>
    <row r="1442" s="120" customFormat="1" x14ac:dyDescent="0.15"/>
    <row r="1443" s="120" customFormat="1" x14ac:dyDescent="0.15"/>
    <row r="1444" s="120" customFormat="1" x14ac:dyDescent="0.15"/>
    <row r="1445" s="120" customFormat="1" x14ac:dyDescent="0.15"/>
    <row r="1446" s="120" customFormat="1" x14ac:dyDescent="0.15"/>
    <row r="1447" s="120" customFormat="1" x14ac:dyDescent="0.15"/>
    <row r="1448" s="120" customFormat="1" x14ac:dyDescent="0.15"/>
    <row r="1449" s="120" customFormat="1" x14ac:dyDescent="0.15"/>
    <row r="1450" s="120" customFormat="1" x14ac:dyDescent="0.15"/>
    <row r="1451" s="120" customFormat="1" x14ac:dyDescent="0.15"/>
    <row r="1452" s="120" customFormat="1" x14ac:dyDescent="0.15"/>
    <row r="1453" s="120" customFormat="1" x14ac:dyDescent="0.15"/>
    <row r="1454" s="120" customFormat="1" x14ac:dyDescent="0.15"/>
    <row r="1455" s="120" customFormat="1" x14ac:dyDescent="0.15"/>
    <row r="1456" s="120" customFormat="1" x14ac:dyDescent="0.15"/>
    <row r="1457" s="120" customFormat="1" x14ac:dyDescent="0.15"/>
    <row r="1458" s="120" customFormat="1" x14ac:dyDescent="0.15"/>
    <row r="1459" s="120" customFormat="1" x14ac:dyDescent="0.15"/>
    <row r="1460" s="120" customFormat="1" x14ac:dyDescent="0.15"/>
    <row r="1461" s="120" customFormat="1" x14ac:dyDescent="0.15"/>
    <row r="1462" s="120" customFormat="1" x14ac:dyDescent="0.15"/>
    <row r="1463" s="120" customFormat="1" x14ac:dyDescent="0.15"/>
    <row r="1464" s="120" customFormat="1" x14ac:dyDescent="0.15"/>
    <row r="1465" s="120" customFormat="1" x14ac:dyDescent="0.15"/>
    <row r="1466" s="120" customFormat="1" x14ac:dyDescent="0.15"/>
    <row r="1467" s="120" customFormat="1" x14ac:dyDescent="0.15"/>
    <row r="1468" s="120" customFormat="1" x14ac:dyDescent="0.15"/>
    <row r="1469" s="120" customFormat="1" x14ac:dyDescent="0.15"/>
    <row r="1470" s="120" customFormat="1" x14ac:dyDescent="0.15"/>
    <row r="1471" s="120" customFormat="1" x14ac:dyDescent="0.15"/>
    <row r="1472" s="120" customFormat="1" x14ac:dyDescent="0.15"/>
    <row r="1473" s="120" customFormat="1" x14ac:dyDescent="0.15"/>
    <row r="1474" s="120" customFormat="1" x14ac:dyDescent="0.15"/>
    <row r="1475" s="120" customFormat="1" x14ac:dyDescent="0.15"/>
    <row r="1476" s="120" customFormat="1" x14ac:dyDescent="0.15"/>
    <row r="1477" s="120" customFormat="1" x14ac:dyDescent="0.15"/>
    <row r="1478" s="120" customFormat="1" x14ac:dyDescent="0.15"/>
    <row r="1479" s="120" customFormat="1" x14ac:dyDescent="0.15"/>
    <row r="1480" s="120" customFormat="1" x14ac:dyDescent="0.15"/>
    <row r="1481" s="120" customFormat="1" x14ac:dyDescent="0.15"/>
    <row r="1482" s="120" customFormat="1" x14ac:dyDescent="0.15"/>
    <row r="1483" s="120" customFormat="1" x14ac:dyDescent="0.15"/>
    <row r="1484" s="120" customFormat="1" x14ac:dyDescent="0.15"/>
    <row r="1485" s="120" customFormat="1" x14ac:dyDescent="0.15"/>
    <row r="1486" s="120" customFormat="1" x14ac:dyDescent="0.15"/>
    <row r="1487" s="120" customFormat="1" x14ac:dyDescent="0.15"/>
    <row r="1488" s="120" customFormat="1" x14ac:dyDescent="0.15"/>
    <row r="1489" s="120" customFormat="1" x14ac:dyDescent="0.15"/>
    <row r="1490" s="120" customFormat="1" x14ac:dyDescent="0.15"/>
    <row r="1491" s="120" customFormat="1" x14ac:dyDescent="0.15"/>
    <row r="1492" s="120" customFormat="1" x14ac:dyDescent="0.15"/>
    <row r="1493" s="120" customFormat="1" x14ac:dyDescent="0.15"/>
    <row r="1494" s="120" customFormat="1" x14ac:dyDescent="0.15"/>
    <row r="1495" s="120" customFormat="1" x14ac:dyDescent="0.15"/>
    <row r="1496" s="120" customFormat="1" x14ac:dyDescent="0.15"/>
    <row r="1497" s="120" customFormat="1" x14ac:dyDescent="0.15"/>
    <row r="1498" s="120" customFormat="1" x14ac:dyDescent="0.15"/>
    <row r="1499" s="120" customFormat="1" x14ac:dyDescent="0.15"/>
    <row r="1500" s="120" customFormat="1" x14ac:dyDescent="0.15"/>
    <row r="1501" s="120" customFormat="1" x14ac:dyDescent="0.15"/>
    <row r="1502" s="120" customFormat="1" x14ac:dyDescent="0.15"/>
    <row r="1503" s="120" customFormat="1" x14ac:dyDescent="0.15"/>
    <row r="1504" s="120" customFormat="1" x14ac:dyDescent="0.15"/>
    <row r="1505" s="120" customFormat="1" x14ac:dyDescent="0.15"/>
    <row r="1506" s="120" customFormat="1" x14ac:dyDescent="0.15"/>
    <row r="1507" s="120" customFormat="1" x14ac:dyDescent="0.15"/>
    <row r="1508" s="120" customFormat="1" x14ac:dyDescent="0.15"/>
    <row r="1509" s="120" customFormat="1" x14ac:dyDescent="0.15"/>
    <row r="1510" s="120" customFormat="1" x14ac:dyDescent="0.15"/>
    <row r="1511" s="120" customFormat="1" x14ac:dyDescent="0.15"/>
    <row r="1512" s="120" customFormat="1" x14ac:dyDescent="0.15"/>
    <row r="1513" s="120" customFormat="1" x14ac:dyDescent="0.15"/>
    <row r="1514" s="120" customFormat="1" x14ac:dyDescent="0.15"/>
    <row r="1515" s="120" customFormat="1" x14ac:dyDescent="0.15"/>
    <row r="1516" s="120" customFormat="1" x14ac:dyDescent="0.15"/>
    <row r="1517" s="120" customFormat="1" x14ac:dyDescent="0.15"/>
    <row r="1518" s="120" customFormat="1" x14ac:dyDescent="0.15"/>
    <row r="1519" s="120" customFormat="1" x14ac:dyDescent="0.15"/>
    <row r="1520" s="120" customFormat="1" x14ac:dyDescent="0.15"/>
    <row r="1521" s="120" customFormat="1" x14ac:dyDescent="0.15"/>
    <row r="1522" s="120" customFormat="1" x14ac:dyDescent="0.15"/>
    <row r="1523" s="120" customFormat="1" x14ac:dyDescent="0.15"/>
    <row r="1524" s="120" customFormat="1" x14ac:dyDescent="0.15"/>
    <row r="1525" s="120" customFormat="1" x14ac:dyDescent="0.15"/>
    <row r="1526" s="120" customFormat="1" x14ac:dyDescent="0.15"/>
    <row r="1527" s="120" customFormat="1" x14ac:dyDescent="0.15"/>
    <row r="1528" s="120" customFormat="1" x14ac:dyDescent="0.15"/>
    <row r="1529" s="120" customFormat="1" x14ac:dyDescent="0.15"/>
    <row r="1530" s="120" customFormat="1" x14ac:dyDescent="0.15"/>
    <row r="1531" s="120" customFormat="1" x14ac:dyDescent="0.15"/>
    <row r="1532" s="120" customFormat="1" x14ac:dyDescent="0.15"/>
    <row r="1533" s="120" customFormat="1" x14ac:dyDescent="0.15"/>
    <row r="1534" s="120" customFormat="1" x14ac:dyDescent="0.15"/>
    <row r="1535" s="120" customFormat="1" x14ac:dyDescent="0.15"/>
    <row r="1536" s="120" customFormat="1" x14ac:dyDescent="0.15"/>
    <row r="1537" s="120" customFormat="1" x14ac:dyDescent="0.15"/>
    <row r="1538" s="120" customFormat="1" x14ac:dyDescent="0.15"/>
    <row r="1539" s="120" customFormat="1" x14ac:dyDescent="0.15"/>
    <row r="1540" s="120" customFormat="1" x14ac:dyDescent="0.15"/>
    <row r="1541" s="120" customFormat="1" x14ac:dyDescent="0.15"/>
    <row r="1542" s="120" customFormat="1" x14ac:dyDescent="0.15"/>
    <row r="1543" s="120" customFormat="1" x14ac:dyDescent="0.15"/>
    <row r="1544" s="120" customFormat="1" x14ac:dyDescent="0.15"/>
    <row r="1545" s="120" customFormat="1" x14ac:dyDescent="0.15"/>
    <row r="1546" s="120" customFormat="1" x14ac:dyDescent="0.15"/>
    <row r="1547" s="120" customFormat="1" x14ac:dyDescent="0.15"/>
    <row r="1548" s="120" customFormat="1" x14ac:dyDescent="0.15"/>
    <row r="1549" s="120" customFormat="1" x14ac:dyDescent="0.15"/>
    <row r="1550" s="120" customFormat="1" x14ac:dyDescent="0.15"/>
    <row r="1551" s="120" customFormat="1" x14ac:dyDescent="0.15"/>
    <row r="1552" s="120" customFormat="1" x14ac:dyDescent="0.15"/>
    <row r="1553" s="120" customFormat="1" x14ac:dyDescent="0.15"/>
    <row r="1554" s="120" customFormat="1" x14ac:dyDescent="0.15"/>
    <row r="1555" s="120" customFormat="1" x14ac:dyDescent="0.15"/>
    <row r="1556" s="120" customFormat="1" x14ac:dyDescent="0.15"/>
    <row r="1557" s="120" customFormat="1" x14ac:dyDescent="0.15"/>
    <row r="1558" s="120" customFormat="1" x14ac:dyDescent="0.15"/>
    <row r="1559" s="120" customFormat="1" x14ac:dyDescent="0.15"/>
    <row r="1560" s="120" customFormat="1" x14ac:dyDescent="0.15"/>
    <row r="1561" s="120" customFormat="1" x14ac:dyDescent="0.15"/>
    <row r="1562" s="120" customFormat="1" x14ac:dyDescent="0.15"/>
    <row r="1563" s="120" customFormat="1" x14ac:dyDescent="0.15"/>
    <row r="1564" s="120" customFormat="1" x14ac:dyDescent="0.15"/>
    <row r="1565" s="120" customFormat="1" x14ac:dyDescent="0.15"/>
    <row r="1566" s="120" customFormat="1" x14ac:dyDescent="0.15"/>
    <row r="1567" s="120" customFormat="1" x14ac:dyDescent="0.15"/>
    <row r="1568" s="120" customFormat="1" x14ac:dyDescent="0.15"/>
    <row r="1569" s="120" customFormat="1" x14ac:dyDescent="0.15"/>
    <row r="1570" s="120" customFormat="1" x14ac:dyDescent="0.15"/>
    <row r="1571" s="120" customFormat="1" x14ac:dyDescent="0.15"/>
    <row r="1572" s="120" customFormat="1" x14ac:dyDescent="0.15"/>
    <row r="1573" s="120" customFormat="1" x14ac:dyDescent="0.15"/>
    <row r="1574" s="120" customFormat="1" x14ac:dyDescent="0.15"/>
    <row r="1575" s="120" customFormat="1" x14ac:dyDescent="0.15"/>
    <row r="1576" s="120" customFormat="1" x14ac:dyDescent="0.15"/>
    <row r="1577" s="120" customFormat="1" x14ac:dyDescent="0.15"/>
    <row r="1578" s="120" customFormat="1" x14ac:dyDescent="0.15"/>
    <row r="1579" s="120" customFormat="1" x14ac:dyDescent="0.15"/>
    <row r="1580" s="120" customFormat="1" x14ac:dyDescent="0.15"/>
    <row r="1581" s="120" customFormat="1" x14ac:dyDescent="0.15"/>
    <row r="1582" s="120" customFormat="1" x14ac:dyDescent="0.15"/>
    <row r="1583" s="120" customFormat="1" x14ac:dyDescent="0.15"/>
    <row r="1584" s="120" customFormat="1" x14ac:dyDescent="0.15"/>
    <row r="1585" s="120" customFormat="1" x14ac:dyDescent="0.15"/>
    <row r="1586" s="120" customFormat="1" x14ac:dyDescent="0.15"/>
    <row r="1587" s="120" customFormat="1" x14ac:dyDescent="0.15"/>
    <row r="1588" s="120" customFormat="1" x14ac:dyDescent="0.15"/>
    <row r="1589" s="120" customFormat="1" x14ac:dyDescent="0.15"/>
    <row r="1590" s="120" customFormat="1" x14ac:dyDescent="0.15"/>
    <row r="1591" s="120" customFormat="1" x14ac:dyDescent="0.15"/>
    <row r="1592" s="120" customFormat="1" x14ac:dyDescent="0.15"/>
    <row r="1593" s="120" customFormat="1" x14ac:dyDescent="0.15"/>
    <row r="1594" s="120" customFormat="1" x14ac:dyDescent="0.15"/>
    <row r="1595" s="120" customFormat="1" x14ac:dyDescent="0.15"/>
    <row r="1596" s="120" customFormat="1" x14ac:dyDescent="0.15"/>
    <row r="1597" s="120" customFormat="1" x14ac:dyDescent="0.15"/>
    <row r="1598" s="120" customFormat="1" x14ac:dyDescent="0.15"/>
    <row r="1599" s="120" customFormat="1" x14ac:dyDescent="0.15"/>
    <row r="1600" s="120" customFormat="1" x14ac:dyDescent="0.15"/>
    <row r="1601" s="120" customFormat="1" x14ac:dyDescent="0.15"/>
    <row r="1602" s="120" customFormat="1" x14ac:dyDescent="0.15"/>
    <row r="1603" s="120" customFormat="1" x14ac:dyDescent="0.15"/>
    <row r="1604" s="120" customFormat="1" x14ac:dyDescent="0.15"/>
    <row r="1605" s="120" customFormat="1" x14ac:dyDescent="0.15"/>
    <row r="1606" s="120" customFormat="1" x14ac:dyDescent="0.15"/>
    <row r="1607" s="120" customFormat="1" x14ac:dyDescent="0.15"/>
    <row r="1608" s="120" customFormat="1" x14ac:dyDescent="0.15"/>
    <row r="1609" s="120" customFormat="1" x14ac:dyDescent="0.15"/>
    <row r="1610" s="120" customFormat="1" x14ac:dyDescent="0.15"/>
    <row r="1611" s="120" customFormat="1" x14ac:dyDescent="0.15"/>
    <row r="1612" s="120" customFormat="1" x14ac:dyDescent="0.15"/>
    <row r="1613" s="120" customFormat="1" x14ac:dyDescent="0.15"/>
    <row r="1614" s="120" customFormat="1" x14ac:dyDescent="0.15"/>
    <row r="1615" s="120" customFormat="1" x14ac:dyDescent="0.15"/>
    <row r="1616" s="120" customFormat="1" x14ac:dyDescent="0.15"/>
    <row r="1617" s="120" customFormat="1" x14ac:dyDescent="0.15"/>
    <row r="1618" s="120" customFormat="1" x14ac:dyDescent="0.15"/>
    <row r="1619" s="120" customFormat="1" x14ac:dyDescent="0.15"/>
    <row r="1620" s="120" customFormat="1" x14ac:dyDescent="0.15"/>
    <row r="1621" s="120" customFormat="1" x14ac:dyDescent="0.15"/>
    <row r="1622" s="120" customFormat="1" x14ac:dyDescent="0.15"/>
    <row r="1623" s="120" customFormat="1" x14ac:dyDescent="0.15"/>
    <row r="1624" s="120" customFormat="1" x14ac:dyDescent="0.15"/>
    <row r="1625" s="120" customFormat="1" x14ac:dyDescent="0.15"/>
    <row r="1626" s="120" customFormat="1" x14ac:dyDescent="0.15"/>
    <row r="1627" s="120" customFormat="1" x14ac:dyDescent="0.15"/>
    <row r="1628" s="120" customFormat="1" x14ac:dyDescent="0.15"/>
    <row r="1629" s="120" customFormat="1" x14ac:dyDescent="0.15"/>
    <row r="1630" s="120" customFormat="1" x14ac:dyDescent="0.15"/>
    <row r="1631" s="120" customFormat="1" x14ac:dyDescent="0.15"/>
    <row r="1632" s="120" customFormat="1" x14ac:dyDescent="0.15"/>
    <row r="1633" s="120" customFormat="1" x14ac:dyDescent="0.15"/>
    <row r="1634" s="120" customFormat="1" x14ac:dyDescent="0.15"/>
    <row r="1635" s="120" customFormat="1" x14ac:dyDescent="0.15"/>
    <row r="1636" s="120" customFormat="1" x14ac:dyDescent="0.15"/>
    <row r="1637" s="120" customFormat="1" x14ac:dyDescent="0.15"/>
    <row r="1638" s="120" customFormat="1" x14ac:dyDescent="0.15"/>
    <row r="1639" s="120" customFormat="1" x14ac:dyDescent="0.15"/>
    <row r="1640" s="120" customFormat="1" x14ac:dyDescent="0.15"/>
    <row r="1641" s="120" customFormat="1" x14ac:dyDescent="0.15"/>
    <row r="1642" s="120" customFormat="1" x14ac:dyDescent="0.15"/>
    <row r="1643" s="120" customFormat="1" x14ac:dyDescent="0.15"/>
    <row r="1644" s="120" customFormat="1" x14ac:dyDescent="0.15"/>
    <row r="1645" s="120" customFormat="1" x14ac:dyDescent="0.15"/>
    <row r="1646" s="120" customFormat="1" x14ac:dyDescent="0.15"/>
    <row r="1647" s="120" customFormat="1" x14ac:dyDescent="0.15"/>
    <row r="1648" s="120" customFormat="1" x14ac:dyDescent="0.15"/>
    <row r="1649" s="120" customFormat="1" x14ac:dyDescent="0.15"/>
    <row r="1650" s="120" customFormat="1" x14ac:dyDescent="0.15"/>
    <row r="1651" s="120" customFormat="1" x14ac:dyDescent="0.15"/>
    <row r="1652" s="120" customFormat="1" x14ac:dyDescent="0.15"/>
    <row r="1653" s="120" customFormat="1" x14ac:dyDescent="0.15"/>
    <row r="1654" s="120" customFormat="1" x14ac:dyDescent="0.15"/>
    <row r="1655" s="120" customFormat="1" x14ac:dyDescent="0.15"/>
    <row r="1656" s="120" customFormat="1" x14ac:dyDescent="0.15"/>
    <row r="1657" s="120" customFormat="1" x14ac:dyDescent="0.15"/>
    <row r="1658" s="120" customFormat="1" x14ac:dyDescent="0.15"/>
    <row r="1659" s="120" customFormat="1" x14ac:dyDescent="0.15"/>
    <row r="1660" s="120" customFormat="1" x14ac:dyDescent="0.15"/>
    <row r="1661" s="120" customFormat="1" x14ac:dyDescent="0.15"/>
    <row r="1662" s="120" customFormat="1" x14ac:dyDescent="0.15"/>
    <row r="1663" s="120" customFormat="1" x14ac:dyDescent="0.15"/>
    <row r="1664" s="120" customFormat="1" x14ac:dyDescent="0.15"/>
    <row r="1665" s="120" customFormat="1" x14ac:dyDescent="0.15"/>
    <row r="1666" s="120" customFormat="1" x14ac:dyDescent="0.15"/>
    <row r="1667" s="120" customFormat="1" x14ac:dyDescent="0.15"/>
    <row r="1668" s="120" customFormat="1" x14ac:dyDescent="0.15"/>
    <row r="1669" s="120" customFormat="1" x14ac:dyDescent="0.15"/>
    <row r="1670" s="120" customFormat="1" x14ac:dyDescent="0.15"/>
    <row r="1671" s="120" customFormat="1" x14ac:dyDescent="0.15"/>
    <row r="1672" s="120" customFormat="1" x14ac:dyDescent="0.15"/>
    <row r="1673" s="120" customFormat="1" x14ac:dyDescent="0.15"/>
    <row r="1674" s="120" customFormat="1" x14ac:dyDescent="0.15"/>
    <row r="1675" s="120" customFormat="1" x14ac:dyDescent="0.15"/>
    <row r="1676" s="120" customFormat="1" x14ac:dyDescent="0.15"/>
    <row r="1677" s="120" customFormat="1" x14ac:dyDescent="0.15"/>
    <row r="1678" s="120" customFormat="1" x14ac:dyDescent="0.15"/>
    <row r="1679" s="120" customFormat="1" x14ac:dyDescent="0.15"/>
    <row r="1680" s="120" customFormat="1" x14ac:dyDescent="0.15"/>
    <row r="1681" s="120" customFormat="1" x14ac:dyDescent="0.15"/>
    <row r="1682" s="120" customFormat="1" x14ac:dyDescent="0.15"/>
    <row r="1683" s="120" customFormat="1" x14ac:dyDescent="0.15"/>
    <row r="1684" s="120" customFormat="1" x14ac:dyDescent="0.15"/>
    <row r="1685" s="120" customFormat="1" x14ac:dyDescent="0.15"/>
    <row r="1686" s="120" customFormat="1" x14ac:dyDescent="0.15"/>
    <row r="1687" s="120" customFormat="1" x14ac:dyDescent="0.15"/>
    <row r="1688" s="120" customFormat="1" x14ac:dyDescent="0.15"/>
    <row r="1689" s="120" customFormat="1" x14ac:dyDescent="0.15"/>
    <row r="1690" s="120" customFormat="1" x14ac:dyDescent="0.15"/>
    <row r="1691" s="120" customFormat="1" x14ac:dyDescent="0.15"/>
    <row r="1692" s="120" customFormat="1" x14ac:dyDescent="0.15"/>
    <row r="1693" s="120" customFormat="1" x14ac:dyDescent="0.15"/>
    <row r="1694" s="120" customFormat="1" x14ac:dyDescent="0.15"/>
    <row r="1695" s="120" customFormat="1" x14ac:dyDescent="0.15"/>
    <row r="1696" s="120" customFormat="1" x14ac:dyDescent="0.15"/>
    <row r="1697" s="120" customFormat="1" x14ac:dyDescent="0.15"/>
    <row r="1698" s="120" customFormat="1" x14ac:dyDescent="0.15"/>
    <row r="1699" s="120" customFormat="1" x14ac:dyDescent="0.15"/>
    <row r="1700" s="120" customFormat="1" x14ac:dyDescent="0.15"/>
    <row r="1701" s="120" customFormat="1" x14ac:dyDescent="0.15"/>
    <row r="1702" s="120" customFormat="1" x14ac:dyDescent="0.15"/>
    <row r="1703" s="120" customFormat="1" x14ac:dyDescent="0.15"/>
    <row r="1704" s="120" customFormat="1" x14ac:dyDescent="0.15"/>
    <row r="1705" s="120" customFormat="1" x14ac:dyDescent="0.15"/>
    <row r="1706" s="120" customFormat="1" x14ac:dyDescent="0.15"/>
    <row r="1707" s="120" customFormat="1" x14ac:dyDescent="0.15"/>
    <row r="1708" s="120" customFormat="1" x14ac:dyDescent="0.15"/>
    <row r="1709" s="120" customFormat="1" x14ac:dyDescent="0.15"/>
    <row r="1710" s="120" customFormat="1" x14ac:dyDescent="0.15"/>
    <row r="1711" s="120" customFormat="1" x14ac:dyDescent="0.15"/>
    <row r="1712" s="120" customFormat="1" x14ac:dyDescent="0.15"/>
    <row r="1713" s="120" customFormat="1" x14ac:dyDescent="0.15"/>
    <row r="1714" s="120" customFormat="1" x14ac:dyDescent="0.15"/>
    <row r="1715" s="120" customFormat="1" x14ac:dyDescent="0.15"/>
    <row r="1716" s="120" customFormat="1" x14ac:dyDescent="0.15"/>
    <row r="1717" s="120" customFormat="1" x14ac:dyDescent="0.15"/>
    <row r="1718" s="120" customFormat="1" x14ac:dyDescent="0.15"/>
    <row r="1719" s="120" customFormat="1" x14ac:dyDescent="0.15"/>
    <row r="1720" s="120" customFormat="1" x14ac:dyDescent="0.15"/>
    <row r="1721" s="120" customFormat="1" x14ac:dyDescent="0.15"/>
    <row r="1722" s="120" customFormat="1" x14ac:dyDescent="0.15"/>
    <row r="1723" s="120" customFormat="1" x14ac:dyDescent="0.15"/>
    <row r="1724" s="120" customFormat="1" x14ac:dyDescent="0.15"/>
    <row r="1725" s="120" customFormat="1" x14ac:dyDescent="0.15"/>
    <row r="1726" s="120" customFormat="1" x14ac:dyDescent="0.15"/>
    <row r="1727" s="120" customFormat="1" x14ac:dyDescent="0.15"/>
    <row r="1728" s="120" customFormat="1" x14ac:dyDescent="0.15"/>
    <row r="1729" s="120" customFormat="1" x14ac:dyDescent="0.15"/>
    <row r="1730" s="120" customFormat="1" x14ac:dyDescent="0.15"/>
    <row r="1731" s="120" customFormat="1" x14ac:dyDescent="0.15"/>
    <row r="1732" s="120" customFormat="1" x14ac:dyDescent="0.15"/>
    <row r="1733" s="120" customFormat="1" x14ac:dyDescent="0.15"/>
    <row r="1734" s="120" customFormat="1" x14ac:dyDescent="0.15"/>
    <row r="1735" s="120" customFormat="1" x14ac:dyDescent="0.15"/>
    <row r="1736" s="120" customFormat="1" x14ac:dyDescent="0.15"/>
    <row r="1737" s="120" customFormat="1" x14ac:dyDescent="0.15"/>
    <row r="1738" s="120" customFormat="1" x14ac:dyDescent="0.15"/>
    <row r="1739" s="120" customFormat="1" x14ac:dyDescent="0.15"/>
    <row r="1740" s="120" customFormat="1" x14ac:dyDescent="0.15"/>
    <row r="1741" s="120" customFormat="1" x14ac:dyDescent="0.15"/>
    <row r="1742" s="120" customFormat="1" x14ac:dyDescent="0.15"/>
    <row r="1743" s="120" customFormat="1" x14ac:dyDescent="0.15"/>
    <row r="1744" s="120" customFormat="1" x14ac:dyDescent="0.15"/>
    <row r="1745" s="120" customFormat="1" x14ac:dyDescent="0.15"/>
    <row r="1746" s="120" customFormat="1" x14ac:dyDescent="0.15"/>
    <row r="1747" s="120" customFormat="1" x14ac:dyDescent="0.15"/>
    <row r="1748" s="120" customFormat="1" x14ac:dyDescent="0.15"/>
    <row r="1749" s="120" customFormat="1" x14ac:dyDescent="0.15"/>
    <row r="1750" s="120" customFormat="1" x14ac:dyDescent="0.15"/>
    <row r="1751" s="120" customFormat="1" x14ac:dyDescent="0.15"/>
    <row r="1752" s="120" customFormat="1" x14ac:dyDescent="0.15"/>
    <row r="1753" s="120" customFormat="1" x14ac:dyDescent="0.15"/>
    <row r="1754" s="120" customFormat="1" x14ac:dyDescent="0.15"/>
    <row r="1755" s="120" customFormat="1" x14ac:dyDescent="0.15"/>
    <row r="1756" s="120" customFormat="1" x14ac:dyDescent="0.15"/>
    <row r="1757" s="120" customFormat="1" x14ac:dyDescent="0.15"/>
    <row r="1758" s="120" customFormat="1" x14ac:dyDescent="0.15"/>
    <row r="1759" s="120" customFormat="1" x14ac:dyDescent="0.15"/>
    <row r="1760" s="120" customFormat="1" x14ac:dyDescent="0.15"/>
    <row r="1761" s="120" customFormat="1" x14ac:dyDescent="0.15"/>
    <row r="1762" s="120" customFormat="1" x14ac:dyDescent="0.15"/>
    <row r="1763" s="120" customFormat="1" x14ac:dyDescent="0.15"/>
    <row r="1764" s="120" customFormat="1" x14ac:dyDescent="0.15"/>
    <row r="1765" s="120" customFormat="1" x14ac:dyDescent="0.15"/>
    <row r="1766" s="120" customFormat="1" x14ac:dyDescent="0.15"/>
    <row r="1767" s="120" customFormat="1" x14ac:dyDescent="0.15"/>
    <row r="1768" s="120" customFormat="1" x14ac:dyDescent="0.15"/>
    <row r="1769" s="120" customFormat="1" x14ac:dyDescent="0.15"/>
    <row r="1770" s="120" customFormat="1" x14ac:dyDescent="0.15"/>
    <row r="1771" s="120" customFormat="1" x14ac:dyDescent="0.15"/>
    <row r="1772" s="120" customFormat="1" x14ac:dyDescent="0.15"/>
    <row r="1773" s="120" customFormat="1" x14ac:dyDescent="0.15"/>
    <row r="1774" s="120" customFormat="1" x14ac:dyDescent="0.15"/>
    <row r="1775" s="120" customFormat="1" x14ac:dyDescent="0.15"/>
    <row r="1776" s="120" customFormat="1" x14ac:dyDescent="0.15"/>
    <row r="1777" s="120" customFormat="1" x14ac:dyDescent="0.15"/>
    <row r="1778" s="120" customFormat="1" x14ac:dyDescent="0.15"/>
    <row r="1779" s="120" customFormat="1" x14ac:dyDescent="0.15"/>
    <row r="1780" s="120" customFormat="1" x14ac:dyDescent="0.15"/>
    <row r="1781" s="120" customFormat="1" x14ac:dyDescent="0.15"/>
    <row r="1782" s="120" customFormat="1" x14ac:dyDescent="0.15"/>
    <row r="1783" s="120" customFormat="1" x14ac:dyDescent="0.15"/>
    <row r="1784" s="120" customFormat="1" x14ac:dyDescent="0.15"/>
    <row r="1785" s="120" customFormat="1" x14ac:dyDescent="0.15"/>
    <row r="1786" s="120" customFormat="1" x14ac:dyDescent="0.15"/>
    <row r="1787" s="120" customFormat="1" x14ac:dyDescent="0.15"/>
    <row r="1788" s="120" customFormat="1" x14ac:dyDescent="0.15"/>
    <row r="1789" s="120" customFormat="1" x14ac:dyDescent="0.15"/>
    <row r="1790" s="120" customFormat="1" x14ac:dyDescent="0.15"/>
    <row r="1791" s="120" customFormat="1" x14ac:dyDescent="0.15"/>
    <row r="1792" s="120" customFormat="1" x14ac:dyDescent="0.15"/>
    <row r="1793" s="120" customFormat="1" x14ac:dyDescent="0.15"/>
    <row r="1794" s="120" customFormat="1" x14ac:dyDescent="0.15"/>
    <row r="1795" s="120" customFormat="1" x14ac:dyDescent="0.15"/>
    <row r="1796" s="120" customFormat="1" x14ac:dyDescent="0.15"/>
    <row r="1797" s="120" customFormat="1" x14ac:dyDescent="0.15"/>
    <row r="1798" s="120" customFormat="1" x14ac:dyDescent="0.15"/>
    <row r="1799" s="120" customFormat="1" x14ac:dyDescent="0.15"/>
    <row r="1800" s="120" customFormat="1" x14ac:dyDescent="0.15"/>
    <row r="1801" s="120" customFormat="1" x14ac:dyDescent="0.15"/>
    <row r="1802" s="120" customFormat="1" x14ac:dyDescent="0.15"/>
    <row r="1803" s="120" customFormat="1" x14ac:dyDescent="0.15"/>
    <row r="1804" s="120" customFormat="1" x14ac:dyDescent="0.15"/>
    <row r="1805" s="120" customFormat="1" x14ac:dyDescent="0.15"/>
    <row r="1806" s="120" customFormat="1" x14ac:dyDescent="0.15"/>
    <row r="1807" s="120" customFormat="1" x14ac:dyDescent="0.15"/>
    <row r="1808" s="120" customFormat="1" x14ac:dyDescent="0.15"/>
    <row r="1809" s="120" customFormat="1" x14ac:dyDescent="0.15"/>
    <row r="1810" s="120" customFormat="1" x14ac:dyDescent="0.15"/>
    <row r="1811" s="120" customFormat="1" x14ac:dyDescent="0.15"/>
    <row r="1812" s="120" customFormat="1" x14ac:dyDescent="0.15"/>
    <row r="1813" s="120" customFormat="1" x14ac:dyDescent="0.15"/>
    <row r="1814" s="120" customFormat="1" x14ac:dyDescent="0.15"/>
    <row r="1815" s="120" customFormat="1" x14ac:dyDescent="0.15"/>
    <row r="1816" s="120" customFormat="1" x14ac:dyDescent="0.15"/>
    <row r="1817" s="120" customFormat="1" x14ac:dyDescent="0.15"/>
    <row r="1818" s="120" customFormat="1" x14ac:dyDescent="0.15"/>
    <row r="1819" s="120" customFormat="1" x14ac:dyDescent="0.15"/>
    <row r="1820" s="120" customFormat="1" x14ac:dyDescent="0.15"/>
    <row r="1821" s="120" customFormat="1" x14ac:dyDescent="0.15"/>
    <row r="1822" s="120" customFormat="1" x14ac:dyDescent="0.15"/>
    <row r="1823" s="120" customFormat="1" x14ac:dyDescent="0.15"/>
    <row r="1824" s="120" customFormat="1" x14ac:dyDescent="0.15"/>
    <row r="1825" s="120" customFormat="1" x14ac:dyDescent="0.15"/>
    <row r="1826" s="120" customFormat="1" x14ac:dyDescent="0.15"/>
    <row r="1827" s="120" customFormat="1" x14ac:dyDescent="0.15"/>
    <row r="1828" s="120" customFormat="1" x14ac:dyDescent="0.15"/>
    <row r="1829" s="120" customFormat="1" x14ac:dyDescent="0.15"/>
    <row r="1830" s="120" customFormat="1" x14ac:dyDescent="0.15"/>
    <row r="1831" s="120" customFormat="1" x14ac:dyDescent="0.15"/>
    <row r="1832" s="120" customFormat="1" x14ac:dyDescent="0.15"/>
    <row r="1833" s="120" customFormat="1" x14ac:dyDescent="0.15"/>
    <row r="1834" s="120" customFormat="1" x14ac:dyDescent="0.15"/>
    <row r="1835" s="120" customFormat="1" x14ac:dyDescent="0.15"/>
    <row r="1836" s="120" customFormat="1" x14ac:dyDescent="0.15"/>
    <row r="1837" s="120" customFormat="1" x14ac:dyDescent="0.15"/>
    <row r="1838" s="120" customFormat="1" x14ac:dyDescent="0.15"/>
    <row r="1839" s="120" customFormat="1" x14ac:dyDescent="0.15"/>
    <row r="1840" s="120" customFormat="1" x14ac:dyDescent="0.15"/>
    <row r="1841" s="120" customFormat="1" x14ac:dyDescent="0.15"/>
    <row r="1842" s="120" customFormat="1" x14ac:dyDescent="0.15"/>
    <row r="1843" s="120" customFormat="1" x14ac:dyDescent="0.15"/>
    <row r="1844" s="120" customFormat="1" x14ac:dyDescent="0.15"/>
    <row r="1845" s="120" customFormat="1" x14ac:dyDescent="0.15"/>
    <row r="1846" s="120" customFormat="1" x14ac:dyDescent="0.15"/>
    <row r="1847" s="120" customFormat="1" x14ac:dyDescent="0.15"/>
    <row r="1848" s="120" customFormat="1" x14ac:dyDescent="0.15"/>
    <row r="1849" s="120" customFormat="1" x14ac:dyDescent="0.15"/>
    <row r="1850" s="120" customFormat="1" x14ac:dyDescent="0.15"/>
    <row r="1851" s="120" customFormat="1" x14ac:dyDescent="0.15"/>
    <row r="1852" s="120" customFormat="1" x14ac:dyDescent="0.15"/>
    <row r="1853" s="120" customFormat="1" x14ac:dyDescent="0.15"/>
    <row r="1854" s="120" customFormat="1" x14ac:dyDescent="0.15"/>
    <row r="1855" s="120" customFormat="1" x14ac:dyDescent="0.15"/>
    <row r="1856" s="120" customFormat="1" x14ac:dyDescent="0.15"/>
    <row r="1857" s="120" customFormat="1" x14ac:dyDescent="0.15"/>
    <row r="1858" s="120" customFormat="1" x14ac:dyDescent="0.15"/>
    <row r="1859" s="120" customFormat="1" x14ac:dyDescent="0.15"/>
    <row r="1860" s="120" customFormat="1" x14ac:dyDescent="0.15"/>
    <row r="1861" s="120" customFormat="1" x14ac:dyDescent="0.15"/>
    <row r="1862" s="120" customFormat="1" x14ac:dyDescent="0.15"/>
    <row r="1863" s="120" customFormat="1" x14ac:dyDescent="0.15"/>
    <row r="1864" s="120" customFormat="1" x14ac:dyDescent="0.15"/>
    <row r="1865" s="120" customFormat="1" x14ac:dyDescent="0.15"/>
    <row r="1866" s="120" customFormat="1" x14ac:dyDescent="0.15"/>
    <row r="1867" s="120" customFormat="1" x14ac:dyDescent="0.15"/>
    <row r="1868" s="120" customFormat="1" x14ac:dyDescent="0.15"/>
    <row r="1869" s="120" customFormat="1" x14ac:dyDescent="0.15"/>
    <row r="1870" s="120" customFormat="1" x14ac:dyDescent="0.15"/>
    <row r="1871" s="120" customFormat="1" x14ac:dyDescent="0.15"/>
    <row r="1872" s="120" customFormat="1" x14ac:dyDescent="0.15"/>
    <row r="1873" s="120" customFormat="1" x14ac:dyDescent="0.15"/>
    <row r="1874" s="120" customFormat="1" x14ac:dyDescent="0.15"/>
    <row r="1875" s="120" customFormat="1" x14ac:dyDescent="0.15"/>
    <row r="1876" s="120" customFormat="1" x14ac:dyDescent="0.15"/>
    <row r="1877" s="120" customFormat="1" x14ac:dyDescent="0.15"/>
    <row r="1878" s="120" customFormat="1" x14ac:dyDescent="0.15"/>
    <row r="1879" s="120" customFormat="1" x14ac:dyDescent="0.15"/>
    <row r="1880" s="120" customFormat="1" x14ac:dyDescent="0.15"/>
    <row r="1881" s="120" customFormat="1" x14ac:dyDescent="0.15"/>
    <row r="1882" s="120" customFormat="1" x14ac:dyDescent="0.15"/>
    <row r="1883" s="120" customFormat="1" x14ac:dyDescent="0.15"/>
    <row r="1884" s="120" customFormat="1" x14ac:dyDescent="0.15"/>
    <row r="1885" s="120" customFormat="1" x14ac:dyDescent="0.15"/>
    <row r="1886" s="120" customFormat="1" x14ac:dyDescent="0.15"/>
    <row r="1887" s="120" customFormat="1" x14ac:dyDescent="0.15"/>
    <row r="1888" s="120" customFormat="1" x14ac:dyDescent="0.15"/>
    <row r="1889" s="120" customFormat="1" x14ac:dyDescent="0.15"/>
    <row r="1890" s="120" customFormat="1" x14ac:dyDescent="0.15"/>
    <row r="1891" s="120" customFormat="1" x14ac:dyDescent="0.15"/>
    <row r="1892" s="120" customFormat="1" x14ac:dyDescent="0.15"/>
    <row r="1893" s="120" customFormat="1" x14ac:dyDescent="0.15"/>
    <row r="1894" s="120" customFormat="1" x14ac:dyDescent="0.15"/>
    <row r="1895" s="120" customFormat="1" x14ac:dyDescent="0.15"/>
    <row r="1896" s="120" customFormat="1" x14ac:dyDescent="0.15"/>
    <row r="1897" s="120" customFormat="1" x14ac:dyDescent="0.15"/>
    <row r="1898" s="120" customFormat="1" x14ac:dyDescent="0.15"/>
    <row r="1899" s="120" customFormat="1" x14ac:dyDescent="0.15"/>
    <row r="1900" s="120" customFormat="1" x14ac:dyDescent="0.15"/>
    <row r="1901" s="120" customFormat="1" x14ac:dyDescent="0.15"/>
    <row r="1902" s="120" customFormat="1" x14ac:dyDescent="0.15"/>
    <row r="1903" s="120" customFormat="1" x14ac:dyDescent="0.15"/>
    <row r="1904" s="120" customFormat="1" x14ac:dyDescent="0.15"/>
    <row r="1905" s="120" customFormat="1" x14ac:dyDescent="0.15"/>
    <row r="1906" s="120" customFormat="1" x14ac:dyDescent="0.15"/>
    <row r="1907" s="120" customFormat="1" x14ac:dyDescent="0.15"/>
    <row r="1908" s="120" customFormat="1" x14ac:dyDescent="0.15"/>
    <row r="1909" s="120" customFormat="1" x14ac:dyDescent="0.15"/>
    <row r="1910" s="120" customFormat="1" x14ac:dyDescent="0.15"/>
    <row r="1911" s="120" customFormat="1" x14ac:dyDescent="0.15"/>
    <row r="1912" s="120" customFormat="1" x14ac:dyDescent="0.15"/>
    <row r="1913" s="120" customFormat="1" x14ac:dyDescent="0.15"/>
    <row r="1914" s="120" customFormat="1" x14ac:dyDescent="0.15"/>
    <row r="1915" s="120" customFormat="1" x14ac:dyDescent="0.15"/>
    <row r="1916" s="120" customFormat="1" x14ac:dyDescent="0.15"/>
    <row r="1917" s="120" customFormat="1" x14ac:dyDescent="0.15"/>
    <row r="1918" s="120" customFormat="1" x14ac:dyDescent="0.15"/>
    <row r="1919" s="120" customFormat="1" x14ac:dyDescent="0.15"/>
    <row r="1920" s="120" customFormat="1" x14ac:dyDescent="0.15"/>
    <row r="1921" s="120" customFormat="1" x14ac:dyDescent="0.15"/>
    <row r="1922" s="120" customFormat="1" x14ac:dyDescent="0.15"/>
    <row r="1923" s="120" customFormat="1" x14ac:dyDescent="0.15"/>
    <row r="1924" s="120" customFormat="1" x14ac:dyDescent="0.15"/>
    <row r="1925" s="120" customFormat="1" x14ac:dyDescent="0.15"/>
    <row r="1926" s="120" customFormat="1" x14ac:dyDescent="0.15"/>
    <row r="1927" s="120" customFormat="1" x14ac:dyDescent="0.15"/>
    <row r="1928" s="120" customFormat="1" x14ac:dyDescent="0.15"/>
    <row r="1929" s="120" customFormat="1" x14ac:dyDescent="0.15"/>
    <row r="1930" s="120" customFormat="1" x14ac:dyDescent="0.15"/>
    <row r="1931" s="120" customFormat="1" x14ac:dyDescent="0.15"/>
    <row r="1932" s="120" customFormat="1" x14ac:dyDescent="0.15"/>
    <row r="1933" s="120" customFormat="1" x14ac:dyDescent="0.15"/>
    <row r="1934" s="120" customFormat="1" x14ac:dyDescent="0.15"/>
    <row r="1935" s="120" customFormat="1" x14ac:dyDescent="0.15"/>
    <row r="1936" s="120" customFormat="1" x14ac:dyDescent="0.15"/>
    <row r="1937" s="120" customFormat="1" x14ac:dyDescent="0.15"/>
    <row r="1938" s="120" customFormat="1" x14ac:dyDescent="0.15"/>
    <row r="1939" s="120" customFormat="1" x14ac:dyDescent="0.15"/>
    <row r="1940" s="120" customFormat="1" x14ac:dyDescent="0.15"/>
    <row r="1941" s="120" customFormat="1" x14ac:dyDescent="0.15"/>
    <row r="1942" s="120" customFormat="1" x14ac:dyDescent="0.15"/>
    <row r="1943" s="120" customFormat="1" x14ac:dyDescent="0.15"/>
    <row r="1944" s="120" customFormat="1" x14ac:dyDescent="0.15"/>
    <row r="1945" s="120" customFormat="1" x14ac:dyDescent="0.15"/>
    <row r="1946" s="120" customFormat="1" x14ac:dyDescent="0.15"/>
    <row r="1947" s="120" customFormat="1" x14ac:dyDescent="0.15"/>
    <row r="1948" s="120" customFormat="1" x14ac:dyDescent="0.15"/>
    <row r="1949" s="120" customFormat="1" x14ac:dyDescent="0.15"/>
    <row r="1950" s="120" customFormat="1" x14ac:dyDescent="0.15"/>
    <row r="1951" s="120" customFormat="1" x14ac:dyDescent="0.15"/>
    <row r="1952" s="120" customFormat="1" x14ac:dyDescent="0.15"/>
    <row r="1953" s="120" customFormat="1" x14ac:dyDescent="0.15"/>
    <row r="1954" s="120" customFormat="1" x14ac:dyDescent="0.15"/>
    <row r="1955" s="120" customFormat="1" x14ac:dyDescent="0.15"/>
    <row r="1956" s="120" customFormat="1" x14ac:dyDescent="0.15"/>
    <row r="1957" s="120" customFormat="1" x14ac:dyDescent="0.15"/>
    <row r="1958" s="120" customFormat="1" x14ac:dyDescent="0.15"/>
    <row r="1959" s="120" customFormat="1" x14ac:dyDescent="0.15"/>
    <row r="1960" s="120" customFormat="1" x14ac:dyDescent="0.15"/>
    <row r="1961" s="120" customFormat="1" x14ac:dyDescent="0.15"/>
    <row r="1962" s="120" customFormat="1" x14ac:dyDescent="0.15"/>
    <row r="1963" s="120" customFormat="1" x14ac:dyDescent="0.15"/>
    <row r="1964" s="120" customFormat="1" x14ac:dyDescent="0.15"/>
    <row r="1965" s="120" customFormat="1" x14ac:dyDescent="0.15"/>
    <row r="1966" s="120" customFormat="1" x14ac:dyDescent="0.15"/>
    <row r="1967" s="120" customFormat="1" x14ac:dyDescent="0.15"/>
    <row r="1968" s="120" customFormat="1" x14ac:dyDescent="0.15"/>
    <row r="1969" s="120" customFormat="1" x14ac:dyDescent="0.15"/>
    <row r="1970" s="120" customFormat="1" x14ac:dyDescent="0.15"/>
    <row r="1971" s="120" customFormat="1" x14ac:dyDescent="0.15"/>
    <row r="1972" s="120" customFormat="1" x14ac:dyDescent="0.15"/>
    <row r="1973" s="120" customFormat="1" x14ac:dyDescent="0.15"/>
    <row r="1974" s="120" customFormat="1" x14ac:dyDescent="0.15"/>
    <row r="1975" s="120" customFormat="1" x14ac:dyDescent="0.15"/>
    <row r="1976" s="120" customFormat="1" x14ac:dyDescent="0.15"/>
    <row r="1977" s="120" customFormat="1" x14ac:dyDescent="0.15"/>
    <row r="1978" s="120" customFormat="1" x14ac:dyDescent="0.15"/>
    <row r="1979" s="120" customFormat="1" x14ac:dyDescent="0.15"/>
    <row r="1980" s="120" customFormat="1" x14ac:dyDescent="0.15"/>
    <row r="1981" s="120" customFormat="1" x14ac:dyDescent="0.15"/>
    <row r="1982" s="120" customFormat="1" x14ac:dyDescent="0.15"/>
    <row r="1983" s="120" customFormat="1" x14ac:dyDescent="0.15"/>
    <row r="1984" s="120" customFormat="1" x14ac:dyDescent="0.15"/>
    <row r="1985" s="120" customFormat="1" x14ac:dyDescent="0.15"/>
    <row r="1986" s="120" customFormat="1" x14ac:dyDescent="0.15"/>
    <row r="1987" s="120" customFormat="1" x14ac:dyDescent="0.15"/>
    <row r="1988" s="120" customFormat="1" x14ac:dyDescent="0.15"/>
    <row r="1989" s="120" customFormat="1" x14ac:dyDescent="0.15"/>
    <row r="1990" s="120" customFormat="1" x14ac:dyDescent="0.15"/>
    <row r="1991" s="120" customFormat="1" x14ac:dyDescent="0.15"/>
    <row r="1992" s="120" customFormat="1" x14ac:dyDescent="0.15"/>
    <row r="1993" s="120" customFormat="1" x14ac:dyDescent="0.15"/>
    <row r="1994" s="120" customFormat="1" x14ac:dyDescent="0.15"/>
    <row r="1995" s="120" customFormat="1" x14ac:dyDescent="0.15"/>
    <row r="1996" s="120" customFormat="1" x14ac:dyDescent="0.15"/>
    <row r="1997" s="120" customFormat="1" x14ac:dyDescent="0.15"/>
    <row r="1998" s="120" customFormat="1" x14ac:dyDescent="0.15"/>
    <row r="1999" s="120" customFormat="1" x14ac:dyDescent="0.15"/>
    <row r="2000" s="120" customFormat="1" x14ac:dyDescent="0.15"/>
    <row r="2001" s="120" customFormat="1" x14ac:dyDescent="0.15"/>
    <row r="2002" s="120" customFormat="1" x14ac:dyDescent="0.15"/>
    <row r="2003" s="120" customFormat="1" x14ac:dyDescent="0.15"/>
    <row r="2004" s="120" customFormat="1" x14ac:dyDescent="0.15"/>
    <row r="2005" s="120" customFormat="1" x14ac:dyDescent="0.15"/>
    <row r="2006" s="120" customFormat="1" x14ac:dyDescent="0.15"/>
    <row r="2007" s="120" customFormat="1" x14ac:dyDescent="0.15"/>
    <row r="2008" s="120" customFormat="1" x14ac:dyDescent="0.15"/>
    <row r="2009" s="120" customFormat="1" x14ac:dyDescent="0.15"/>
    <row r="2010" s="120" customFormat="1" x14ac:dyDescent="0.15"/>
    <row r="2011" s="120" customFormat="1" x14ac:dyDescent="0.15"/>
    <row r="2012" s="120" customFormat="1" x14ac:dyDescent="0.15"/>
    <row r="2013" s="120" customFormat="1" x14ac:dyDescent="0.15"/>
    <row r="2014" s="120" customFormat="1" x14ac:dyDescent="0.15"/>
    <row r="2015" s="120" customFormat="1" x14ac:dyDescent="0.15"/>
    <row r="2016" s="120" customFormat="1" x14ac:dyDescent="0.15"/>
    <row r="2017" s="120" customFormat="1" x14ac:dyDescent="0.15"/>
    <row r="2018" s="120" customFormat="1" x14ac:dyDescent="0.15"/>
    <row r="2019" s="120" customFormat="1" x14ac:dyDescent="0.15"/>
    <row r="2020" s="120" customFormat="1" x14ac:dyDescent="0.15"/>
    <row r="2021" s="120" customFormat="1" x14ac:dyDescent="0.15"/>
    <row r="2022" s="120" customFormat="1" x14ac:dyDescent="0.15"/>
    <row r="2023" s="120" customFormat="1" x14ac:dyDescent="0.15"/>
    <row r="2024" s="120" customFormat="1" x14ac:dyDescent="0.15"/>
    <row r="2025" s="120" customFormat="1" x14ac:dyDescent="0.15"/>
    <row r="2026" s="120" customFormat="1" x14ac:dyDescent="0.15"/>
    <row r="2027" s="120" customFormat="1" x14ac:dyDescent="0.15"/>
    <row r="2028" s="120" customFormat="1" x14ac:dyDescent="0.15"/>
    <row r="2029" s="120" customFormat="1" x14ac:dyDescent="0.15"/>
    <row r="2030" s="120" customFormat="1" x14ac:dyDescent="0.15"/>
    <row r="2031" s="120" customFormat="1" x14ac:dyDescent="0.15"/>
    <row r="2032" s="120" customFormat="1" x14ac:dyDescent="0.15"/>
    <row r="2033" s="120" customFormat="1" x14ac:dyDescent="0.15"/>
    <row r="2034" s="120" customFormat="1" x14ac:dyDescent="0.15"/>
    <row r="2035" s="120" customFormat="1" x14ac:dyDescent="0.15"/>
    <row r="2036" s="120" customFormat="1" x14ac:dyDescent="0.15"/>
    <row r="2037" s="120" customFormat="1" x14ac:dyDescent="0.15"/>
    <row r="2038" s="120" customFormat="1" x14ac:dyDescent="0.15"/>
    <row r="2039" s="120" customFormat="1" x14ac:dyDescent="0.15"/>
    <row r="2040" s="120" customFormat="1" x14ac:dyDescent="0.15"/>
    <row r="2041" s="120" customFormat="1" x14ac:dyDescent="0.15"/>
    <row r="2042" s="120" customFormat="1" x14ac:dyDescent="0.15"/>
    <row r="2043" s="120" customFormat="1" x14ac:dyDescent="0.15"/>
    <row r="2044" s="120" customFormat="1" x14ac:dyDescent="0.15"/>
    <row r="2045" s="120" customFormat="1" x14ac:dyDescent="0.15"/>
    <row r="2046" s="120" customFormat="1" x14ac:dyDescent="0.15"/>
    <row r="2047" s="120" customFormat="1" x14ac:dyDescent="0.15"/>
    <row r="2048" s="120" customFormat="1" x14ac:dyDescent="0.15"/>
    <row r="2049" s="120" customFormat="1" x14ac:dyDescent="0.15"/>
    <row r="2050" s="120" customFormat="1" x14ac:dyDescent="0.15"/>
    <row r="2051" s="120" customFormat="1" x14ac:dyDescent="0.15"/>
    <row r="2052" s="120" customFormat="1" x14ac:dyDescent="0.15"/>
    <row r="2053" s="120" customFormat="1" x14ac:dyDescent="0.15"/>
    <row r="2054" s="120" customFormat="1" x14ac:dyDescent="0.15"/>
    <row r="2055" s="120" customFormat="1" x14ac:dyDescent="0.15"/>
    <row r="2056" s="120" customFormat="1" x14ac:dyDescent="0.15"/>
    <row r="2057" s="120" customFormat="1" x14ac:dyDescent="0.15"/>
    <row r="2058" s="120" customFormat="1" x14ac:dyDescent="0.15"/>
    <row r="2059" s="120" customFormat="1" x14ac:dyDescent="0.15"/>
    <row r="2060" s="120" customFormat="1" x14ac:dyDescent="0.15"/>
    <row r="2061" s="120" customFormat="1" x14ac:dyDescent="0.15"/>
    <row r="2062" s="120" customFormat="1" x14ac:dyDescent="0.15"/>
    <row r="2063" s="120" customFormat="1" x14ac:dyDescent="0.15"/>
    <row r="2064" s="120" customFormat="1" x14ac:dyDescent="0.15"/>
    <row r="2065" s="120" customFormat="1" x14ac:dyDescent="0.15"/>
    <row r="2066" s="120" customFormat="1" x14ac:dyDescent="0.15"/>
    <row r="2067" s="120" customFormat="1" x14ac:dyDescent="0.15"/>
    <row r="2068" s="120" customFormat="1" x14ac:dyDescent="0.15"/>
    <row r="2069" s="120" customFormat="1" x14ac:dyDescent="0.15"/>
    <row r="2070" s="120" customFormat="1" x14ac:dyDescent="0.15"/>
    <row r="2071" s="120" customFormat="1" x14ac:dyDescent="0.15"/>
    <row r="2072" s="120" customFormat="1" x14ac:dyDescent="0.15"/>
    <row r="2073" s="120" customFormat="1" x14ac:dyDescent="0.15"/>
    <row r="2074" s="120" customFormat="1" x14ac:dyDescent="0.15"/>
    <row r="2075" s="120" customFormat="1" x14ac:dyDescent="0.15"/>
    <row r="2076" s="120" customFormat="1" x14ac:dyDescent="0.15"/>
    <row r="2077" s="120" customFormat="1" x14ac:dyDescent="0.15"/>
    <row r="2078" s="120" customFormat="1" x14ac:dyDescent="0.15"/>
    <row r="2079" s="120" customFormat="1" x14ac:dyDescent="0.15"/>
    <row r="2080" s="120" customFormat="1" x14ac:dyDescent="0.15"/>
    <row r="2081" s="120" customFormat="1" x14ac:dyDescent="0.15"/>
    <row r="2082" s="120" customFormat="1" x14ac:dyDescent="0.15"/>
    <row r="2083" s="120" customFormat="1" x14ac:dyDescent="0.15"/>
    <row r="2084" s="120" customFormat="1" x14ac:dyDescent="0.15"/>
    <row r="2085" s="120" customFormat="1" x14ac:dyDescent="0.15"/>
    <row r="2086" s="120" customFormat="1" x14ac:dyDescent="0.15"/>
    <row r="2087" s="120" customFormat="1" x14ac:dyDescent="0.15"/>
    <row r="2088" s="120" customFormat="1" x14ac:dyDescent="0.15"/>
    <row r="2089" s="120" customFormat="1" x14ac:dyDescent="0.15"/>
    <row r="2090" s="120" customFormat="1" x14ac:dyDescent="0.15"/>
    <row r="2091" s="120" customFormat="1" x14ac:dyDescent="0.15"/>
    <row r="2092" s="120" customFormat="1" x14ac:dyDescent="0.15"/>
    <row r="2093" s="120" customFormat="1" x14ac:dyDescent="0.15"/>
    <row r="2094" s="120" customFormat="1" x14ac:dyDescent="0.15"/>
    <row r="2095" s="120" customFormat="1" x14ac:dyDescent="0.15"/>
    <row r="2096" s="120" customFormat="1" x14ac:dyDescent="0.15"/>
    <row r="2097" s="120" customFormat="1" x14ac:dyDescent="0.15"/>
    <row r="2098" s="120" customFormat="1" x14ac:dyDescent="0.15"/>
    <row r="2099" s="120" customFormat="1" x14ac:dyDescent="0.15"/>
    <row r="2100" s="120" customFormat="1" x14ac:dyDescent="0.15"/>
    <row r="2101" s="120" customFormat="1" x14ac:dyDescent="0.15"/>
    <row r="2102" s="120" customFormat="1" x14ac:dyDescent="0.15"/>
    <row r="2103" s="120" customFormat="1" x14ac:dyDescent="0.15"/>
    <row r="2104" s="120" customFormat="1" x14ac:dyDescent="0.15"/>
    <row r="2105" s="120" customFormat="1" x14ac:dyDescent="0.15"/>
    <row r="2106" s="120" customFormat="1" x14ac:dyDescent="0.15"/>
    <row r="2107" s="120" customFormat="1" x14ac:dyDescent="0.15"/>
    <row r="2108" s="120" customFormat="1" x14ac:dyDescent="0.15"/>
    <row r="2109" s="120" customFormat="1" x14ac:dyDescent="0.15"/>
    <row r="2110" s="120" customFormat="1" x14ac:dyDescent="0.15"/>
    <row r="2111" s="120" customFormat="1" x14ac:dyDescent="0.15"/>
    <row r="2112" s="120" customFormat="1" x14ac:dyDescent="0.15"/>
    <row r="2113" s="120" customFormat="1" x14ac:dyDescent="0.15"/>
    <row r="2114" s="120" customFormat="1" x14ac:dyDescent="0.15"/>
    <row r="2115" s="120" customFormat="1" x14ac:dyDescent="0.15"/>
    <row r="2116" s="120" customFormat="1" x14ac:dyDescent="0.15"/>
    <row r="2117" s="120" customFormat="1" x14ac:dyDescent="0.15"/>
    <row r="2118" s="120" customFormat="1" x14ac:dyDescent="0.15"/>
    <row r="2119" s="120" customFormat="1" x14ac:dyDescent="0.15"/>
    <row r="2120" s="120" customFormat="1" x14ac:dyDescent="0.15"/>
    <row r="2121" s="120" customFormat="1" x14ac:dyDescent="0.15"/>
    <row r="2122" s="120" customFormat="1" x14ac:dyDescent="0.15"/>
    <row r="2123" s="120" customFormat="1" x14ac:dyDescent="0.15"/>
    <row r="2124" s="120" customFormat="1" x14ac:dyDescent="0.15"/>
    <row r="2125" s="120" customFormat="1" x14ac:dyDescent="0.15"/>
    <row r="2126" s="120" customFormat="1" x14ac:dyDescent="0.15"/>
    <row r="2127" s="120" customFormat="1" x14ac:dyDescent="0.15"/>
    <row r="2128" s="120" customFormat="1" x14ac:dyDescent="0.15"/>
    <row r="2129" s="120" customFormat="1" x14ac:dyDescent="0.15"/>
    <row r="2130" s="120" customFormat="1" x14ac:dyDescent="0.15"/>
    <row r="2131" s="120" customFormat="1" x14ac:dyDescent="0.15"/>
    <row r="2132" s="120" customFormat="1" x14ac:dyDescent="0.15"/>
    <row r="2133" s="120" customFormat="1" x14ac:dyDescent="0.15"/>
    <row r="2134" s="120" customFormat="1" x14ac:dyDescent="0.15"/>
    <row r="2135" s="120" customFormat="1" x14ac:dyDescent="0.15"/>
    <row r="2136" s="120" customFormat="1" x14ac:dyDescent="0.15"/>
    <row r="2137" s="120" customFormat="1" x14ac:dyDescent="0.15"/>
    <row r="2138" s="120" customFormat="1" x14ac:dyDescent="0.15"/>
    <row r="2139" s="120" customFormat="1" x14ac:dyDescent="0.15"/>
    <row r="2140" s="120" customFormat="1" x14ac:dyDescent="0.15"/>
    <row r="2141" s="120" customFormat="1" x14ac:dyDescent="0.15"/>
    <row r="2142" s="120" customFormat="1" x14ac:dyDescent="0.15"/>
    <row r="2143" s="120" customFormat="1" x14ac:dyDescent="0.15"/>
    <row r="2144" s="120" customFormat="1" x14ac:dyDescent="0.15"/>
    <row r="2145" s="120" customFormat="1" x14ac:dyDescent="0.15"/>
    <row r="2146" s="120" customFormat="1" x14ac:dyDescent="0.15"/>
    <row r="2147" s="120" customFormat="1" x14ac:dyDescent="0.15"/>
    <row r="2148" s="120" customFormat="1" x14ac:dyDescent="0.15"/>
    <row r="2149" s="120" customFormat="1" x14ac:dyDescent="0.15"/>
    <row r="2150" s="120" customFormat="1" x14ac:dyDescent="0.15"/>
    <row r="2151" s="120" customFormat="1" x14ac:dyDescent="0.15"/>
    <row r="2152" s="120" customFormat="1" x14ac:dyDescent="0.15"/>
    <row r="2153" s="120" customFormat="1" x14ac:dyDescent="0.15"/>
    <row r="2154" s="120" customFormat="1" x14ac:dyDescent="0.15"/>
    <row r="2155" s="120" customFormat="1" x14ac:dyDescent="0.15"/>
    <row r="2156" s="120" customFormat="1" x14ac:dyDescent="0.15"/>
    <row r="2157" s="120" customFormat="1" x14ac:dyDescent="0.15"/>
    <row r="2158" s="120" customFormat="1" x14ac:dyDescent="0.15"/>
    <row r="2159" s="120" customFormat="1" x14ac:dyDescent="0.15"/>
    <row r="2160" s="120" customFormat="1" x14ac:dyDescent="0.15"/>
    <row r="2161" s="120" customFormat="1" x14ac:dyDescent="0.15"/>
    <row r="2162" s="120" customFormat="1" x14ac:dyDescent="0.15"/>
    <row r="2163" s="120" customFormat="1" x14ac:dyDescent="0.15"/>
    <row r="2164" s="120" customFormat="1" x14ac:dyDescent="0.15"/>
    <row r="2165" s="120" customFormat="1" x14ac:dyDescent="0.15"/>
    <row r="2166" s="120" customFormat="1" x14ac:dyDescent="0.15"/>
    <row r="2167" s="120" customFormat="1" x14ac:dyDescent="0.15"/>
    <row r="2168" s="120" customFormat="1" x14ac:dyDescent="0.15"/>
    <row r="2169" s="120" customFormat="1" x14ac:dyDescent="0.15"/>
    <row r="2170" s="120" customFormat="1" x14ac:dyDescent="0.15"/>
    <row r="2171" s="120" customFormat="1" x14ac:dyDescent="0.15"/>
    <row r="2172" s="120" customFormat="1" x14ac:dyDescent="0.15"/>
    <row r="2173" s="120" customFormat="1" x14ac:dyDescent="0.15"/>
    <row r="2174" s="120" customFormat="1" x14ac:dyDescent="0.15"/>
    <row r="2175" s="120" customFormat="1" x14ac:dyDescent="0.15"/>
    <row r="2176" s="120" customFormat="1" x14ac:dyDescent="0.15"/>
    <row r="2177" s="120" customFormat="1" x14ac:dyDescent="0.15"/>
    <row r="2178" s="120" customFormat="1" x14ac:dyDescent="0.15"/>
    <row r="2179" s="120" customFormat="1" x14ac:dyDescent="0.15"/>
    <row r="2180" s="120" customFormat="1" x14ac:dyDescent="0.15"/>
    <row r="2181" s="120" customFormat="1" x14ac:dyDescent="0.15"/>
    <row r="2182" s="120" customFormat="1" x14ac:dyDescent="0.15"/>
    <row r="2183" s="120" customFormat="1" x14ac:dyDescent="0.15"/>
    <row r="2184" s="120" customFormat="1" x14ac:dyDescent="0.15"/>
    <row r="2185" s="120" customFormat="1" x14ac:dyDescent="0.15"/>
    <row r="2186" s="120" customFormat="1" x14ac:dyDescent="0.15"/>
    <row r="2187" s="120" customFormat="1" x14ac:dyDescent="0.15"/>
    <row r="2188" s="120" customFormat="1" x14ac:dyDescent="0.15"/>
    <row r="2189" s="120" customFormat="1" x14ac:dyDescent="0.15"/>
    <row r="2190" s="120" customFormat="1" x14ac:dyDescent="0.15"/>
    <row r="2191" s="120" customFormat="1" x14ac:dyDescent="0.15"/>
    <row r="2192" s="120" customFormat="1" x14ac:dyDescent="0.15"/>
    <row r="2193" s="120" customFormat="1" x14ac:dyDescent="0.15"/>
    <row r="2194" s="120" customFormat="1" x14ac:dyDescent="0.15"/>
    <row r="2195" s="120" customFormat="1" x14ac:dyDescent="0.15"/>
    <row r="2196" s="120" customFormat="1" x14ac:dyDescent="0.15"/>
    <row r="2197" s="120" customFormat="1" x14ac:dyDescent="0.15"/>
    <row r="2198" s="120" customFormat="1" x14ac:dyDescent="0.15"/>
    <row r="2199" s="120" customFormat="1" x14ac:dyDescent="0.15"/>
    <row r="2200" s="120" customFormat="1" x14ac:dyDescent="0.15"/>
    <row r="2201" s="120" customFormat="1" x14ac:dyDescent="0.15"/>
    <row r="2202" s="120" customFormat="1" x14ac:dyDescent="0.15"/>
    <row r="2203" s="120" customFormat="1" x14ac:dyDescent="0.15"/>
    <row r="2204" s="120" customFormat="1" x14ac:dyDescent="0.15"/>
    <row r="2205" s="120" customFormat="1" x14ac:dyDescent="0.15"/>
    <row r="2206" s="120" customFormat="1" x14ac:dyDescent="0.15"/>
    <row r="2207" s="120" customFormat="1" x14ac:dyDescent="0.15"/>
    <row r="2208" s="120" customFormat="1" x14ac:dyDescent="0.15"/>
    <row r="2209" s="120" customFormat="1" x14ac:dyDescent="0.15"/>
    <row r="2210" s="120" customFormat="1" x14ac:dyDescent="0.15"/>
    <row r="2211" s="120" customFormat="1" x14ac:dyDescent="0.15"/>
    <row r="2212" s="120" customFormat="1" x14ac:dyDescent="0.15"/>
    <row r="2213" s="120" customFormat="1" x14ac:dyDescent="0.15"/>
    <row r="2214" s="120" customFormat="1" x14ac:dyDescent="0.15"/>
    <row r="2215" s="120" customFormat="1" x14ac:dyDescent="0.15"/>
    <row r="2216" s="120" customFormat="1" x14ac:dyDescent="0.15"/>
    <row r="2217" s="120" customFormat="1" x14ac:dyDescent="0.15"/>
    <row r="2218" s="120" customFormat="1" x14ac:dyDescent="0.15"/>
    <row r="2219" s="120" customFormat="1" x14ac:dyDescent="0.15"/>
    <row r="2220" s="120" customFormat="1" x14ac:dyDescent="0.15"/>
    <row r="2221" s="120" customFormat="1" x14ac:dyDescent="0.15"/>
    <row r="2222" s="120" customFormat="1" x14ac:dyDescent="0.15"/>
    <row r="2223" s="120" customFormat="1" x14ac:dyDescent="0.15"/>
    <row r="2224" s="120" customFormat="1" x14ac:dyDescent="0.15"/>
    <row r="2225" s="120" customFormat="1" x14ac:dyDescent="0.15"/>
    <row r="2226" s="120" customFormat="1" x14ac:dyDescent="0.15"/>
    <row r="2227" s="120" customFormat="1" x14ac:dyDescent="0.15"/>
    <row r="2228" s="120" customFormat="1" x14ac:dyDescent="0.15"/>
    <row r="2229" s="120" customFormat="1" x14ac:dyDescent="0.15"/>
    <row r="2230" s="120" customFormat="1" x14ac:dyDescent="0.15"/>
    <row r="2231" s="120" customFormat="1" x14ac:dyDescent="0.15"/>
    <row r="2232" s="120" customFormat="1" x14ac:dyDescent="0.15"/>
    <row r="2233" s="120" customFormat="1" x14ac:dyDescent="0.15"/>
    <row r="2234" s="120" customFormat="1" x14ac:dyDescent="0.15"/>
    <row r="2235" s="120" customFormat="1" x14ac:dyDescent="0.15"/>
    <row r="2236" s="120" customFormat="1" x14ac:dyDescent="0.15"/>
    <row r="2237" s="120" customFormat="1" x14ac:dyDescent="0.15"/>
    <row r="2238" s="120" customFormat="1" x14ac:dyDescent="0.15"/>
    <row r="2239" s="120" customFormat="1" x14ac:dyDescent="0.15"/>
    <row r="2240" s="120" customFormat="1" x14ac:dyDescent="0.15"/>
    <row r="2241" s="120" customFormat="1" x14ac:dyDescent="0.15"/>
    <row r="2242" s="120" customFormat="1" x14ac:dyDescent="0.15"/>
    <row r="2243" s="120" customFormat="1" x14ac:dyDescent="0.15"/>
    <row r="2244" s="120" customFormat="1" x14ac:dyDescent="0.15"/>
    <row r="2245" s="120" customFormat="1" x14ac:dyDescent="0.15"/>
    <row r="2246" s="120" customFormat="1" x14ac:dyDescent="0.15"/>
    <row r="2247" s="120" customFormat="1" x14ac:dyDescent="0.15"/>
    <row r="2248" s="120" customFormat="1" x14ac:dyDescent="0.15"/>
    <row r="2249" s="120" customFormat="1" x14ac:dyDescent="0.15"/>
    <row r="2250" s="120" customFormat="1" x14ac:dyDescent="0.15"/>
    <row r="2251" s="120" customFormat="1" x14ac:dyDescent="0.15"/>
    <row r="2252" s="120" customFormat="1" x14ac:dyDescent="0.15"/>
    <row r="2253" s="120" customFormat="1" x14ac:dyDescent="0.15"/>
    <row r="2254" s="120" customFormat="1" x14ac:dyDescent="0.15"/>
    <row r="2255" s="120" customFormat="1" x14ac:dyDescent="0.15"/>
    <row r="2256" s="120" customFormat="1" x14ac:dyDescent="0.15"/>
    <row r="2257" s="120" customFormat="1" x14ac:dyDescent="0.15"/>
    <row r="2258" s="120" customFormat="1" x14ac:dyDescent="0.15"/>
    <row r="2259" s="120" customFormat="1" x14ac:dyDescent="0.15"/>
    <row r="2260" s="120" customFormat="1" x14ac:dyDescent="0.15"/>
    <row r="2261" s="120" customFormat="1" x14ac:dyDescent="0.15"/>
    <row r="2262" s="120" customFormat="1" x14ac:dyDescent="0.15"/>
    <row r="2263" s="120" customFormat="1" x14ac:dyDescent="0.15"/>
    <row r="2264" s="120" customFormat="1" x14ac:dyDescent="0.15"/>
    <row r="2265" s="120" customFormat="1" x14ac:dyDescent="0.15"/>
    <row r="2266" s="120" customFormat="1" x14ac:dyDescent="0.15"/>
    <row r="2267" s="120" customFormat="1" x14ac:dyDescent="0.15"/>
    <row r="2268" s="120" customFormat="1" x14ac:dyDescent="0.15"/>
    <row r="2269" s="120" customFormat="1" x14ac:dyDescent="0.15"/>
    <row r="2270" s="120" customFormat="1" x14ac:dyDescent="0.15"/>
    <row r="2271" s="120" customFormat="1" x14ac:dyDescent="0.15"/>
    <row r="2272" s="120" customFormat="1" x14ac:dyDescent="0.15"/>
    <row r="2273" s="120" customFormat="1" x14ac:dyDescent="0.15"/>
    <row r="2274" s="120" customFormat="1" x14ac:dyDescent="0.15"/>
    <row r="2275" s="120" customFormat="1" x14ac:dyDescent="0.15"/>
    <row r="2276" s="120" customFormat="1" x14ac:dyDescent="0.15"/>
    <row r="2277" s="120" customFormat="1" x14ac:dyDescent="0.15"/>
    <row r="2278" s="120" customFormat="1" x14ac:dyDescent="0.15"/>
    <row r="2279" s="120" customFormat="1" x14ac:dyDescent="0.15"/>
    <row r="2280" s="120" customFormat="1" x14ac:dyDescent="0.15"/>
    <row r="2281" s="120" customFormat="1" x14ac:dyDescent="0.15"/>
    <row r="2282" s="120" customFormat="1" x14ac:dyDescent="0.15"/>
    <row r="2283" s="120" customFormat="1" x14ac:dyDescent="0.15"/>
    <row r="2284" s="120" customFormat="1" x14ac:dyDescent="0.15"/>
    <row r="2285" s="120" customFormat="1" x14ac:dyDescent="0.15"/>
    <row r="2286" s="120" customFormat="1" x14ac:dyDescent="0.15"/>
    <row r="2287" s="120" customFormat="1" x14ac:dyDescent="0.15"/>
    <row r="2288" s="120" customFormat="1" x14ac:dyDescent="0.15"/>
    <row r="2289" s="120" customFormat="1" x14ac:dyDescent="0.15"/>
    <row r="2290" s="120" customFormat="1" x14ac:dyDescent="0.15"/>
    <row r="2291" s="120" customFormat="1" x14ac:dyDescent="0.15"/>
    <row r="2292" s="120" customFormat="1" x14ac:dyDescent="0.15"/>
    <row r="2293" s="120" customFormat="1" x14ac:dyDescent="0.15"/>
    <row r="2294" s="120" customFormat="1" x14ac:dyDescent="0.15"/>
    <row r="2295" s="120" customFormat="1" x14ac:dyDescent="0.15"/>
    <row r="2296" s="120" customFormat="1" x14ac:dyDescent="0.15"/>
    <row r="2297" s="120" customFormat="1" x14ac:dyDescent="0.15"/>
    <row r="2298" s="120" customFormat="1" x14ac:dyDescent="0.15"/>
    <row r="2299" s="120" customFormat="1" x14ac:dyDescent="0.15"/>
    <row r="2300" s="120" customFormat="1" x14ac:dyDescent="0.15"/>
    <row r="2301" s="120" customFormat="1" x14ac:dyDescent="0.15"/>
    <row r="2302" s="120" customFormat="1" x14ac:dyDescent="0.15"/>
    <row r="2303" s="120" customFormat="1" x14ac:dyDescent="0.15"/>
    <row r="2304" s="120" customFormat="1" x14ac:dyDescent="0.15"/>
    <row r="2305" s="120" customFormat="1" x14ac:dyDescent="0.15"/>
    <row r="2306" s="120" customFormat="1" x14ac:dyDescent="0.15"/>
    <row r="2307" s="120" customFormat="1" x14ac:dyDescent="0.15"/>
    <row r="2308" s="120" customFormat="1" x14ac:dyDescent="0.15"/>
    <row r="2309" s="120" customFormat="1" x14ac:dyDescent="0.15"/>
    <row r="2310" s="120" customFormat="1" x14ac:dyDescent="0.15"/>
    <row r="2311" s="120" customFormat="1" x14ac:dyDescent="0.15"/>
    <row r="2312" s="120" customFormat="1" x14ac:dyDescent="0.15"/>
    <row r="2313" s="120" customFormat="1" x14ac:dyDescent="0.15"/>
    <row r="2314" s="120" customFormat="1" x14ac:dyDescent="0.15"/>
    <row r="2315" s="120" customFormat="1" x14ac:dyDescent="0.15"/>
    <row r="2316" s="120" customFormat="1" x14ac:dyDescent="0.15"/>
    <row r="2317" s="120" customFormat="1" x14ac:dyDescent="0.15"/>
    <row r="2318" s="120" customFormat="1" x14ac:dyDescent="0.15"/>
    <row r="2319" s="120" customFormat="1" x14ac:dyDescent="0.15"/>
    <row r="2320" s="120" customFormat="1" x14ac:dyDescent="0.15"/>
    <row r="2321" s="120" customFormat="1" x14ac:dyDescent="0.15"/>
    <row r="2322" s="120" customFormat="1" x14ac:dyDescent="0.15"/>
    <row r="2323" s="120" customFormat="1" x14ac:dyDescent="0.15"/>
    <row r="2324" s="120" customFormat="1" x14ac:dyDescent="0.15"/>
    <row r="2325" s="120" customFormat="1" x14ac:dyDescent="0.15"/>
    <row r="2326" s="120" customFormat="1" x14ac:dyDescent="0.15"/>
    <row r="2327" s="120" customFormat="1" x14ac:dyDescent="0.15"/>
    <row r="2328" s="120" customFormat="1" x14ac:dyDescent="0.15"/>
    <row r="2329" s="120" customFormat="1" x14ac:dyDescent="0.15"/>
    <row r="2330" s="120" customFormat="1" x14ac:dyDescent="0.15"/>
    <row r="2331" s="120" customFormat="1" x14ac:dyDescent="0.15"/>
    <row r="2332" s="120" customFormat="1" x14ac:dyDescent="0.15"/>
    <row r="2333" s="120" customFormat="1" x14ac:dyDescent="0.15"/>
    <row r="2334" s="120" customFormat="1" x14ac:dyDescent="0.15"/>
    <row r="2335" s="120" customFormat="1" x14ac:dyDescent="0.15"/>
    <row r="2336" s="120" customFormat="1" x14ac:dyDescent="0.15"/>
    <row r="2337" s="120" customFormat="1" x14ac:dyDescent="0.15"/>
    <row r="2338" s="120" customFormat="1" x14ac:dyDescent="0.15"/>
    <row r="2339" s="120" customFormat="1" x14ac:dyDescent="0.15"/>
    <row r="2340" s="120" customFormat="1" x14ac:dyDescent="0.15"/>
    <row r="2341" s="120" customFormat="1" x14ac:dyDescent="0.15"/>
    <row r="2342" s="120" customFormat="1" x14ac:dyDescent="0.15"/>
    <row r="2343" s="120" customFormat="1" x14ac:dyDescent="0.15"/>
    <row r="2344" s="120" customFormat="1" x14ac:dyDescent="0.15"/>
    <row r="2345" s="120" customFormat="1" x14ac:dyDescent="0.15"/>
    <row r="2346" s="120" customFormat="1" x14ac:dyDescent="0.15"/>
    <row r="2347" s="120" customFormat="1" x14ac:dyDescent="0.15"/>
    <row r="2348" s="120" customFormat="1" x14ac:dyDescent="0.15"/>
    <row r="2349" s="120" customFormat="1" x14ac:dyDescent="0.15"/>
    <row r="2350" s="120" customFormat="1" x14ac:dyDescent="0.15"/>
    <row r="2351" s="120" customFormat="1" x14ac:dyDescent="0.15"/>
    <row r="2352" s="120" customFormat="1" x14ac:dyDescent="0.15"/>
    <row r="2353" s="120" customFormat="1" x14ac:dyDescent="0.15"/>
    <row r="2354" s="120" customFormat="1" x14ac:dyDescent="0.15"/>
    <row r="2355" s="120" customFormat="1" x14ac:dyDescent="0.15"/>
    <row r="2356" s="120" customFormat="1" x14ac:dyDescent="0.15"/>
    <row r="2357" s="120" customFormat="1" x14ac:dyDescent="0.15"/>
    <row r="2358" s="120" customFormat="1" x14ac:dyDescent="0.15"/>
    <row r="2359" s="120" customFormat="1" x14ac:dyDescent="0.15"/>
    <row r="2360" s="120" customFormat="1" x14ac:dyDescent="0.15"/>
    <row r="2361" s="120" customFormat="1" x14ac:dyDescent="0.15"/>
    <row r="2362" s="120" customFormat="1" x14ac:dyDescent="0.15"/>
    <row r="2363" s="120" customFormat="1" x14ac:dyDescent="0.15"/>
    <row r="2364" s="120" customFormat="1" x14ac:dyDescent="0.15"/>
    <row r="2365" s="120" customFormat="1" x14ac:dyDescent="0.15"/>
    <row r="2366" s="120" customFormat="1" x14ac:dyDescent="0.15"/>
    <row r="2367" s="120" customFormat="1" x14ac:dyDescent="0.15"/>
    <row r="2368" s="120" customFormat="1" x14ac:dyDescent="0.15"/>
    <row r="2369" s="120" customFormat="1" x14ac:dyDescent="0.15"/>
    <row r="2370" s="120" customFormat="1" x14ac:dyDescent="0.15"/>
    <row r="2371" s="120" customFormat="1" x14ac:dyDescent="0.15"/>
    <row r="2372" s="120" customFormat="1" x14ac:dyDescent="0.15"/>
    <row r="2373" s="120" customFormat="1" x14ac:dyDescent="0.15"/>
    <row r="2374" s="120" customFormat="1" x14ac:dyDescent="0.15"/>
    <row r="2375" s="120" customFormat="1" x14ac:dyDescent="0.15"/>
    <row r="2376" s="120" customFormat="1" x14ac:dyDescent="0.15"/>
    <row r="2377" s="120" customFormat="1" x14ac:dyDescent="0.15"/>
    <row r="2378" s="120" customFormat="1" x14ac:dyDescent="0.15"/>
    <row r="2379" s="120" customFormat="1" x14ac:dyDescent="0.15"/>
    <row r="2380" s="120" customFormat="1" x14ac:dyDescent="0.15"/>
    <row r="2381" s="120" customFormat="1" x14ac:dyDescent="0.15"/>
    <row r="2382" s="120" customFormat="1" x14ac:dyDescent="0.15"/>
    <row r="2383" s="120" customFormat="1" x14ac:dyDescent="0.15"/>
    <row r="2384" s="120" customFormat="1" x14ac:dyDescent="0.15"/>
    <row r="2385" s="120" customFormat="1" x14ac:dyDescent="0.15"/>
    <row r="2386" s="120" customFormat="1" x14ac:dyDescent="0.15"/>
    <row r="2387" s="120" customFormat="1" x14ac:dyDescent="0.15"/>
    <row r="2388" s="120" customFormat="1" x14ac:dyDescent="0.15"/>
    <row r="2389" s="120" customFormat="1" x14ac:dyDescent="0.15"/>
    <row r="2390" s="120" customFormat="1" x14ac:dyDescent="0.15"/>
    <row r="2391" s="120" customFormat="1" x14ac:dyDescent="0.15"/>
    <row r="2392" s="120" customFormat="1" x14ac:dyDescent="0.15"/>
    <row r="2393" s="120" customFormat="1" x14ac:dyDescent="0.15"/>
    <row r="2394" s="120" customFormat="1" x14ac:dyDescent="0.15"/>
    <row r="2395" s="120" customFormat="1" x14ac:dyDescent="0.15"/>
    <row r="2396" s="120" customFormat="1" x14ac:dyDescent="0.15"/>
    <row r="2397" s="120" customFormat="1" x14ac:dyDescent="0.15"/>
    <row r="2398" s="120" customFormat="1" x14ac:dyDescent="0.15"/>
    <row r="2399" s="120" customFormat="1" x14ac:dyDescent="0.15"/>
    <row r="2400" s="120" customFormat="1" x14ac:dyDescent="0.15"/>
    <row r="2401" s="120" customFormat="1" x14ac:dyDescent="0.15"/>
    <row r="2402" s="120" customFormat="1" x14ac:dyDescent="0.15"/>
    <row r="2403" s="120" customFormat="1" x14ac:dyDescent="0.15"/>
    <row r="2404" s="120" customFormat="1" x14ac:dyDescent="0.15"/>
    <row r="2405" s="120" customFormat="1" x14ac:dyDescent="0.15"/>
    <row r="2406" s="120" customFormat="1" x14ac:dyDescent="0.15"/>
    <row r="2407" s="120" customFormat="1" x14ac:dyDescent="0.15"/>
    <row r="2408" s="120" customFormat="1" x14ac:dyDescent="0.15"/>
    <row r="2409" s="120" customFormat="1" x14ac:dyDescent="0.15"/>
    <row r="2410" s="120" customFormat="1" x14ac:dyDescent="0.15"/>
    <row r="2411" s="120" customFormat="1" x14ac:dyDescent="0.15"/>
    <row r="2412" s="120" customFormat="1" x14ac:dyDescent="0.15"/>
    <row r="2413" s="120" customFormat="1" x14ac:dyDescent="0.15"/>
    <row r="2414" s="120" customFormat="1" x14ac:dyDescent="0.15"/>
    <row r="2415" s="120" customFormat="1" x14ac:dyDescent="0.15"/>
    <row r="2416" s="120" customFormat="1" x14ac:dyDescent="0.15"/>
    <row r="2417" s="120" customFormat="1" x14ac:dyDescent="0.15"/>
    <row r="2418" s="120" customFormat="1" x14ac:dyDescent="0.15"/>
    <row r="2419" s="120" customFormat="1" x14ac:dyDescent="0.15"/>
    <row r="2420" s="120" customFormat="1" x14ac:dyDescent="0.15"/>
    <row r="2421" s="120" customFormat="1" x14ac:dyDescent="0.15"/>
    <row r="2422" s="120" customFormat="1" x14ac:dyDescent="0.15"/>
    <row r="2423" s="120" customFormat="1" x14ac:dyDescent="0.15"/>
    <row r="2424" s="120" customFormat="1" x14ac:dyDescent="0.15"/>
    <row r="2425" s="120" customFormat="1" x14ac:dyDescent="0.15"/>
    <row r="2426" s="120" customFormat="1" x14ac:dyDescent="0.15"/>
    <row r="2427" s="120" customFormat="1" x14ac:dyDescent="0.15"/>
    <row r="2428" s="120" customFormat="1" x14ac:dyDescent="0.15"/>
    <row r="2429" s="120" customFormat="1" x14ac:dyDescent="0.15"/>
    <row r="2430" s="120" customFormat="1" x14ac:dyDescent="0.15"/>
    <row r="2431" s="120" customFormat="1" x14ac:dyDescent="0.15"/>
    <row r="2432" s="120" customFormat="1" x14ac:dyDescent="0.15"/>
    <row r="2433" s="120" customFormat="1" x14ac:dyDescent="0.15"/>
    <row r="2434" s="120" customFormat="1" x14ac:dyDescent="0.15"/>
    <row r="2435" s="120" customFormat="1" x14ac:dyDescent="0.15"/>
    <row r="2436" s="120" customFormat="1" x14ac:dyDescent="0.15"/>
    <row r="2437" s="120" customFormat="1" x14ac:dyDescent="0.15"/>
    <row r="2438" s="120" customFormat="1" x14ac:dyDescent="0.15"/>
    <row r="2439" s="120" customFormat="1" x14ac:dyDescent="0.15"/>
    <row r="2440" s="120" customFormat="1" x14ac:dyDescent="0.15"/>
    <row r="2441" s="120" customFormat="1" x14ac:dyDescent="0.15"/>
    <row r="2442" s="120" customFormat="1" x14ac:dyDescent="0.15"/>
    <row r="2443" s="120" customFormat="1" x14ac:dyDescent="0.15"/>
    <row r="2444" s="120" customFormat="1" x14ac:dyDescent="0.15"/>
    <row r="2445" s="120" customFormat="1" x14ac:dyDescent="0.15"/>
    <row r="2446" s="120" customFormat="1" x14ac:dyDescent="0.15"/>
    <row r="2447" s="120" customFormat="1" x14ac:dyDescent="0.15"/>
    <row r="2448" s="120" customFormat="1" x14ac:dyDescent="0.15"/>
    <row r="2449" s="120" customFormat="1" x14ac:dyDescent="0.15"/>
    <row r="2450" s="120" customFormat="1" x14ac:dyDescent="0.15"/>
    <row r="2451" s="120" customFormat="1" x14ac:dyDescent="0.15"/>
    <row r="2452" s="120" customFormat="1" x14ac:dyDescent="0.15"/>
    <row r="2453" s="120" customFormat="1" x14ac:dyDescent="0.15"/>
    <row r="2454" s="120" customFormat="1" x14ac:dyDescent="0.15"/>
    <row r="2455" s="120" customFormat="1" x14ac:dyDescent="0.15"/>
    <row r="2456" s="120" customFormat="1" x14ac:dyDescent="0.15"/>
    <row r="2457" s="120" customFormat="1" x14ac:dyDescent="0.15"/>
    <row r="2458" s="120" customFormat="1" x14ac:dyDescent="0.15"/>
    <row r="2459" s="120" customFormat="1" x14ac:dyDescent="0.15"/>
    <row r="2460" s="120" customFormat="1" x14ac:dyDescent="0.15"/>
    <row r="2461" s="120" customFormat="1" x14ac:dyDescent="0.15"/>
    <row r="2462" s="120" customFormat="1" x14ac:dyDescent="0.15"/>
    <row r="2463" s="120" customFormat="1" x14ac:dyDescent="0.15"/>
    <row r="2464" s="120" customFormat="1" x14ac:dyDescent="0.15"/>
    <row r="2465" s="120" customFormat="1" x14ac:dyDescent="0.15"/>
    <row r="2466" s="120" customFormat="1" x14ac:dyDescent="0.15"/>
    <row r="2467" s="120" customFormat="1" x14ac:dyDescent="0.15"/>
    <row r="2468" s="120" customFormat="1" x14ac:dyDescent="0.15"/>
    <row r="2469" s="120" customFormat="1" x14ac:dyDescent="0.15"/>
    <row r="2470" s="120" customFormat="1" x14ac:dyDescent="0.15"/>
    <row r="2471" s="120" customFormat="1" x14ac:dyDescent="0.15"/>
    <row r="2472" s="120" customFormat="1" x14ac:dyDescent="0.15"/>
    <row r="2473" s="120" customFormat="1" x14ac:dyDescent="0.15"/>
    <row r="2474" s="120" customFormat="1" x14ac:dyDescent="0.15"/>
    <row r="2475" s="120" customFormat="1" x14ac:dyDescent="0.15"/>
    <row r="2476" s="120" customFormat="1" x14ac:dyDescent="0.15"/>
    <row r="2477" s="120" customFormat="1" x14ac:dyDescent="0.15"/>
    <row r="2478" s="120" customFormat="1" x14ac:dyDescent="0.15"/>
    <row r="2479" s="120" customFormat="1" x14ac:dyDescent="0.15"/>
    <row r="2480" s="120" customFormat="1" x14ac:dyDescent="0.15"/>
    <row r="2481" s="120" customFormat="1" x14ac:dyDescent="0.15"/>
    <row r="2482" s="120" customFormat="1" x14ac:dyDescent="0.15"/>
    <row r="2483" s="120" customFormat="1" x14ac:dyDescent="0.15"/>
    <row r="2484" s="120" customFormat="1" x14ac:dyDescent="0.15"/>
    <row r="2485" s="120" customFormat="1" x14ac:dyDescent="0.15"/>
    <row r="2486" s="120" customFormat="1" x14ac:dyDescent="0.15"/>
    <row r="2487" s="120" customFormat="1" x14ac:dyDescent="0.15"/>
    <row r="2488" s="120" customFormat="1" x14ac:dyDescent="0.15"/>
    <row r="2489" s="120" customFormat="1" x14ac:dyDescent="0.15"/>
    <row r="2490" s="120" customFormat="1" x14ac:dyDescent="0.15"/>
    <row r="2491" s="120" customFormat="1" x14ac:dyDescent="0.15"/>
    <row r="2492" s="120" customFormat="1" x14ac:dyDescent="0.15"/>
    <row r="2493" s="120" customFormat="1" x14ac:dyDescent="0.15"/>
    <row r="2494" s="120" customFormat="1" x14ac:dyDescent="0.15"/>
    <row r="2495" s="120" customFormat="1" x14ac:dyDescent="0.15"/>
    <row r="2496" s="120" customFormat="1" x14ac:dyDescent="0.15"/>
    <row r="2497" s="120" customFormat="1" x14ac:dyDescent="0.15"/>
    <row r="2498" s="120" customFormat="1" x14ac:dyDescent="0.15"/>
    <row r="2499" s="120" customFormat="1" x14ac:dyDescent="0.15"/>
    <row r="2500" s="120" customFormat="1" x14ac:dyDescent="0.15"/>
    <row r="2501" s="120" customFormat="1" x14ac:dyDescent="0.15"/>
    <row r="2502" s="120" customFormat="1" x14ac:dyDescent="0.15"/>
    <row r="2503" s="120" customFormat="1" x14ac:dyDescent="0.15"/>
    <row r="2504" s="120" customFormat="1" x14ac:dyDescent="0.15"/>
    <row r="2505" s="120" customFormat="1" x14ac:dyDescent="0.15"/>
    <row r="2506" s="120" customFormat="1" x14ac:dyDescent="0.15"/>
    <row r="2507" s="120" customFormat="1" x14ac:dyDescent="0.15"/>
    <row r="2508" s="120" customFormat="1" x14ac:dyDescent="0.15"/>
    <row r="2509" s="120" customFormat="1" x14ac:dyDescent="0.15"/>
    <row r="2510" s="120" customFormat="1" x14ac:dyDescent="0.15"/>
    <row r="2511" s="120" customFormat="1" x14ac:dyDescent="0.15"/>
    <row r="2512" s="120" customFormat="1" x14ac:dyDescent="0.15"/>
    <row r="2513" s="120" customFormat="1" x14ac:dyDescent="0.15"/>
    <row r="2514" s="120" customFormat="1" x14ac:dyDescent="0.15"/>
    <row r="2515" s="120" customFormat="1" x14ac:dyDescent="0.15"/>
    <row r="2516" s="120" customFormat="1" x14ac:dyDescent="0.15"/>
    <row r="2517" s="120" customFormat="1" x14ac:dyDescent="0.15"/>
    <row r="2518" s="120" customFormat="1" x14ac:dyDescent="0.15"/>
    <row r="2519" s="120" customFormat="1" x14ac:dyDescent="0.15"/>
    <row r="2520" s="120" customFormat="1" x14ac:dyDescent="0.15"/>
    <row r="2521" s="120" customFormat="1" x14ac:dyDescent="0.15"/>
    <row r="2522" s="120" customFormat="1" x14ac:dyDescent="0.15"/>
    <row r="2523" s="120" customFormat="1" x14ac:dyDescent="0.15"/>
    <row r="2524" s="120" customFormat="1" x14ac:dyDescent="0.15"/>
    <row r="2525" s="120" customFormat="1" x14ac:dyDescent="0.15"/>
    <row r="2526" s="120" customFormat="1" x14ac:dyDescent="0.15"/>
    <row r="2527" s="120" customFormat="1" x14ac:dyDescent="0.15"/>
    <row r="2528" s="120" customFormat="1" x14ac:dyDescent="0.15"/>
    <row r="2529" s="120" customFormat="1" x14ac:dyDescent="0.15"/>
    <row r="2530" s="120" customFormat="1" x14ac:dyDescent="0.15"/>
    <row r="2531" s="120" customFormat="1" x14ac:dyDescent="0.15"/>
    <row r="2532" s="120" customFormat="1" x14ac:dyDescent="0.15"/>
    <row r="2533" s="120" customFormat="1" x14ac:dyDescent="0.15"/>
    <row r="2534" s="120" customFormat="1" x14ac:dyDescent="0.15"/>
    <row r="2535" s="120" customFormat="1" x14ac:dyDescent="0.15"/>
    <row r="2536" s="120" customFormat="1" x14ac:dyDescent="0.15"/>
    <row r="2537" s="120" customFormat="1" x14ac:dyDescent="0.15"/>
    <row r="2538" s="120" customFormat="1" x14ac:dyDescent="0.15"/>
    <row r="2539" s="120" customFormat="1" x14ac:dyDescent="0.15"/>
    <row r="2540" s="120" customFormat="1" x14ac:dyDescent="0.15"/>
    <row r="2541" s="120" customFormat="1" x14ac:dyDescent="0.15"/>
    <row r="2542" s="120" customFormat="1" x14ac:dyDescent="0.15"/>
    <row r="2543" s="120" customFormat="1" x14ac:dyDescent="0.15"/>
    <row r="2544" s="120" customFormat="1" x14ac:dyDescent="0.15"/>
    <row r="2545" s="120" customFormat="1" x14ac:dyDescent="0.15"/>
    <row r="2546" s="120" customFormat="1" x14ac:dyDescent="0.15"/>
    <row r="2547" s="120" customFormat="1" x14ac:dyDescent="0.15"/>
    <row r="2548" s="120" customFormat="1" x14ac:dyDescent="0.15"/>
    <row r="2549" s="120" customFormat="1" x14ac:dyDescent="0.15"/>
    <row r="2550" s="120" customFormat="1" x14ac:dyDescent="0.15"/>
    <row r="2551" s="120" customFormat="1" x14ac:dyDescent="0.15"/>
    <row r="2552" s="120" customFormat="1" x14ac:dyDescent="0.15"/>
    <row r="2553" s="120" customFormat="1" x14ac:dyDescent="0.15"/>
    <row r="2554" s="120" customFormat="1" x14ac:dyDescent="0.15"/>
    <row r="2555" s="120" customFormat="1" x14ac:dyDescent="0.15"/>
    <row r="2556" s="120" customFormat="1" x14ac:dyDescent="0.15"/>
    <row r="2557" s="120" customFormat="1" x14ac:dyDescent="0.15"/>
    <row r="2558" s="120" customFormat="1" x14ac:dyDescent="0.15"/>
    <row r="2559" s="120" customFormat="1" x14ac:dyDescent="0.15"/>
    <row r="2560" s="120" customFormat="1" x14ac:dyDescent="0.15"/>
    <row r="2561" s="120" customFormat="1" x14ac:dyDescent="0.15"/>
    <row r="2562" s="120" customFormat="1" x14ac:dyDescent="0.15"/>
    <row r="2563" s="120" customFormat="1" x14ac:dyDescent="0.15"/>
    <row r="2564" s="120" customFormat="1" x14ac:dyDescent="0.15"/>
    <row r="2565" s="120" customFormat="1" x14ac:dyDescent="0.15"/>
    <row r="2566" s="120" customFormat="1" x14ac:dyDescent="0.15"/>
    <row r="2567" s="120" customFormat="1" x14ac:dyDescent="0.15"/>
    <row r="2568" s="120" customFormat="1" x14ac:dyDescent="0.15"/>
    <row r="2569" s="120" customFormat="1" x14ac:dyDescent="0.15"/>
    <row r="2570" s="120" customFormat="1" x14ac:dyDescent="0.15"/>
    <row r="2571" s="120" customFormat="1" x14ac:dyDescent="0.15"/>
    <row r="2572" s="120" customFormat="1" x14ac:dyDescent="0.15"/>
    <row r="2573" s="120" customFormat="1" x14ac:dyDescent="0.15"/>
    <row r="2574" s="120" customFormat="1" x14ac:dyDescent="0.15"/>
    <row r="2575" s="120" customFormat="1" x14ac:dyDescent="0.15"/>
    <row r="2576" s="120" customFormat="1" x14ac:dyDescent="0.15"/>
    <row r="2577" s="120" customFormat="1" x14ac:dyDescent="0.15"/>
    <row r="2578" s="120" customFormat="1" x14ac:dyDescent="0.15"/>
    <row r="2579" s="120" customFormat="1" x14ac:dyDescent="0.15"/>
    <row r="2580" s="120" customFormat="1" x14ac:dyDescent="0.15"/>
    <row r="2581" s="120" customFormat="1" x14ac:dyDescent="0.15"/>
    <row r="2582" s="120" customFormat="1" x14ac:dyDescent="0.15"/>
    <row r="2583" s="120" customFormat="1" x14ac:dyDescent="0.15"/>
    <row r="2584" s="120" customFormat="1" x14ac:dyDescent="0.15"/>
    <row r="2585" s="120" customFormat="1" x14ac:dyDescent="0.15"/>
    <row r="2586" s="120" customFormat="1" x14ac:dyDescent="0.15"/>
    <row r="2587" s="120" customFormat="1" x14ac:dyDescent="0.15"/>
    <row r="2588" s="120" customFormat="1" x14ac:dyDescent="0.15"/>
    <row r="2589" s="120" customFormat="1" x14ac:dyDescent="0.15"/>
    <row r="2590" s="120" customFormat="1" x14ac:dyDescent="0.15"/>
    <row r="2591" s="120" customFormat="1" x14ac:dyDescent="0.15"/>
    <row r="2592" s="120" customFormat="1" x14ac:dyDescent="0.15"/>
    <row r="2593" s="120" customFormat="1" x14ac:dyDescent="0.15"/>
    <row r="2594" s="120" customFormat="1" x14ac:dyDescent="0.15"/>
    <row r="2595" s="120" customFormat="1" x14ac:dyDescent="0.15"/>
    <row r="2596" s="120" customFormat="1" x14ac:dyDescent="0.15"/>
    <row r="2597" s="120" customFormat="1" x14ac:dyDescent="0.15"/>
    <row r="2598" s="120" customFormat="1" x14ac:dyDescent="0.15"/>
    <row r="2599" s="120" customFormat="1" x14ac:dyDescent="0.15"/>
    <row r="2600" s="120" customFormat="1" x14ac:dyDescent="0.15"/>
    <row r="2601" s="120" customFormat="1" x14ac:dyDescent="0.15"/>
    <row r="2602" s="120" customFormat="1" x14ac:dyDescent="0.15"/>
    <row r="2603" s="120" customFormat="1" x14ac:dyDescent="0.15"/>
    <row r="2604" s="120" customFormat="1" x14ac:dyDescent="0.15"/>
    <row r="2605" s="120" customFormat="1" x14ac:dyDescent="0.15"/>
    <row r="2606" s="120" customFormat="1" x14ac:dyDescent="0.15"/>
    <row r="2607" s="120" customFormat="1" x14ac:dyDescent="0.15"/>
    <row r="2608" s="120" customFormat="1" x14ac:dyDescent="0.15"/>
    <row r="2609" s="120" customFormat="1" x14ac:dyDescent="0.15"/>
    <row r="2610" s="120" customFormat="1" x14ac:dyDescent="0.15"/>
    <row r="2611" s="120" customFormat="1" x14ac:dyDescent="0.15"/>
    <row r="2612" s="120" customFormat="1" x14ac:dyDescent="0.15"/>
    <row r="2613" s="120" customFormat="1" x14ac:dyDescent="0.15"/>
    <row r="2614" s="120" customFormat="1" x14ac:dyDescent="0.15"/>
    <row r="2615" s="120" customFormat="1" x14ac:dyDescent="0.15"/>
    <row r="2616" s="120" customFormat="1" x14ac:dyDescent="0.15"/>
    <row r="2617" s="120" customFormat="1" x14ac:dyDescent="0.15"/>
    <row r="2618" s="120" customFormat="1" x14ac:dyDescent="0.15"/>
    <row r="2619" s="120" customFormat="1" x14ac:dyDescent="0.15"/>
    <row r="2620" s="120" customFormat="1" x14ac:dyDescent="0.15"/>
    <row r="2621" s="120" customFormat="1" x14ac:dyDescent="0.15"/>
    <row r="2622" s="120" customFormat="1" x14ac:dyDescent="0.15"/>
    <row r="2623" s="120" customFormat="1" x14ac:dyDescent="0.15"/>
    <row r="2624" s="120" customFormat="1" x14ac:dyDescent="0.15"/>
    <row r="2625" s="120" customFormat="1" x14ac:dyDescent="0.15"/>
    <row r="2626" s="120" customFormat="1" x14ac:dyDescent="0.15"/>
    <row r="2627" s="120" customFormat="1" x14ac:dyDescent="0.15"/>
    <row r="2628" s="120" customFormat="1" x14ac:dyDescent="0.15"/>
    <row r="2629" s="120" customFormat="1" x14ac:dyDescent="0.15"/>
    <row r="2630" s="120" customFormat="1" x14ac:dyDescent="0.15"/>
    <row r="2631" s="120" customFormat="1" x14ac:dyDescent="0.15"/>
    <row r="2632" s="120" customFormat="1" x14ac:dyDescent="0.15"/>
    <row r="2633" s="120" customFormat="1" x14ac:dyDescent="0.15"/>
    <row r="2634" s="120" customFormat="1" x14ac:dyDescent="0.15"/>
    <row r="2635" s="120" customFormat="1" x14ac:dyDescent="0.15"/>
    <row r="2636" s="120" customFormat="1" x14ac:dyDescent="0.15"/>
    <row r="2637" s="120" customFormat="1" x14ac:dyDescent="0.15"/>
    <row r="2638" s="120" customFormat="1" x14ac:dyDescent="0.15"/>
    <row r="2639" s="120" customFormat="1" x14ac:dyDescent="0.15"/>
    <row r="2640" s="120" customFormat="1" x14ac:dyDescent="0.15"/>
    <row r="2641" s="120" customFormat="1" x14ac:dyDescent="0.15"/>
    <row r="2642" s="120" customFormat="1" x14ac:dyDescent="0.15"/>
    <row r="2643" s="120" customFormat="1" x14ac:dyDescent="0.15"/>
    <row r="2644" s="120" customFormat="1" x14ac:dyDescent="0.15"/>
    <row r="2645" s="120" customFormat="1" x14ac:dyDescent="0.15"/>
    <row r="2646" s="120" customFormat="1" x14ac:dyDescent="0.15"/>
    <row r="2647" s="120" customFormat="1" x14ac:dyDescent="0.15"/>
    <row r="2648" s="120" customFormat="1" x14ac:dyDescent="0.15"/>
    <row r="2649" s="120" customFormat="1" x14ac:dyDescent="0.15"/>
    <row r="2650" s="120" customFormat="1" x14ac:dyDescent="0.15"/>
    <row r="2651" s="120" customFormat="1" x14ac:dyDescent="0.15"/>
    <row r="2652" s="120" customFormat="1" x14ac:dyDescent="0.15"/>
    <row r="2653" s="120" customFormat="1" x14ac:dyDescent="0.15"/>
    <row r="2654" s="120" customFormat="1" x14ac:dyDescent="0.15"/>
    <row r="2655" s="120" customFormat="1" x14ac:dyDescent="0.15"/>
    <row r="2656" s="120" customFormat="1" x14ac:dyDescent="0.15"/>
    <row r="2657" s="120" customFormat="1" x14ac:dyDescent="0.15"/>
    <row r="2658" s="120" customFormat="1" x14ac:dyDescent="0.15"/>
    <row r="2659" s="120" customFormat="1" x14ac:dyDescent="0.15"/>
    <row r="2660" s="120" customFormat="1" x14ac:dyDescent="0.15"/>
    <row r="2661" s="120" customFormat="1" x14ac:dyDescent="0.15"/>
    <row r="2662" s="120" customFormat="1" x14ac:dyDescent="0.15"/>
    <row r="2663" s="120" customFormat="1" x14ac:dyDescent="0.15"/>
    <row r="2664" s="120" customFormat="1" x14ac:dyDescent="0.15"/>
    <row r="2665" s="120" customFormat="1" x14ac:dyDescent="0.15"/>
    <row r="2666" s="120" customFormat="1" x14ac:dyDescent="0.15"/>
    <row r="2667" s="120" customFormat="1" x14ac:dyDescent="0.15"/>
    <row r="2668" s="120" customFormat="1" x14ac:dyDescent="0.15"/>
    <row r="2669" s="120" customFormat="1" x14ac:dyDescent="0.15"/>
    <row r="2670" s="120" customFormat="1" x14ac:dyDescent="0.15"/>
    <row r="2671" s="120" customFormat="1" x14ac:dyDescent="0.15"/>
    <row r="2672" s="120" customFormat="1" x14ac:dyDescent="0.15"/>
    <row r="2673" s="120" customFormat="1" x14ac:dyDescent="0.15"/>
    <row r="2674" s="120" customFormat="1" x14ac:dyDescent="0.15"/>
    <row r="2675" s="120" customFormat="1" x14ac:dyDescent="0.15"/>
    <row r="2676" s="120" customFormat="1" x14ac:dyDescent="0.15"/>
    <row r="2677" s="120" customFormat="1" x14ac:dyDescent="0.15"/>
    <row r="2678" s="120" customFormat="1" x14ac:dyDescent="0.15"/>
    <row r="2679" s="120" customFormat="1" x14ac:dyDescent="0.15"/>
    <row r="2680" s="120" customFormat="1" x14ac:dyDescent="0.15"/>
    <row r="2681" s="120" customFormat="1" x14ac:dyDescent="0.15"/>
    <row r="2682" s="120" customFormat="1" x14ac:dyDescent="0.15"/>
    <row r="2683" s="120" customFormat="1" x14ac:dyDescent="0.15"/>
    <row r="2684" s="120" customFormat="1" x14ac:dyDescent="0.15"/>
    <row r="2685" s="120" customFormat="1" x14ac:dyDescent="0.15"/>
    <row r="2686" s="120" customFormat="1" x14ac:dyDescent="0.15"/>
    <row r="2687" s="120" customFormat="1" x14ac:dyDescent="0.15"/>
    <row r="2688" s="120" customFormat="1" x14ac:dyDescent="0.15"/>
    <row r="2689" s="120" customFormat="1" x14ac:dyDescent="0.15"/>
    <row r="2690" s="120" customFormat="1" x14ac:dyDescent="0.15"/>
    <row r="2691" s="120" customFormat="1" x14ac:dyDescent="0.15"/>
    <row r="2692" s="120" customFormat="1" x14ac:dyDescent="0.15"/>
    <row r="2693" s="120" customFormat="1" x14ac:dyDescent="0.15"/>
    <row r="2694" s="120" customFormat="1" x14ac:dyDescent="0.15"/>
    <row r="2695" s="120" customFormat="1" x14ac:dyDescent="0.15"/>
    <row r="2696" s="120" customFormat="1" x14ac:dyDescent="0.15"/>
    <row r="2697" s="120" customFormat="1" x14ac:dyDescent="0.15"/>
    <row r="2698" s="120" customFormat="1" x14ac:dyDescent="0.15"/>
    <row r="2699" s="120" customFormat="1" x14ac:dyDescent="0.15"/>
  </sheetData>
  <mergeCells count="707">
    <mergeCell ref="B350:C350"/>
    <mergeCell ref="A351:J351"/>
    <mergeCell ref="A366:Q366"/>
    <mergeCell ref="B367:N367"/>
    <mergeCell ref="P367:Q367"/>
    <mergeCell ref="A368:Q368"/>
    <mergeCell ref="A369:A370"/>
    <mergeCell ref="B369:C370"/>
    <mergeCell ref="D369:D370"/>
    <mergeCell ref="E369:G369"/>
    <mergeCell ref="H369:H370"/>
    <mergeCell ref="I369:I370"/>
    <mergeCell ref="J369:J370"/>
    <mergeCell ref="A359:Q359"/>
    <mergeCell ref="B360:N360"/>
    <mergeCell ref="P360:Q360"/>
    <mergeCell ref="A361:Q361"/>
    <mergeCell ref="A352:Q352"/>
    <mergeCell ref="B353:N353"/>
    <mergeCell ref="P353:Q353"/>
    <mergeCell ref="A354:Q354"/>
    <mergeCell ref="A355:A356"/>
    <mergeCell ref="B355:C356"/>
    <mergeCell ref="D355:D356"/>
    <mergeCell ref="B343:C343"/>
    <mergeCell ref="A344:J344"/>
    <mergeCell ref="A345:Q345"/>
    <mergeCell ref="B346:N346"/>
    <mergeCell ref="P346:Q346"/>
    <mergeCell ref="A347:Q347"/>
    <mergeCell ref="A348:A349"/>
    <mergeCell ref="B348:C349"/>
    <mergeCell ref="D348:D349"/>
    <mergeCell ref="E348:G348"/>
    <mergeCell ref="H348:H349"/>
    <mergeCell ref="I348:I349"/>
    <mergeCell ref="J348:J349"/>
    <mergeCell ref="B336:C336"/>
    <mergeCell ref="A337:J337"/>
    <mergeCell ref="A338:Q338"/>
    <mergeCell ref="B339:N339"/>
    <mergeCell ref="P339:Q339"/>
    <mergeCell ref="A340:Q340"/>
    <mergeCell ref="A341:A342"/>
    <mergeCell ref="B341:C342"/>
    <mergeCell ref="D341:D342"/>
    <mergeCell ref="E341:G341"/>
    <mergeCell ref="H341:H342"/>
    <mergeCell ref="I341:I342"/>
    <mergeCell ref="J341:J342"/>
    <mergeCell ref="B329:C329"/>
    <mergeCell ref="A330:J330"/>
    <mergeCell ref="A331:Q331"/>
    <mergeCell ref="B332:N332"/>
    <mergeCell ref="P332:Q332"/>
    <mergeCell ref="A333:Q333"/>
    <mergeCell ref="A334:A335"/>
    <mergeCell ref="B334:C335"/>
    <mergeCell ref="D334:D335"/>
    <mergeCell ref="E334:G334"/>
    <mergeCell ref="H334:H335"/>
    <mergeCell ref="I334:I335"/>
    <mergeCell ref="J334:J335"/>
    <mergeCell ref="B322:C322"/>
    <mergeCell ref="A323:J323"/>
    <mergeCell ref="A324:Q324"/>
    <mergeCell ref="B325:N325"/>
    <mergeCell ref="P325:Q325"/>
    <mergeCell ref="A326:Q326"/>
    <mergeCell ref="A327:A328"/>
    <mergeCell ref="B327:C328"/>
    <mergeCell ref="D327:D328"/>
    <mergeCell ref="E327:G327"/>
    <mergeCell ref="H327:H328"/>
    <mergeCell ref="I327:I328"/>
    <mergeCell ref="J327:J328"/>
    <mergeCell ref="B315:C315"/>
    <mergeCell ref="A316:J316"/>
    <mergeCell ref="A317:Q317"/>
    <mergeCell ref="B318:N318"/>
    <mergeCell ref="P318:Q318"/>
    <mergeCell ref="A319:Q319"/>
    <mergeCell ref="A320:A321"/>
    <mergeCell ref="B320:C321"/>
    <mergeCell ref="D320:D321"/>
    <mergeCell ref="E320:G320"/>
    <mergeCell ref="H320:H321"/>
    <mergeCell ref="I320:I321"/>
    <mergeCell ref="J320:J321"/>
    <mergeCell ref="B308:C308"/>
    <mergeCell ref="A309:J309"/>
    <mergeCell ref="A310:Q310"/>
    <mergeCell ref="B311:N311"/>
    <mergeCell ref="P311:Q311"/>
    <mergeCell ref="A312:Q312"/>
    <mergeCell ref="A313:A314"/>
    <mergeCell ref="B313:C314"/>
    <mergeCell ref="D313:D314"/>
    <mergeCell ref="E313:G313"/>
    <mergeCell ref="H313:H314"/>
    <mergeCell ref="I313:I314"/>
    <mergeCell ref="J313:J314"/>
    <mergeCell ref="A295:J295"/>
    <mergeCell ref="A296:Q296"/>
    <mergeCell ref="B297:N297"/>
    <mergeCell ref="P297:Q297"/>
    <mergeCell ref="A298:Q298"/>
    <mergeCell ref="A299:A300"/>
    <mergeCell ref="B299:C300"/>
    <mergeCell ref="D299:D300"/>
    <mergeCell ref="E299:G299"/>
    <mergeCell ref="H299:H300"/>
    <mergeCell ref="I299:I300"/>
    <mergeCell ref="J299:J300"/>
    <mergeCell ref="J385:J386"/>
    <mergeCell ref="B387:C387"/>
    <mergeCell ref="A388:J388"/>
    <mergeCell ref="A389:Q389"/>
    <mergeCell ref="B34:C34"/>
    <mergeCell ref="A385:A386"/>
    <mergeCell ref="B385:C386"/>
    <mergeCell ref="D385:D386"/>
    <mergeCell ref="E385:G385"/>
    <mergeCell ref="H385:H386"/>
    <mergeCell ref="I385:I386"/>
    <mergeCell ref="B380:C380"/>
    <mergeCell ref="A381:J381"/>
    <mergeCell ref="A382:Q382"/>
    <mergeCell ref="B383:N383"/>
    <mergeCell ref="P383:Q383"/>
    <mergeCell ref="A384:Q384"/>
    <mergeCell ref="A377:Q377"/>
    <mergeCell ref="A378:A379"/>
    <mergeCell ref="B378:C379"/>
    <mergeCell ref="D378:D379"/>
    <mergeCell ref="E378:G378"/>
    <mergeCell ref="H378:H379"/>
    <mergeCell ref="I378:I379"/>
    <mergeCell ref="J378:J379"/>
    <mergeCell ref="J362:J363"/>
    <mergeCell ref="B364:C364"/>
    <mergeCell ref="A365:J365"/>
    <mergeCell ref="A374:Q374"/>
    <mergeCell ref="A375:Q375"/>
    <mergeCell ref="B376:N376"/>
    <mergeCell ref="P376:Q376"/>
    <mergeCell ref="A362:A363"/>
    <mergeCell ref="B362:C363"/>
    <mergeCell ref="D362:D363"/>
    <mergeCell ref="E362:G362"/>
    <mergeCell ref="H362:H363"/>
    <mergeCell ref="I362:I363"/>
    <mergeCell ref="B371:C371"/>
    <mergeCell ref="A373:J373"/>
    <mergeCell ref="B372:C372"/>
    <mergeCell ref="B301:C301"/>
    <mergeCell ref="A302:J302"/>
    <mergeCell ref="A303:Q303"/>
    <mergeCell ref="B304:N304"/>
    <mergeCell ref="P304:Q304"/>
    <mergeCell ref="A305:Q305"/>
    <mergeCell ref="A306:A307"/>
    <mergeCell ref="B306:C307"/>
    <mergeCell ref="D306:D307"/>
    <mergeCell ref="E306:G306"/>
    <mergeCell ref="H306:H307"/>
    <mergeCell ref="I306:I307"/>
    <mergeCell ref="J306:J307"/>
    <mergeCell ref="J292:J293"/>
    <mergeCell ref="J285:J286"/>
    <mergeCell ref="A288:J288"/>
    <mergeCell ref="A285:A286"/>
    <mergeCell ref="B285:C286"/>
    <mergeCell ref="D285:D286"/>
    <mergeCell ref="E285:G285"/>
    <mergeCell ref="H285:H286"/>
    <mergeCell ref="I285:I286"/>
    <mergeCell ref="B287:C287"/>
    <mergeCell ref="B294:C294"/>
    <mergeCell ref="A281:J281"/>
    <mergeCell ref="A282:Q282"/>
    <mergeCell ref="B283:N283"/>
    <mergeCell ref="P283:Q283"/>
    <mergeCell ref="A284:P284"/>
    <mergeCell ref="A277:A278"/>
    <mergeCell ref="B277:C278"/>
    <mergeCell ref="D277:G277"/>
    <mergeCell ref="H277:H278"/>
    <mergeCell ref="I277:I278"/>
    <mergeCell ref="J277:J278"/>
    <mergeCell ref="B279:C279"/>
    <mergeCell ref="B280:C280"/>
    <mergeCell ref="A289:Q289"/>
    <mergeCell ref="B290:N290"/>
    <mergeCell ref="P290:Q290"/>
    <mergeCell ref="A291:P291"/>
    <mergeCell ref="A292:A293"/>
    <mergeCell ref="B292:C293"/>
    <mergeCell ref="D292:D293"/>
    <mergeCell ref="E292:G292"/>
    <mergeCell ref="H292:H293"/>
    <mergeCell ref="I292:I293"/>
    <mergeCell ref="A273:J273"/>
    <mergeCell ref="A274:Q274"/>
    <mergeCell ref="B275:N275"/>
    <mergeCell ref="P275:Q275"/>
    <mergeCell ref="A276:Q276"/>
    <mergeCell ref="A268:Q268"/>
    <mergeCell ref="A269:A270"/>
    <mergeCell ref="B269:C270"/>
    <mergeCell ref="D269:G269"/>
    <mergeCell ref="H269:H270"/>
    <mergeCell ref="I269:I270"/>
    <mergeCell ref="J269:J270"/>
    <mergeCell ref="B271:C271"/>
    <mergeCell ref="B272:C272"/>
    <mergeCell ref="J262:J263"/>
    <mergeCell ref="B264:C264"/>
    <mergeCell ref="A265:J265"/>
    <mergeCell ref="A266:Q266"/>
    <mergeCell ref="B267:N267"/>
    <mergeCell ref="P267:Q267"/>
    <mergeCell ref="A262:A263"/>
    <mergeCell ref="B262:C263"/>
    <mergeCell ref="D262:D263"/>
    <mergeCell ref="E262:G262"/>
    <mergeCell ref="H262:H263"/>
    <mergeCell ref="I262:I263"/>
    <mergeCell ref="A252:Q252"/>
    <mergeCell ref="B253:N253"/>
    <mergeCell ref="P253:Q253"/>
    <mergeCell ref="B257:C257"/>
    <mergeCell ref="A258:J258"/>
    <mergeCell ref="A259:Q259"/>
    <mergeCell ref="B260:N260"/>
    <mergeCell ref="P260:Q260"/>
    <mergeCell ref="A261:Q261"/>
    <mergeCell ref="A254:Q254"/>
    <mergeCell ref="A255:A256"/>
    <mergeCell ref="B255:C256"/>
    <mergeCell ref="D255:D256"/>
    <mergeCell ref="E255:G255"/>
    <mergeCell ref="H255:H256"/>
    <mergeCell ref="I255:I256"/>
    <mergeCell ref="J255:J256"/>
    <mergeCell ref="A245:Q245"/>
    <mergeCell ref="B246:N246"/>
    <mergeCell ref="P246:Q246"/>
    <mergeCell ref="B250:C250"/>
    <mergeCell ref="A251:J251"/>
    <mergeCell ref="A247:Q247"/>
    <mergeCell ref="A248:A249"/>
    <mergeCell ref="B248:C249"/>
    <mergeCell ref="D248:D249"/>
    <mergeCell ref="E248:G248"/>
    <mergeCell ref="H248:H249"/>
    <mergeCell ref="I248:I249"/>
    <mergeCell ref="J248:J249"/>
    <mergeCell ref="B243:C243"/>
    <mergeCell ref="A244:J244"/>
    <mergeCell ref="A240:Q240"/>
    <mergeCell ref="A241:A242"/>
    <mergeCell ref="B241:C242"/>
    <mergeCell ref="D241:D242"/>
    <mergeCell ref="E241:G241"/>
    <mergeCell ref="H241:H242"/>
    <mergeCell ref="I241:I242"/>
    <mergeCell ref="J241:J242"/>
    <mergeCell ref="J234:J235"/>
    <mergeCell ref="B236:C236"/>
    <mergeCell ref="A237:J237"/>
    <mergeCell ref="A238:Q238"/>
    <mergeCell ref="B239:N239"/>
    <mergeCell ref="P239:Q239"/>
    <mergeCell ref="A234:A235"/>
    <mergeCell ref="B234:C235"/>
    <mergeCell ref="D234:D235"/>
    <mergeCell ref="E234:G234"/>
    <mergeCell ref="H234:H235"/>
    <mergeCell ref="I234:I235"/>
    <mergeCell ref="B229:C229"/>
    <mergeCell ref="A230:J230"/>
    <mergeCell ref="A231:Q231"/>
    <mergeCell ref="B232:N232"/>
    <mergeCell ref="P232:Q232"/>
    <mergeCell ref="A233:Q233"/>
    <mergeCell ref="A226:Q226"/>
    <mergeCell ref="A227:A228"/>
    <mergeCell ref="B227:C228"/>
    <mergeCell ref="D227:D228"/>
    <mergeCell ref="E227:G227"/>
    <mergeCell ref="H227:H228"/>
    <mergeCell ref="I227:I228"/>
    <mergeCell ref="J227:J228"/>
    <mergeCell ref="J220:J221"/>
    <mergeCell ref="B222:C222"/>
    <mergeCell ref="A223:J223"/>
    <mergeCell ref="A224:Q224"/>
    <mergeCell ref="B225:N225"/>
    <mergeCell ref="P225:Q225"/>
    <mergeCell ref="A220:A221"/>
    <mergeCell ref="B220:C221"/>
    <mergeCell ref="D220:D221"/>
    <mergeCell ref="E220:G220"/>
    <mergeCell ref="H220:H221"/>
    <mergeCell ref="I220:I221"/>
    <mergeCell ref="A210:Q210"/>
    <mergeCell ref="B211:N211"/>
    <mergeCell ref="P211:Q211"/>
    <mergeCell ref="B215:C215"/>
    <mergeCell ref="A216:J216"/>
    <mergeCell ref="A217:Q217"/>
    <mergeCell ref="B218:N218"/>
    <mergeCell ref="P218:Q218"/>
    <mergeCell ref="A219:Q219"/>
    <mergeCell ref="A212:Q212"/>
    <mergeCell ref="A213:A214"/>
    <mergeCell ref="B213:C214"/>
    <mergeCell ref="D213:D214"/>
    <mergeCell ref="E213:G213"/>
    <mergeCell ref="H213:H214"/>
    <mergeCell ref="I213:I214"/>
    <mergeCell ref="J213:J214"/>
    <mergeCell ref="B198:C198"/>
    <mergeCell ref="B199:C199"/>
    <mergeCell ref="A202:J202"/>
    <mergeCell ref="A203:Q203"/>
    <mergeCell ref="B208:C208"/>
    <mergeCell ref="A209:J209"/>
    <mergeCell ref="B204:N204"/>
    <mergeCell ref="P204:Q204"/>
    <mergeCell ref="A205:Q205"/>
    <mergeCell ref="A206:A207"/>
    <mergeCell ref="B206:C207"/>
    <mergeCell ref="D206:D207"/>
    <mergeCell ref="E206:G206"/>
    <mergeCell ref="H206:H207"/>
    <mergeCell ref="I206:I207"/>
    <mergeCell ref="J206:J207"/>
    <mergeCell ref="B200:C200"/>
    <mergeCell ref="B201:C201"/>
    <mergeCell ref="A194:A195"/>
    <mergeCell ref="B194:C195"/>
    <mergeCell ref="D194:D195"/>
    <mergeCell ref="E194:G194"/>
    <mergeCell ref="H194:H195"/>
    <mergeCell ref="I194:I195"/>
    <mergeCell ref="J194:J195"/>
    <mergeCell ref="B196:C196"/>
    <mergeCell ref="B197:C197"/>
    <mergeCell ref="J187:J188"/>
    <mergeCell ref="B189:C189"/>
    <mergeCell ref="A190:J190"/>
    <mergeCell ref="A187:A188"/>
    <mergeCell ref="B187:C188"/>
    <mergeCell ref="D187:D188"/>
    <mergeCell ref="E187:G187"/>
    <mergeCell ref="H187:H188"/>
    <mergeCell ref="I187:I188"/>
    <mergeCell ref="A186:Q186"/>
    <mergeCell ref="A179:Q179"/>
    <mergeCell ref="A180:A181"/>
    <mergeCell ref="B180:C181"/>
    <mergeCell ref="D180:D181"/>
    <mergeCell ref="E180:G180"/>
    <mergeCell ref="H180:H181"/>
    <mergeCell ref="I180:I181"/>
    <mergeCell ref="J180:J181"/>
    <mergeCell ref="J173:J174"/>
    <mergeCell ref="A177:Q177"/>
    <mergeCell ref="B178:N178"/>
    <mergeCell ref="P178:Q178"/>
    <mergeCell ref="B182:C182"/>
    <mergeCell ref="A183:J183"/>
    <mergeCell ref="A184:Q184"/>
    <mergeCell ref="B185:N185"/>
    <mergeCell ref="P185:Q185"/>
    <mergeCell ref="E173:G173"/>
    <mergeCell ref="H173:H174"/>
    <mergeCell ref="I173:I174"/>
    <mergeCell ref="A164:Q164"/>
    <mergeCell ref="A165:A166"/>
    <mergeCell ref="B165:C166"/>
    <mergeCell ref="D165:D166"/>
    <mergeCell ref="E165:G165"/>
    <mergeCell ref="H165:H166"/>
    <mergeCell ref="I165:I166"/>
    <mergeCell ref="J165:J166"/>
    <mergeCell ref="B167:C167"/>
    <mergeCell ref="A161:J161"/>
    <mergeCell ref="A154:Q154"/>
    <mergeCell ref="A155:A156"/>
    <mergeCell ref="B155:C156"/>
    <mergeCell ref="D155:D156"/>
    <mergeCell ref="E155:G155"/>
    <mergeCell ref="H155:H156"/>
    <mergeCell ref="I155:I156"/>
    <mergeCell ref="J155:J156"/>
    <mergeCell ref="B159:C159"/>
    <mergeCell ref="B160:C160"/>
    <mergeCell ref="B157:C157"/>
    <mergeCell ref="B158:C158"/>
    <mergeCell ref="A136:Q136"/>
    <mergeCell ref="B137:N137"/>
    <mergeCell ref="P137:Q137"/>
    <mergeCell ref="A138:Q138"/>
    <mergeCell ref="A139:A140"/>
    <mergeCell ref="B139:C140"/>
    <mergeCell ref="D139:D140"/>
    <mergeCell ref="E139:G139"/>
    <mergeCell ref="H139:H140"/>
    <mergeCell ref="I139:I140"/>
    <mergeCell ref="J139:J140"/>
    <mergeCell ref="B141:C141"/>
    <mergeCell ref="B143:C143"/>
    <mergeCell ref="A144:J144"/>
    <mergeCell ref="A145:Q145"/>
    <mergeCell ref="B146:N146"/>
    <mergeCell ref="P146:Q146"/>
    <mergeCell ref="B150:C150"/>
    <mergeCell ref="A151:J151"/>
    <mergeCell ref="A152:Q152"/>
    <mergeCell ref="B153:N153"/>
    <mergeCell ref="P153:Q153"/>
    <mergeCell ref="A147:Q147"/>
    <mergeCell ref="A148:A149"/>
    <mergeCell ref="B148:C149"/>
    <mergeCell ref="D148:D149"/>
    <mergeCell ref="E148:G148"/>
    <mergeCell ref="H148:H149"/>
    <mergeCell ref="I148:I149"/>
    <mergeCell ref="J148:J149"/>
    <mergeCell ref="A129:Q129"/>
    <mergeCell ref="B130:N130"/>
    <mergeCell ref="P130:Q130"/>
    <mergeCell ref="B134:C134"/>
    <mergeCell ref="A135:J135"/>
    <mergeCell ref="A131:Q131"/>
    <mergeCell ref="A132:A133"/>
    <mergeCell ref="B132:C133"/>
    <mergeCell ref="D132:D133"/>
    <mergeCell ref="E132:G132"/>
    <mergeCell ref="H132:H133"/>
    <mergeCell ref="I132:I133"/>
    <mergeCell ref="J132:J133"/>
    <mergeCell ref="A122:Q122"/>
    <mergeCell ref="B123:N123"/>
    <mergeCell ref="P123:Q123"/>
    <mergeCell ref="B127:C127"/>
    <mergeCell ref="A128:J128"/>
    <mergeCell ref="A124:Q124"/>
    <mergeCell ref="A125:A126"/>
    <mergeCell ref="B125:C126"/>
    <mergeCell ref="D125:D126"/>
    <mergeCell ref="E125:G125"/>
    <mergeCell ref="H125:H126"/>
    <mergeCell ref="I125:I126"/>
    <mergeCell ref="J125:J126"/>
    <mergeCell ref="A115:Q115"/>
    <mergeCell ref="B116:N116"/>
    <mergeCell ref="P116:Q116"/>
    <mergeCell ref="B120:C120"/>
    <mergeCell ref="A121:J121"/>
    <mergeCell ref="A117:Q117"/>
    <mergeCell ref="A118:A119"/>
    <mergeCell ref="B118:C119"/>
    <mergeCell ref="D118:D119"/>
    <mergeCell ref="E118:G118"/>
    <mergeCell ref="H118:H119"/>
    <mergeCell ref="I118:I119"/>
    <mergeCell ref="J118:J119"/>
    <mergeCell ref="J111:J112"/>
    <mergeCell ref="B113:C113"/>
    <mergeCell ref="A114:J114"/>
    <mergeCell ref="A111:A112"/>
    <mergeCell ref="B111:C112"/>
    <mergeCell ref="D111:D112"/>
    <mergeCell ref="E111:G111"/>
    <mergeCell ref="H111:H112"/>
    <mergeCell ref="I111:I112"/>
    <mergeCell ref="A107:J107"/>
    <mergeCell ref="A108:Q108"/>
    <mergeCell ref="B109:N109"/>
    <mergeCell ref="P109:Q109"/>
    <mergeCell ref="A110:Q110"/>
    <mergeCell ref="I102:I103"/>
    <mergeCell ref="J102:J103"/>
    <mergeCell ref="B104:K104"/>
    <mergeCell ref="B105:C105"/>
    <mergeCell ref="A99:Q99"/>
    <mergeCell ref="B100:N100"/>
    <mergeCell ref="P100:Q100"/>
    <mergeCell ref="A101:Q101"/>
    <mergeCell ref="A102:A103"/>
    <mergeCell ref="B102:C103"/>
    <mergeCell ref="D102:D103"/>
    <mergeCell ref="E102:G102"/>
    <mergeCell ref="H102:H103"/>
    <mergeCell ref="A92:Q92"/>
    <mergeCell ref="B93:N93"/>
    <mergeCell ref="P93:Q93"/>
    <mergeCell ref="A94:Q94"/>
    <mergeCell ref="A95:A96"/>
    <mergeCell ref="B95:C96"/>
    <mergeCell ref="D95:D96"/>
    <mergeCell ref="E95:G95"/>
    <mergeCell ref="H95:H96"/>
    <mergeCell ref="I95:I96"/>
    <mergeCell ref="J95:J96"/>
    <mergeCell ref="L95:Q98"/>
    <mergeCell ref="B97:C97"/>
    <mergeCell ref="A98:J98"/>
    <mergeCell ref="A85:Q85"/>
    <mergeCell ref="A86:A87"/>
    <mergeCell ref="B86:C87"/>
    <mergeCell ref="D86:G86"/>
    <mergeCell ref="H86:H87"/>
    <mergeCell ref="I86:I87"/>
    <mergeCell ref="J86:J87"/>
    <mergeCell ref="K86:K87"/>
    <mergeCell ref="M86:Q91"/>
    <mergeCell ref="B89:C89"/>
    <mergeCell ref="A91:K91"/>
    <mergeCell ref="B88:C88"/>
    <mergeCell ref="B81:C81"/>
    <mergeCell ref="A82:J82"/>
    <mergeCell ref="A83:Q83"/>
    <mergeCell ref="B84:N84"/>
    <mergeCell ref="P84:Q84"/>
    <mergeCell ref="A78:Q78"/>
    <mergeCell ref="A79:A80"/>
    <mergeCell ref="B79:C80"/>
    <mergeCell ref="D79:D80"/>
    <mergeCell ref="E79:G79"/>
    <mergeCell ref="H79:H80"/>
    <mergeCell ref="I79:I80"/>
    <mergeCell ref="J79:J80"/>
    <mergeCell ref="B74:C74"/>
    <mergeCell ref="A75:J75"/>
    <mergeCell ref="A76:Q76"/>
    <mergeCell ref="B77:N77"/>
    <mergeCell ref="P77:Q77"/>
    <mergeCell ref="B71:K71"/>
    <mergeCell ref="B72:C72"/>
    <mergeCell ref="B73:C73"/>
    <mergeCell ref="B67:N67"/>
    <mergeCell ref="P67:Q67"/>
    <mergeCell ref="A68:Q68"/>
    <mergeCell ref="A69:A70"/>
    <mergeCell ref="B69:C70"/>
    <mergeCell ref="D69:D70"/>
    <mergeCell ref="E69:G69"/>
    <mergeCell ref="H69:H70"/>
    <mergeCell ref="I69:I70"/>
    <mergeCell ref="J69:J70"/>
    <mergeCell ref="B63:C63"/>
    <mergeCell ref="E63:F63"/>
    <mergeCell ref="B64:C64"/>
    <mergeCell ref="E64:F64"/>
    <mergeCell ref="A65:J65"/>
    <mergeCell ref="A66:Q66"/>
    <mergeCell ref="B62:K62"/>
    <mergeCell ref="A59:Q59"/>
    <mergeCell ref="A60:A61"/>
    <mergeCell ref="B60:C61"/>
    <mergeCell ref="D60:D61"/>
    <mergeCell ref="E60:G60"/>
    <mergeCell ref="H60:H61"/>
    <mergeCell ref="I60:I61"/>
    <mergeCell ref="J60:J61"/>
    <mergeCell ref="L60:Q65"/>
    <mergeCell ref="E61:F61"/>
    <mergeCell ref="A57:Q57"/>
    <mergeCell ref="B58:N58"/>
    <mergeCell ref="P58:Q58"/>
    <mergeCell ref="A43:Q43"/>
    <mergeCell ref="B44:N44"/>
    <mergeCell ref="P44:Q44"/>
    <mergeCell ref="A45:Q45"/>
    <mergeCell ref="A46:A47"/>
    <mergeCell ref="B46:C47"/>
    <mergeCell ref="D46:D47"/>
    <mergeCell ref="E46:G46"/>
    <mergeCell ref="H46:H47"/>
    <mergeCell ref="I46:I47"/>
    <mergeCell ref="L53:Q56"/>
    <mergeCell ref="B55:C55"/>
    <mergeCell ref="A56:J56"/>
    <mergeCell ref="B51:N51"/>
    <mergeCell ref="P51:Q51"/>
    <mergeCell ref="A52:Q52"/>
    <mergeCell ref="A53:A54"/>
    <mergeCell ref="B53:C54"/>
    <mergeCell ref="D53:D54"/>
    <mergeCell ref="E53:G53"/>
    <mergeCell ref="H53:H54"/>
    <mergeCell ref="I53:I54"/>
    <mergeCell ref="J53:J54"/>
    <mergeCell ref="A50:Q50"/>
    <mergeCell ref="L39:Q42"/>
    <mergeCell ref="B41:C41"/>
    <mergeCell ref="A42:J42"/>
    <mergeCell ref="J46:J47"/>
    <mergeCell ref="L46:Q49"/>
    <mergeCell ref="B48:C48"/>
    <mergeCell ref="A49:J49"/>
    <mergeCell ref="B37:N37"/>
    <mergeCell ref="P37:Q37"/>
    <mergeCell ref="A38:Q38"/>
    <mergeCell ref="A39:A40"/>
    <mergeCell ref="B39:C40"/>
    <mergeCell ref="D39:D40"/>
    <mergeCell ref="E39:G39"/>
    <mergeCell ref="H39:H40"/>
    <mergeCell ref="I39:I40"/>
    <mergeCell ref="J39:J40"/>
    <mergeCell ref="I31:I32"/>
    <mergeCell ref="J31:J32"/>
    <mergeCell ref="L31:Q35"/>
    <mergeCell ref="B33:C33"/>
    <mergeCell ref="A35:J35"/>
    <mergeCell ref="A36:Q36"/>
    <mergeCell ref="A27:J27"/>
    <mergeCell ref="A28:Q28"/>
    <mergeCell ref="B29:N29"/>
    <mergeCell ref="P29:Q29"/>
    <mergeCell ref="A30:Q30"/>
    <mergeCell ref="A31:A32"/>
    <mergeCell ref="B31:C32"/>
    <mergeCell ref="D31:D32"/>
    <mergeCell ref="E31:G31"/>
    <mergeCell ref="H31:H32"/>
    <mergeCell ref="A23:Q23"/>
    <mergeCell ref="A24:A25"/>
    <mergeCell ref="B24:C25"/>
    <mergeCell ref="D24:D25"/>
    <mergeCell ref="E24:G24"/>
    <mergeCell ref="H24:H25"/>
    <mergeCell ref="I24:I25"/>
    <mergeCell ref="J24:J25"/>
    <mergeCell ref="L24:Q27"/>
    <mergeCell ref="B26:C26"/>
    <mergeCell ref="J17:J18"/>
    <mergeCell ref="L17:Q20"/>
    <mergeCell ref="B19:C19"/>
    <mergeCell ref="A20:J20"/>
    <mergeCell ref="A21:Q21"/>
    <mergeCell ref="B22:N22"/>
    <mergeCell ref="P22:Q22"/>
    <mergeCell ref="A14:Q14"/>
    <mergeCell ref="B15:N15"/>
    <mergeCell ref="P15:Q15"/>
    <mergeCell ref="A16:Q16"/>
    <mergeCell ref="A17:A18"/>
    <mergeCell ref="B17:C18"/>
    <mergeCell ref="D17:D18"/>
    <mergeCell ref="E17:G17"/>
    <mergeCell ref="H17:H18"/>
    <mergeCell ref="I17:I18"/>
    <mergeCell ref="A1:N1"/>
    <mergeCell ref="O1:Q4"/>
    <mergeCell ref="A2:N2"/>
    <mergeCell ref="A3:N3"/>
    <mergeCell ref="A4:N4"/>
    <mergeCell ref="A5:Q5"/>
    <mergeCell ref="A162:Q162"/>
    <mergeCell ref="B163:N163"/>
    <mergeCell ref="P163:Q163"/>
    <mergeCell ref="I10:I11"/>
    <mergeCell ref="J10:J11"/>
    <mergeCell ref="L10:Q13"/>
    <mergeCell ref="B12:C12"/>
    <mergeCell ref="A13:J13"/>
    <mergeCell ref="A6:Q6"/>
    <mergeCell ref="B7:Q7"/>
    <mergeCell ref="B8:N8"/>
    <mergeCell ref="P8:Q8"/>
    <mergeCell ref="A9:Q9"/>
    <mergeCell ref="A10:A11"/>
    <mergeCell ref="B10:C11"/>
    <mergeCell ref="D10:D11"/>
    <mergeCell ref="E10:G10"/>
    <mergeCell ref="H10:H11"/>
    <mergeCell ref="E355:G355"/>
    <mergeCell ref="H355:H356"/>
    <mergeCell ref="I355:I356"/>
    <mergeCell ref="J355:J356"/>
    <mergeCell ref="B357:C357"/>
    <mergeCell ref="A358:J358"/>
    <mergeCell ref="B142:C142"/>
    <mergeCell ref="B90:C90"/>
    <mergeCell ref="B106:C106"/>
    <mergeCell ref="A169:J169"/>
    <mergeCell ref="B168:C168"/>
    <mergeCell ref="A191:Q191"/>
    <mergeCell ref="B192:N192"/>
    <mergeCell ref="P192:Q192"/>
    <mergeCell ref="A193:Q193"/>
    <mergeCell ref="A170:Q170"/>
    <mergeCell ref="B175:C175"/>
    <mergeCell ref="A176:J176"/>
    <mergeCell ref="B171:N171"/>
    <mergeCell ref="P171:Q171"/>
    <mergeCell ref="A172:Q172"/>
    <mergeCell ref="A173:A174"/>
    <mergeCell ref="B173:C174"/>
    <mergeCell ref="D173:D174"/>
  </mergeCells>
  <pageMargins left="0.39370078740157483" right="0.27559055118110237" top="0.6692913385826772" bottom="0.55118110236220474" header="0.31496062992125984" footer="0.31496062992125984"/>
  <pageSetup scale="70" orientation="landscape" r:id="rId1"/>
  <ignoredErrors>
    <ignoredError sqref="I89:L89" formula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39997558519241921"/>
  </sheetPr>
  <dimension ref="A1:T2717"/>
  <sheetViews>
    <sheetView topLeftCell="A79" zoomScaleNormal="100" zoomScaleSheetLayoutView="100" workbookViewId="0">
      <selection activeCell="D99" sqref="D99"/>
    </sheetView>
  </sheetViews>
  <sheetFormatPr baseColWidth="10" defaultColWidth="15.83203125" defaultRowHeight="13" x14ac:dyDescent="0.15"/>
  <cols>
    <col min="1" max="1" width="6.83203125" style="120" customWidth="1"/>
    <col min="2" max="3" width="12.1640625" style="120" customWidth="1"/>
    <col min="4" max="6" width="10.6640625" style="120" customWidth="1"/>
    <col min="7" max="7" width="9.33203125" style="120" customWidth="1"/>
    <col min="8" max="8" width="10.6640625" style="120" customWidth="1"/>
    <col min="9" max="10" width="10.6640625" style="145" customWidth="1"/>
    <col min="11" max="11" width="12.5" style="120" customWidth="1"/>
    <col min="12" max="12" width="13.33203125" style="120" customWidth="1"/>
    <col min="13" max="17" width="10.6640625" style="120" customWidth="1"/>
    <col min="18" max="19" width="10.83203125" style="120" customWidth="1"/>
    <col min="20" max="20" width="22.5" style="120" customWidth="1"/>
    <col min="21" max="256" width="10.83203125" style="120" customWidth="1"/>
    <col min="257" max="16384" width="15.83203125" style="120"/>
  </cols>
  <sheetData>
    <row r="1" spans="1:17" customFormat="1" ht="41.25" customHeight="1" x14ac:dyDescent="0.15">
      <c r="A1" s="765" t="s">
        <v>874</v>
      </c>
      <c r="B1" s="765"/>
      <c r="C1" s="765"/>
      <c r="D1" s="765"/>
      <c r="E1" s="765"/>
      <c r="F1" s="765"/>
      <c r="G1" s="765"/>
      <c r="H1" s="765"/>
      <c r="I1" s="765"/>
      <c r="J1" s="765"/>
      <c r="K1" s="765"/>
      <c r="L1" s="765"/>
      <c r="M1" s="765"/>
      <c r="N1" s="765"/>
      <c r="O1" s="797"/>
      <c r="P1" s="797"/>
      <c r="Q1" s="797"/>
    </row>
    <row r="2" spans="1:17" customFormat="1" ht="14.25" customHeight="1" x14ac:dyDescent="0.15">
      <c r="A2" s="798" t="s">
        <v>875</v>
      </c>
      <c r="B2" s="798"/>
      <c r="C2" s="798"/>
      <c r="D2" s="798"/>
      <c r="E2" s="798"/>
      <c r="F2" s="798"/>
      <c r="G2" s="798"/>
      <c r="H2" s="798"/>
      <c r="I2" s="798"/>
      <c r="J2" s="798"/>
      <c r="K2" s="798"/>
      <c r="L2" s="798"/>
      <c r="M2" s="798"/>
      <c r="N2" s="798"/>
      <c r="O2" s="797"/>
      <c r="P2" s="797"/>
      <c r="Q2" s="797"/>
    </row>
    <row r="3" spans="1:17" customFormat="1" ht="14.25" customHeight="1" x14ac:dyDescent="0.15">
      <c r="A3" s="798" t="s">
        <v>876</v>
      </c>
      <c r="B3" s="798"/>
      <c r="C3" s="798"/>
      <c r="D3" s="798"/>
      <c r="E3" s="798"/>
      <c r="F3" s="798"/>
      <c r="G3" s="798"/>
      <c r="H3" s="798"/>
      <c r="I3" s="798"/>
      <c r="J3" s="798"/>
      <c r="K3" s="798"/>
      <c r="L3" s="798"/>
      <c r="M3" s="798"/>
      <c r="N3" s="798"/>
      <c r="O3" s="797"/>
      <c r="P3" s="797"/>
      <c r="Q3" s="797"/>
    </row>
    <row r="4" spans="1:17" customFormat="1" ht="30.75" customHeight="1" x14ac:dyDescent="0.15">
      <c r="A4" s="768" t="s">
        <v>836</v>
      </c>
      <c r="B4" s="768"/>
      <c r="C4" s="768"/>
      <c r="D4" s="768"/>
      <c r="E4" s="768"/>
      <c r="F4" s="768"/>
      <c r="G4" s="768"/>
      <c r="H4" s="768"/>
      <c r="I4" s="768"/>
      <c r="J4" s="768"/>
      <c r="K4" s="768"/>
      <c r="L4" s="768"/>
      <c r="M4" s="768"/>
      <c r="N4" s="768"/>
      <c r="O4" s="797"/>
      <c r="P4" s="797"/>
      <c r="Q4" s="797"/>
    </row>
    <row r="5" spans="1:17" customFormat="1" ht="19.5" customHeight="1" x14ac:dyDescent="0.15">
      <c r="A5" s="799" t="s">
        <v>966</v>
      </c>
      <c r="B5" s="800"/>
      <c r="C5" s="800"/>
      <c r="D5" s="800"/>
      <c r="E5" s="800"/>
      <c r="F5" s="800"/>
      <c r="G5" s="800"/>
      <c r="H5" s="800"/>
      <c r="I5" s="800"/>
      <c r="J5" s="800"/>
      <c r="K5" s="800"/>
      <c r="L5" s="800"/>
      <c r="M5" s="800"/>
      <c r="N5" s="800"/>
      <c r="O5" s="800"/>
      <c r="P5" s="800"/>
      <c r="Q5" s="801"/>
    </row>
    <row r="6" spans="1:17" x14ac:dyDescent="0.15">
      <c r="A6" s="790"/>
      <c r="B6" s="791"/>
      <c r="C6" s="791"/>
      <c r="D6" s="791"/>
      <c r="E6" s="791"/>
      <c r="F6" s="791"/>
      <c r="G6" s="791"/>
      <c r="H6" s="791"/>
      <c r="I6" s="791"/>
      <c r="J6" s="791"/>
      <c r="K6" s="791"/>
      <c r="L6" s="791"/>
      <c r="M6" s="791"/>
      <c r="N6" s="791"/>
      <c r="O6" s="791"/>
      <c r="P6" s="791"/>
      <c r="Q6" s="792"/>
    </row>
    <row r="7" spans="1:17" customFormat="1" ht="19.5" customHeight="1" x14ac:dyDescent="0.15">
      <c r="A7" s="132" t="s">
        <v>271</v>
      </c>
      <c r="B7" s="818" t="s">
        <v>1138</v>
      </c>
      <c r="C7" s="819"/>
      <c r="D7" s="819"/>
      <c r="E7" s="819"/>
      <c r="F7" s="819"/>
      <c r="G7" s="819"/>
      <c r="H7" s="819"/>
      <c r="I7" s="819"/>
      <c r="J7" s="819"/>
      <c r="K7" s="819"/>
      <c r="L7" s="819"/>
      <c r="M7" s="819"/>
      <c r="N7" s="819"/>
      <c r="O7" s="819"/>
      <c r="P7" s="819"/>
      <c r="Q7" s="820"/>
    </row>
    <row r="8" spans="1:17" s="121" customFormat="1" ht="18" customHeight="1" x14ac:dyDescent="0.15">
      <c r="A8" s="218" t="s">
        <v>0</v>
      </c>
      <c r="B8" s="793" t="s">
        <v>166</v>
      </c>
      <c r="C8" s="794"/>
      <c r="D8" s="794"/>
      <c r="E8" s="794"/>
      <c r="F8" s="794"/>
      <c r="G8" s="794"/>
      <c r="H8" s="794"/>
      <c r="I8" s="794"/>
      <c r="J8" s="794"/>
      <c r="K8" s="794"/>
      <c r="L8" s="794"/>
      <c r="M8" s="794"/>
      <c r="N8" s="821"/>
      <c r="O8" s="216" t="s">
        <v>73</v>
      </c>
      <c r="P8" s="795" t="s">
        <v>5</v>
      </c>
      <c r="Q8" s="796"/>
    </row>
    <row r="9" spans="1:17" x14ac:dyDescent="0.15">
      <c r="A9" s="790"/>
      <c r="B9" s="791"/>
      <c r="C9" s="791"/>
      <c r="D9" s="791"/>
      <c r="E9" s="791"/>
      <c r="F9" s="791"/>
      <c r="G9" s="791"/>
      <c r="H9" s="791"/>
      <c r="I9" s="791"/>
      <c r="J9" s="791"/>
      <c r="K9" s="791"/>
      <c r="L9" s="791"/>
      <c r="M9" s="791"/>
      <c r="N9" s="791"/>
      <c r="O9" s="791"/>
      <c r="P9" s="791"/>
      <c r="Q9" s="792"/>
    </row>
    <row r="10" spans="1:17" s="126" customFormat="1" x14ac:dyDescent="0.15">
      <c r="A10" s="822" t="s">
        <v>150</v>
      </c>
      <c r="B10" s="823" t="s">
        <v>151</v>
      </c>
      <c r="C10" s="823"/>
      <c r="D10" s="802" t="s">
        <v>658</v>
      </c>
      <c r="E10" s="823" t="s">
        <v>152</v>
      </c>
      <c r="F10" s="823"/>
      <c r="G10" s="823"/>
      <c r="H10" s="804" t="s">
        <v>153</v>
      </c>
      <c r="I10" s="802" t="s">
        <v>159</v>
      </c>
      <c r="J10" s="804" t="s">
        <v>73</v>
      </c>
      <c r="K10" s="216" t="s">
        <v>154</v>
      </c>
      <c r="L10" s="806"/>
      <c r="M10" s="807"/>
      <c r="N10" s="807"/>
      <c r="O10" s="807"/>
      <c r="P10" s="807"/>
      <c r="Q10" s="808"/>
    </row>
    <row r="11" spans="1:17" s="130" customFormat="1" x14ac:dyDescent="0.15">
      <c r="A11" s="822"/>
      <c r="B11" s="823"/>
      <c r="C11" s="823"/>
      <c r="D11" s="803"/>
      <c r="E11" s="217" t="s">
        <v>155</v>
      </c>
      <c r="F11" s="217" t="s">
        <v>156</v>
      </c>
      <c r="G11" s="217" t="s">
        <v>157</v>
      </c>
      <c r="H11" s="805"/>
      <c r="I11" s="803"/>
      <c r="J11" s="805"/>
      <c r="K11" s="216" t="s">
        <v>158</v>
      </c>
      <c r="L11" s="809"/>
      <c r="M11" s="810"/>
      <c r="N11" s="810"/>
      <c r="O11" s="810"/>
      <c r="P11" s="810"/>
      <c r="Q11" s="811"/>
    </row>
    <row r="12" spans="1:17" ht="22.5" customHeight="1" x14ac:dyDescent="0.15">
      <c r="A12" s="131"/>
      <c r="B12" s="815" t="s">
        <v>1144</v>
      </c>
      <c r="C12" s="816"/>
      <c r="D12" s="219">
        <v>0</v>
      </c>
      <c r="E12" s="132">
        <f>13.05+10.16</f>
        <v>23.21</v>
      </c>
      <c r="F12" s="144">
        <v>0.5</v>
      </c>
      <c r="G12" s="144">
        <v>0</v>
      </c>
      <c r="H12" s="132">
        <v>1</v>
      </c>
      <c r="I12" s="132">
        <f>E12*F12</f>
        <v>11.605</v>
      </c>
      <c r="J12" s="144" t="s">
        <v>5</v>
      </c>
      <c r="K12" s="219">
        <f>I12*H12</f>
        <v>11.605</v>
      </c>
      <c r="L12" s="809"/>
      <c r="M12" s="810"/>
      <c r="N12" s="810"/>
      <c r="O12" s="810"/>
      <c r="P12" s="810"/>
      <c r="Q12" s="811"/>
    </row>
    <row r="13" spans="1:17" ht="22.5" customHeight="1" x14ac:dyDescent="0.15">
      <c r="A13" s="131"/>
      <c r="B13" s="815" t="s">
        <v>968</v>
      </c>
      <c r="C13" s="816"/>
      <c r="D13" s="219">
        <v>0</v>
      </c>
      <c r="E13" s="132">
        <v>10.039999999999999</v>
      </c>
      <c r="F13" s="144">
        <v>1.5</v>
      </c>
      <c r="G13" s="144">
        <v>0</v>
      </c>
      <c r="H13" s="132">
        <v>1</v>
      </c>
      <c r="I13" s="132">
        <f>E13*F13</f>
        <v>15.059999999999999</v>
      </c>
      <c r="J13" s="144" t="s">
        <v>5</v>
      </c>
      <c r="K13" s="219">
        <f>I13*H13</f>
        <v>15.059999999999999</v>
      </c>
      <c r="L13" s="809"/>
      <c r="M13" s="810"/>
      <c r="N13" s="810"/>
      <c r="O13" s="810"/>
      <c r="P13" s="810"/>
      <c r="Q13" s="811"/>
    </row>
    <row r="14" spans="1:17" ht="22.5" customHeight="1" x14ac:dyDescent="0.15">
      <c r="A14" s="795" t="s">
        <v>149</v>
      </c>
      <c r="B14" s="817"/>
      <c r="C14" s="817"/>
      <c r="D14" s="817"/>
      <c r="E14" s="817"/>
      <c r="F14" s="817"/>
      <c r="G14" s="817"/>
      <c r="H14" s="817"/>
      <c r="I14" s="817"/>
      <c r="J14" s="796"/>
      <c r="K14" s="416">
        <f>SUM(K12:K13)</f>
        <v>26.664999999999999</v>
      </c>
      <c r="L14" s="812"/>
      <c r="M14" s="813"/>
      <c r="N14" s="813"/>
      <c r="O14" s="813"/>
      <c r="P14" s="813"/>
      <c r="Q14" s="814"/>
    </row>
    <row r="15" spans="1:17" x14ac:dyDescent="0.15">
      <c r="A15" s="790"/>
      <c r="B15" s="791"/>
      <c r="C15" s="791"/>
      <c r="D15" s="791"/>
      <c r="E15" s="791"/>
      <c r="F15" s="791"/>
      <c r="G15" s="791"/>
      <c r="H15" s="791"/>
      <c r="I15" s="791"/>
      <c r="J15" s="791"/>
      <c r="K15" s="791"/>
      <c r="L15" s="791"/>
      <c r="M15" s="791"/>
      <c r="N15" s="791"/>
      <c r="O15" s="791"/>
      <c r="P15" s="791"/>
      <c r="Q15" s="792"/>
    </row>
    <row r="16" spans="1:17" s="121" customFormat="1" ht="18" customHeight="1" x14ac:dyDescent="0.15">
      <c r="A16" s="218" t="s">
        <v>0</v>
      </c>
      <c r="B16" s="793" t="s">
        <v>970</v>
      </c>
      <c r="C16" s="794"/>
      <c r="D16" s="794"/>
      <c r="E16" s="794"/>
      <c r="F16" s="794"/>
      <c r="G16" s="794"/>
      <c r="H16" s="794"/>
      <c r="I16" s="794"/>
      <c r="J16" s="794"/>
      <c r="K16" s="794"/>
      <c r="L16" s="794"/>
      <c r="M16" s="794"/>
      <c r="N16" s="821"/>
      <c r="O16" s="216" t="s">
        <v>73</v>
      </c>
      <c r="P16" s="795" t="s">
        <v>5</v>
      </c>
      <c r="Q16" s="796"/>
    </row>
    <row r="17" spans="1:17" x14ac:dyDescent="0.15">
      <c r="A17" s="790"/>
      <c r="B17" s="791"/>
      <c r="C17" s="791"/>
      <c r="D17" s="791"/>
      <c r="E17" s="791"/>
      <c r="F17" s="791"/>
      <c r="G17" s="791"/>
      <c r="H17" s="791"/>
      <c r="I17" s="791"/>
      <c r="J17" s="791"/>
      <c r="K17" s="791"/>
      <c r="L17" s="791"/>
      <c r="M17" s="791"/>
      <c r="N17" s="791"/>
      <c r="O17" s="791"/>
      <c r="P17" s="791"/>
      <c r="Q17" s="792"/>
    </row>
    <row r="18" spans="1:17" s="126" customFormat="1" x14ac:dyDescent="0.15">
      <c r="A18" s="822" t="s">
        <v>150</v>
      </c>
      <c r="B18" s="823" t="s">
        <v>151</v>
      </c>
      <c r="C18" s="823"/>
      <c r="D18" s="802" t="s">
        <v>658</v>
      </c>
      <c r="E18" s="823" t="s">
        <v>152</v>
      </c>
      <c r="F18" s="823"/>
      <c r="G18" s="823"/>
      <c r="H18" s="804" t="s">
        <v>153</v>
      </c>
      <c r="I18" s="802" t="s">
        <v>159</v>
      </c>
      <c r="J18" s="804" t="s">
        <v>73</v>
      </c>
      <c r="K18" s="216" t="s">
        <v>154</v>
      </c>
      <c r="L18" s="806"/>
      <c r="M18" s="807"/>
      <c r="N18" s="807"/>
      <c r="O18" s="807"/>
      <c r="P18" s="807"/>
      <c r="Q18" s="808"/>
    </row>
    <row r="19" spans="1:17" s="130" customFormat="1" x14ac:dyDescent="0.15">
      <c r="A19" s="822"/>
      <c r="B19" s="823"/>
      <c r="C19" s="823"/>
      <c r="D19" s="803"/>
      <c r="E19" s="217" t="s">
        <v>155</v>
      </c>
      <c r="F19" s="217" t="s">
        <v>156</v>
      </c>
      <c r="G19" s="217" t="s">
        <v>157</v>
      </c>
      <c r="H19" s="805"/>
      <c r="I19" s="803"/>
      <c r="J19" s="805"/>
      <c r="K19" s="216" t="s">
        <v>158</v>
      </c>
      <c r="L19" s="809"/>
      <c r="M19" s="810"/>
      <c r="N19" s="810"/>
      <c r="O19" s="810"/>
      <c r="P19" s="810"/>
      <c r="Q19" s="811"/>
    </row>
    <row r="20" spans="1:17" ht="22.5" customHeight="1" x14ac:dyDescent="0.15">
      <c r="A20" s="131"/>
      <c r="B20" s="815" t="s">
        <v>1059</v>
      </c>
      <c r="C20" s="816"/>
      <c r="D20" s="219">
        <v>105.9</v>
      </c>
      <c r="E20" s="132">
        <v>0</v>
      </c>
      <c r="F20" s="144">
        <v>0</v>
      </c>
      <c r="G20" s="144">
        <v>0</v>
      </c>
      <c r="H20" s="132">
        <v>1</v>
      </c>
      <c r="I20" s="132">
        <f>D20</f>
        <v>105.9</v>
      </c>
      <c r="J20" s="144" t="s">
        <v>5</v>
      </c>
      <c r="K20" s="219">
        <f>I20*H20</f>
        <v>105.9</v>
      </c>
      <c r="L20" s="809"/>
      <c r="M20" s="810"/>
      <c r="N20" s="810"/>
      <c r="O20" s="810"/>
      <c r="P20" s="810"/>
      <c r="Q20" s="811"/>
    </row>
    <row r="21" spans="1:17" ht="22.5" customHeight="1" x14ac:dyDescent="0.15">
      <c r="A21" s="795" t="s">
        <v>149</v>
      </c>
      <c r="B21" s="817"/>
      <c r="C21" s="817"/>
      <c r="D21" s="817"/>
      <c r="E21" s="817"/>
      <c r="F21" s="817"/>
      <c r="G21" s="817"/>
      <c r="H21" s="817"/>
      <c r="I21" s="817"/>
      <c r="J21" s="796"/>
      <c r="K21" s="416">
        <f>SUM(K20:K20)</f>
        <v>105.9</v>
      </c>
      <c r="L21" s="812"/>
      <c r="M21" s="813"/>
      <c r="N21" s="813"/>
      <c r="O21" s="813"/>
      <c r="P21" s="813"/>
      <c r="Q21" s="814"/>
    </row>
    <row r="22" spans="1:17" x14ac:dyDescent="0.15">
      <c r="A22" s="790"/>
      <c r="B22" s="791"/>
      <c r="C22" s="791"/>
      <c r="D22" s="791"/>
      <c r="E22" s="791"/>
      <c r="F22" s="791"/>
      <c r="G22" s="791"/>
      <c r="H22" s="791"/>
      <c r="I22" s="791"/>
      <c r="J22" s="791"/>
      <c r="K22" s="791"/>
      <c r="L22" s="791"/>
      <c r="M22" s="791"/>
      <c r="N22" s="791"/>
      <c r="O22" s="791"/>
      <c r="P22" s="791"/>
      <c r="Q22" s="792"/>
    </row>
    <row r="23" spans="1:17" s="121" customFormat="1" ht="18" customHeight="1" x14ac:dyDescent="0.15">
      <c r="A23" s="218" t="s">
        <v>0</v>
      </c>
      <c r="B23" s="793" t="s">
        <v>971</v>
      </c>
      <c r="C23" s="794"/>
      <c r="D23" s="794"/>
      <c r="E23" s="794"/>
      <c r="F23" s="794"/>
      <c r="G23" s="794"/>
      <c r="H23" s="794"/>
      <c r="I23" s="794"/>
      <c r="J23" s="794"/>
      <c r="K23" s="794"/>
      <c r="L23" s="794"/>
      <c r="M23" s="794"/>
      <c r="N23" s="821"/>
      <c r="O23" s="216" t="s">
        <v>73</v>
      </c>
      <c r="P23" s="795" t="s">
        <v>5</v>
      </c>
      <c r="Q23" s="796"/>
    </row>
    <row r="24" spans="1:17" x14ac:dyDescent="0.15">
      <c r="A24" s="790"/>
      <c r="B24" s="791"/>
      <c r="C24" s="791"/>
      <c r="D24" s="791"/>
      <c r="E24" s="791"/>
      <c r="F24" s="791"/>
      <c r="G24" s="791"/>
      <c r="H24" s="791"/>
      <c r="I24" s="791"/>
      <c r="J24" s="791"/>
      <c r="K24" s="791"/>
      <c r="L24" s="791"/>
      <c r="M24" s="791"/>
      <c r="N24" s="791"/>
      <c r="O24" s="791"/>
      <c r="P24" s="791"/>
      <c r="Q24" s="792"/>
    </row>
    <row r="25" spans="1:17" s="126" customFormat="1" x14ac:dyDescent="0.15">
      <c r="A25" s="822" t="s">
        <v>150</v>
      </c>
      <c r="B25" s="823" t="s">
        <v>151</v>
      </c>
      <c r="C25" s="823"/>
      <c r="D25" s="802" t="s">
        <v>658</v>
      </c>
      <c r="E25" s="823" t="s">
        <v>152</v>
      </c>
      <c r="F25" s="823"/>
      <c r="G25" s="823"/>
      <c r="H25" s="804" t="s">
        <v>153</v>
      </c>
      <c r="I25" s="802" t="s">
        <v>159</v>
      </c>
      <c r="J25" s="804" t="s">
        <v>73</v>
      </c>
      <c r="K25" s="216" t="s">
        <v>154</v>
      </c>
      <c r="L25" s="806"/>
      <c r="M25" s="807"/>
      <c r="N25" s="807"/>
      <c r="O25" s="807"/>
      <c r="P25" s="807"/>
      <c r="Q25" s="808"/>
    </row>
    <row r="26" spans="1:17" s="130" customFormat="1" x14ac:dyDescent="0.15">
      <c r="A26" s="822"/>
      <c r="B26" s="823"/>
      <c r="C26" s="823"/>
      <c r="D26" s="803"/>
      <c r="E26" s="217" t="s">
        <v>155</v>
      </c>
      <c r="F26" s="217" t="s">
        <v>156</v>
      </c>
      <c r="G26" s="217" t="s">
        <v>157</v>
      </c>
      <c r="H26" s="805"/>
      <c r="I26" s="803"/>
      <c r="J26" s="805"/>
      <c r="K26" s="216" t="s">
        <v>158</v>
      </c>
      <c r="L26" s="809"/>
      <c r="M26" s="810"/>
      <c r="N26" s="810"/>
      <c r="O26" s="810"/>
      <c r="P26" s="810"/>
      <c r="Q26" s="811"/>
    </row>
    <row r="27" spans="1:17" ht="22.5" customHeight="1" x14ac:dyDescent="0.15">
      <c r="A27" s="131"/>
      <c r="B27" s="815" t="s">
        <v>972</v>
      </c>
      <c r="C27" s="816"/>
      <c r="D27" s="219">
        <f>66.18+5</f>
        <v>71.180000000000007</v>
      </c>
      <c r="E27" s="132">
        <v>0</v>
      </c>
      <c r="F27" s="144">
        <v>0</v>
      </c>
      <c r="G27" s="144">
        <v>0.03</v>
      </c>
      <c r="H27" s="132">
        <v>1</v>
      </c>
      <c r="I27" s="132">
        <f>D27</f>
        <v>71.180000000000007</v>
      </c>
      <c r="J27" s="144" t="s">
        <v>5</v>
      </c>
      <c r="K27" s="219">
        <f>I27*H27</f>
        <v>71.180000000000007</v>
      </c>
      <c r="L27" s="809"/>
      <c r="M27" s="810"/>
      <c r="N27" s="810"/>
      <c r="O27" s="810"/>
      <c r="P27" s="810"/>
      <c r="Q27" s="811"/>
    </row>
    <row r="28" spans="1:17" ht="22.5" customHeight="1" x14ac:dyDescent="0.15">
      <c r="A28" s="795" t="s">
        <v>149</v>
      </c>
      <c r="B28" s="817"/>
      <c r="C28" s="817"/>
      <c r="D28" s="817"/>
      <c r="E28" s="817"/>
      <c r="F28" s="817"/>
      <c r="G28" s="817"/>
      <c r="H28" s="817"/>
      <c r="I28" s="817"/>
      <c r="J28" s="796"/>
      <c r="K28" s="416">
        <f>SUM(K27:K27)</f>
        <v>71.180000000000007</v>
      </c>
      <c r="L28" s="812"/>
      <c r="M28" s="813"/>
      <c r="N28" s="813"/>
      <c r="O28" s="813"/>
      <c r="P28" s="813"/>
      <c r="Q28" s="814"/>
    </row>
    <row r="29" spans="1:17" x14ac:dyDescent="0.15">
      <c r="A29" s="790"/>
      <c r="B29" s="791"/>
      <c r="C29" s="791"/>
      <c r="D29" s="791"/>
      <c r="E29" s="791"/>
      <c r="F29" s="791"/>
      <c r="G29" s="791"/>
      <c r="H29" s="791"/>
      <c r="I29" s="791"/>
      <c r="J29" s="791"/>
      <c r="K29" s="791"/>
      <c r="L29" s="791"/>
      <c r="M29" s="791"/>
      <c r="N29" s="791"/>
      <c r="O29" s="791"/>
      <c r="P29" s="791"/>
      <c r="Q29" s="792"/>
    </row>
    <row r="30" spans="1:17" s="121" customFormat="1" ht="18" customHeight="1" x14ac:dyDescent="0.15">
      <c r="A30" s="218" t="s">
        <v>0</v>
      </c>
      <c r="B30" s="793" t="s">
        <v>973</v>
      </c>
      <c r="C30" s="794"/>
      <c r="D30" s="794"/>
      <c r="E30" s="794"/>
      <c r="F30" s="794"/>
      <c r="G30" s="794"/>
      <c r="H30" s="794"/>
      <c r="I30" s="794"/>
      <c r="J30" s="794"/>
      <c r="K30" s="794"/>
      <c r="L30" s="794"/>
      <c r="M30" s="794"/>
      <c r="N30" s="821"/>
      <c r="O30" s="216" t="s">
        <v>73</v>
      </c>
      <c r="P30" s="795" t="s">
        <v>193</v>
      </c>
      <c r="Q30" s="796"/>
    </row>
    <row r="31" spans="1:17" x14ac:dyDescent="0.15">
      <c r="A31" s="790"/>
      <c r="B31" s="791"/>
      <c r="C31" s="791"/>
      <c r="D31" s="791"/>
      <c r="E31" s="791"/>
      <c r="F31" s="791"/>
      <c r="G31" s="791"/>
      <c r="H31" s="791"/>
      <c r="I31" s="791"/>
      <c r="J31" s="791"/>
      <c r="K31" s="791"/>
      <c r="L31" s="791"/>
      <c r="M31" s="791"/>
      <c r="N31" s="791"/>
      <c r="O31" s="791"/>
      <c r="P31" s="791"/>
      <c r="Q31" s="792"/>
    </row>
    <row r="32" spans="1:17" s="126" customFormat="1" x14ac:dyDescent="0.15">
      <c r="A32" s="822" t="s">
        <v>150</v>
      </c>
      <c r="B32" s="823" t="s">
        <v>151</v>
      </c>
      <c r="C32" s="823"/>
      <c r="D32" s="802" t="s">
        <v>658</v>
      </c>
      <c r="E32" s="823" t="s">
        <v>152</v>
      </c>
      <c r="F32" s="823"/>
      <c r="G32" s="823"/>
      <c r="H32" s="804" t="s">
        <v>153</v>
      </c>
      <c r="I32" s="802" t="s">
        <v>242</v>
      </c>
      <c r="J32" s="804" t="s">
        <v>73</v>
      </c>
      <c r="K32" s="216" t="s">
        <v>154</v>
      </c>
      <c r="L32" s="806"/>
      <c r="M32" s="807"/>
      <c r="N32" s="807"/>
      <c r="O32" s="807"/>
      <c r="P32" s="807"/>
      <c r="Q32" s="808"/>
    </row>
    <row r="33" spans="1:17" s="130" customFormat="1" x14ac:dyDescent="0.15">
      <c r="A33" s="822"/>
      <c r="B33" s="823"/>
      <c r="C33" s="823"/>
      <c r="D33" s="803"/>
      <c r="E33" s="217" t="s">
        <v>155</v>
      </c>
      <c r="F33" s="217" t="s">
        <v>156</v>
      </c>
      <c r="G33" s="217" t="s">
        <v>157</v>
      </c>
      <c r="H33" s="805"/>
      <c r="I33" s="803"/>
      <c r="J33" s="805"/>
      <c r="K33" s="216" t="s">
        <v>158</v>
      </c>
      <c r="L33" s="809"/>
      <c r="M33" s="810"/>
      <c r="N33" s="810"/>
      <c r="O33" s="810"/>
      <c r="P33" s="810"/>
      <c r="Q33" s="811"/>
    </row>
    <row r="34" spans="1:17" ht="22.5" customHeight="1" x14ac:dyDescent="0.15">
      <c r="A34" s="131"/>
      <c r="B34" s="815" t="s">
        <v>974</v>
      </c>
      <c r="C34" s="816"/>
      <c r="D34" s="219">
        <v>0</v>
      </c>
      <c r="E34" s="132">
        <v>11.2</v>
      </c>
      <c r="F34" s="144">
        <v>0</v>
      </c>
      <c r="G34" s="144">
        <v>0</v>
      </c>
      <c r="H34" s="132">
        <v>11</v>
      </c>
      <c r="I34" s="132">
        <f>E34</f>
        <v>11.2</v>
      </c>
      <c r="J34" s="144" t="s">
        <v>193</v>
      </c>
      <c r="K34" s="219">
        <f>I34*H34</f>
        <v>123.19999999999999</v>
      </c>
      <c r="L34" s="809"/>
      <c r="M34" s="810"/>
      <c r="N34" s="810"/>
      <c r="O34" s="810"/>
      <c r="P34" s="810"/>
      <c r="Q34" s="811"/>
    </row>
    <row r="35" spans="1:17" ht="22.5" customHeight="1" x14ac:dyDescent="0.15">
      <c r="A35" s="795" t="s">
        <v>149</v>
      </c>
      <c r="B35" s="817"/>
      <c r="C35" s="817"/>
      <c r="D35" s="817"/>
      <c r="E35" s="817"/>
      <c r="F35" s="817"/>
      <c r="G35" s="817"/>
      <c r="H35" s="817"/>
      <c r="I35" s="817"/>
      <c r="J35" s="796"/>
      <c r="K35" s="416">
        <f>SUM(K34:K34)</f>
        <v>123.19999999999999</v>
      </c>
      <c r="L35" s="812"/>
      <c r="M35" s="813"/>
      <c r="N35" s="813"/>
      <c r="O35" s="813"/>
      <c r="P35" s="813"/>
      <c r="Q35" s="814"/>
    </row>
    <row r="36" spans="1:17" x14ac:dyDescent="0.15">
      <c r="A36" s="790"/>
      <c r="B36" s="791"/>
      <c r="C36" s="791"/>
      <c r="D36" s="791"/>
      <c r="E36" s="791"/>
      <c r="F36" s="791"/>
      <c r="G36" s="791"/>
      <c r="H36" s="791"/>
      <c r="I36" s="791"/>
      <c r="J36" s="791"/>
      <c r="K36" s="791"/>
      <c r="L36" s="791"/>
      <c r="M36" s="791"/>
      <c r="N36" s="791"/>
      <c r="O36" s="791"/>
      <c r="P36" s="791"/>
      <c r="Q36" s="792"/>
    </row>
    <row r="37" spans="1:17" s="121" customFormat="1" ht="18" customHeight="1" x14ac:dyDescent="0.15">
      <c r="A37" s="218" t="s">
        <v>0</v>
      </c>
      <c r="B37" s="793" t="s">
        <v>977</v>
      </c>
      <c r="C37" s="794"/>
      <c r="D37" s="794"/>
      <c r="E37" s="794"/>
      <c r="F37" s="794"/>
      <c r="G37" s="794"/>
      <c r="H37" s="794"/>
      <c r="I37" s="794"/>
      <c r="J37" s="794"/>
      <c r="K37" s="794"/>
      <c r="L37" s="794"/>
      <c r="M37" s="794"/>
      <c r="N37" s="821"/>
      <c r="O37" s="216" t="s">
        <v>73</v>
      </c>
      <c r="P37" s="795" t="s">
        <v>19</v>
      </c>
      <c r="Q37" s="796"/>
    </row>
    <row r="38" spans="1:17" x14ac:dyDescent="0.15">
      <c r="A38" s="790"/>
      <c r="B38" s="791"/>
      <c r="C38" s="791"/>
      <c r="D38" s="791"/>
      <c r="E38" s="791"/>
      <c r="F38" s="791"/>
      <c r="G38" s="791"/>
      <c r="H38" s="791"/>
      <c r="I38" s="791"/>
      <c r="J38" s="791"/>
      <c r="K38" s="791"/>
      <c r="L38" s="791"/>
      <c r="M38" s="791"/>
      <c r="N38" s="791"/>
      <c r="O38" s="791"/>
      <c r="P38" s="791"/>
      <c r="Q38" s="792"/>
    </row>
    <row r="39" spans="1:17" s="126" customFormat="1" x14ac:dyDescent="0.15">
      <c r="A39" s="822" t="s">
        <v>150</v>
      </c>
      <c r="B39" s="823" t="s">
        <v>151</v>
      </c>
      <c r="C39" s="823"/>
      <c r="D39" s="802" t="s">
        <v>658</v>
      </c>
      <c r="E39" s="823" t="s">
        <v>152</v>
      </c>
      <c r="F39" s="823"/>
      <c r="G39" s="823"/>
      <c r="H39" s="804" t="s">
        <v>153</v>
      </c>
      <c r="I39" s="802" t="s">
        <v>976</v>
      </c>
      <c r="J39" s="804" t="s">
        <v>73</v>
      </c>
      <c r="K39" s="216" t="s">
        <v>154</v>
      </c>
      <c r="L39" s="806"/>
      <c r="M39" s="807"/>
      <c r="N39" s="807"/>
      <c r="O39" s="807"/>
      <c r="P39" s="807"/>
      <c r="Q39" s="808"/>
    </row>
    <row r="40" spans="1:17" s="130" customFormat="1" x14ac:dyDescent="0.15">
      <c r="A40" s="822"/>
      <c r="B40" s="823"/>
      <c r="C40" s="823"/>
      <c r="D40" s="803"/>
      <c r="E40" s="217" t="s">
        <v>155</v>
      </c>
      <c r="F40" s="217" t="s">
        <v>156</v>
      </c>
      <c r="G40" s="217" t="s">
        <v>157</v>
      </c>
      <c r="H40" s="805"/>
      <c r="I40" s="803"/>
      <c r="J40" s="805"/>
      <c r="K40" s="216" t="s">
        <v>158</v>
      </c>
      <c r="L40" s="809"/>
      <c r="M40" s="810"/>
      <c r="N40" s="810"/>
      <c r="O40" s="810"/>
      <c r="P40" s="810"/>
      <c r="Q40" s="811"/>
    </row>
    <row r="41" spans="1:17" ht="22.5" customHeight="1" x14ac:dyDescent="0.15">
      <c r="A41" s="131"/>
      <c r="B41" s="815" t="s">
        <v>975</v>
      </c>
      <c r="C41" s="816"/>
      <c r="D41" s="219">
        <v>0</v>
      </c>
      <c r="E41" s="132">
        <v>0</v>
      </c>
      <c r="F41" s="144">
        <v>0</v>
      </c>
      <c r="G41" s="144">
        <v>0</v>
      </c>
      <c r="H41" s="132">
        <v>1</v>
      </c>
      <c r="I41" s="132">
        <v>1</v>
      </c>
      <c r="J41" s="144" t="s">
        <v>19</v>
      </c>
      <c r="K41" s="219">
        <f>I41*H41</f>
        <v>1</v>
      </c>
      <c r="L41" s="809"/>
      <c r="M41" s="810"/>
      <c r="N41" s="810"/>
      <c r="O41" s="810"/>
      <c r="P41" s="810"/>
      <c r="Q41" s="811"/>
    </row>
    <row r="42" spans="1:17" ht="22.5" customHeight="1" x14ac:dyDescent="0.15">
      <c r="A42" s="795" t="s">
        <v>149</v>
      </c>
      <c r="B42" s="817"/>
      <c r="C42" s="817"/>
      <c r="D42" s="817"/>
      <c r="E42" s="817"/>
      <c r="F42" s="817"/>
      <c r="G42" s="817"/>
      <c r="H42" s="817"/>
      <c r="I42" s="817"/>
      <c r="J42" s="796"/>
      <c r="K42" s="416">
        <f>SUM(K41:K41)</f>
        <v>1</v>
      </c>
      <c r="L42" s="812"/>
      <c r="M42" s="813"/>
      <c r="N42" s="813"/>
      <c r="O42" s="813"/>
      <c r="P42" s="813"/>
      <c r="Q42" s="814"/>
    </row>
    <row r="43" spans="1:17" x14ac:dyDescent="0.15">
      <c r="A43" s="790"/>
      <c r="B43" s="791"/>
      <c r="C43" s="791"/>
      <c r="D43" s="791"/>
      <c r="E43" s="791"/>
      <c r="F43" s="791"/>
      <c r="G43" s="791"/>
      <c r="H43" s="791"/>
      <c r="I43" s="791"/>
      <c r="J43" s="791"/>
      <c r="K43" s="791"/>
      <c r="L43" s="791"/>
      <c r="M43" s="791"/>
      <c r="N43" s="791"/>
      <c r="O43" s="791"/>
      <c r="P43" s="791"/>
      <c r="Q43" s="792"/>
    </row>
    <row r="44" spans="1:17" s="121" customFormat="1" ht="18" customHeight="1" x14ac:dyDescent="0.15">
      <c r="A44" s="218" t="s">
        <v>0</v>
      </c>
      <c r="B44" s="793" t="s">
        <v>995</v>
      </c>
      <c r="C44" s="794"/>
      <c r="D44" s="794"/>
      <c r="E44" s="794"/>
      <c r="F44" s="794"/>
      <c r="G44" s="794"/>
      <c r="H44" s="794"/>
      <c r="I44" s="794"/>
      <c r="J44" s="794"/>
      <c r="K44" s="794"/>
      <c r="L44" s="794"/>
      <c r="M44" s="794"/>
      <c r="N44" s="821"/>
      <c r="O44" s="216" t="s">
        <v>73</v>
      </c>
      <c r="P44" s="795" t="s">
        <v>5</v>
      </c>
      <c r="Q44" s="796"/>
    </row>
    <row r="45" spans="1:17" x14ac:dyDescent="0.15">
      <c r="A45" s="790"/>
      <c r="B45" s="791"/>
      <c r="C45" s="791"/>
      <c r="D45" s="791"/>
      <c r="E45" s="791"/>
      <c r="F45" s="791"/>
      <c r="G45" s="791"/>
      <c r="H45" s="791"/>
      <c r="I45" s="791"/>
      <c r="J45" s="791"/>
      <c r="K45" s="791"/>
      <c r="L45" s="791"/>
      <c r="M45" s="791"/>
      <c r="N45" s="791"/>
      <c r="O45" s="791"/>
      <c r="P45" s="791"/>
      <c r="Q45" s="792"/>
    </row>
    <row r="46" spans="1:17" s="126" customFormat="1" x14ac:dyDescent="0.15">
      <c r="A46" s="822" t="s">
        <v>150</v>
      </c>
      <c r="B46" s="823" t="s">
        <v>151</v>
      </c>
      <c r="C46" s="823"/>
      <c r="D46" s="802" t="s">
        <v>658</v>
      </c>
      <c r="E46" s="823" t="s">
        <v>152</v>
      </c>
      <c r="F46" s="823"/>
      <c r="G46" s="823"/>
      <c r="H46" s="804" t="s">
        <v>153</v>
      </c>
      <c r="I46" s="802" t="s">
        <v>159</v>
      </c>
      <c r="J46" s="804" t="s">
        <v>73</v>
      </c>
      <c r="K46" s="216" t="s">
        <v>154</v>
      </c>
      <c r="L46" s="806"/>
      <c r="M46" s="807"/>
      <c r="N46" s="807"/>
      <c r="O46" s="807"/>
      <c r="P46" s="807"/>
      <c r="Q46" s="808"/>
    </row>
    <row r="47" spans="1:17" s="130" customFormat="1" x14ac:dyDescent="0.15">
      <c r="A47" s="822"/>
      <c r="B47" s="823"/>
      <c r="C47" s="823"/>
      <c r="D47" s="803"/>
      <c r="E47" s="217" t="s">
        <v>155</v>
      </c>
      <c r="F47" s="217" t="s">
        <v>156</v>
      </c>
      <c r="G47" s="217" t="s">
        <v>157</v>
      </c>
      <c r="H47" s="805"/>
      <c r="I47" s="803"/>
      <c r="J47" s="805"/>
      <c r="K47" s="216" t="s">
        <v>158</v>
      </c>
      <c r="L47" s="809"/>
      <c r="M47" s="810"/>
      <c r="N47" s="810"/>
      <c r="O47" s="810"/>
      <c r="P47" s="810"/>
      <c r="Q47" s="811"/>
    </row>
    <row r="48" spans="1:17" ht="22.5" customHeight="1" x14ac:dyDescent="0.15">
      <c r="A48" s="131"/>
      <c r="B48" s="815" t="s">
        <v>1558</v>
      </c>
      <c r="C48" s="816"/>
      <c r="D48" s="219">
        <f>119.6*2</f>
        <v>239.2</v>
      </c>
      <c r="E48" s="132">
        <v>0</v>
      </c>
      <c r="F48" s="144">
        <v>0</v>
      </c>
      <c r="G48" s="144">
        <v>5.0000000000000001E-3</v>
      </c>
      <c r="H48" s="132">
        <v>1</v>
      </c>
      <c r="I48" s="132">
        <f>D48</f>
        <v>239.2</v>
      </c>
      <c r="J48" s="144" t="s">
        <v>5</v>
      </c>
      <c r="K48" s="219">
        <f>I48*H48</f>
        <v>239.2</v>
      </c>
      <c r="L48" s="809"/>
      <c r="M48" s="810"/>
      <c r="N48" s="810"/>
      <c r="O48" s="810"/>
      <c r="P48" s="810"/>
      <c r="Q48" s="811"/>
    </row>
    <row r="49" spans="1:17" ht="22.5" customHeight="1" x14ac:dyDescent="0.15">
      <c r="A49" s="795" t="s">
        <v>149</v>
      </c>
      <c r="B49" s="817"/>
      <c r="C49" s="817"/>
      <c r="D49" s="817"/>
      <c r="E49" s="817"/>
      <c r="F49" s="817"/>
      <c r="G49" s="817"/>
      <c r="H49" s="817"/>
      <c r="I49" s="817"/>
      <c r="J49" s="796"/>
      <c r="K49" s="416">
        <f>SUM(K48:K48)</f>
        <v>239.2</v>
      </c>
      <c r="L49" s="812"/>
      <c r="M49" s="813"/>
      <c r="N49" s="813"/>
      <c r="O49" s="813"/>
      <c r="P49" s="813"/>
      <c r="Q49" s="814"/>
    </row>
    <row r="50" spans="1:17" x14ac:dyDescent="0.15">
      <c r="A50" s="790"/>
      <c r="B50" s="791"/>
      <c r="C50" s="791"/>
      <c r="D50" s="791"/>
      <c r="E50" s="791"/>
      <c r="F50" s="791"/>
      <c r="G50" s="791"/>
      <c r="H50" s="791"/>
      <c r="I50" s="791"/>
      <c r="J50" s="791"/>
      <c r="K50" s="791"/>
      <c r="L50" s="791"/>
      <c r="M50" s="791"/>
      <c r="N50" s="791"/>
      <c r="O50" s="791"/>
      <c r="P50" s="791"/>
      <c r="Q50" s="792"/>
    </row>
    <row r="51" spans="1:17" s="121" customFormat="1" ht="18" customHeight="1" x14ac:dyDescent="0.15">
      <c r="A51" s="218" t="s">
        <v>0</v>
      </c>
      <c r="B51" s="793" t="s">
        <v>1145</v>
      </c>
      <c r="C51" s="794"/>
      <c r="D51" s="794"/>
      <c r="E51" s="794"/>
      <c r="F51" s="794"/>
      <c r="G51" s="794"/>
      <c r="H51" s="794"/>
      <c r="I51" s="794"/>
      <c r="J51" s="794"/>
      <c r="K51" s="794"/>
      <c r="L51" s="794"/>
      <c r="M51" s="794"/>
      <c r="N51" s="821"/>
      <c r="O51" s="216" t="s">
        <v>73</v>
      </c>
      <c r="P51" s="795" t="s">
        <v>5</v>
      </c>
      <c r="Q51" s="796"/>
    </row>
    <row r="52" spans="1:17" x14ac:dyDescent="0.15">
      <c r="A52" s="790"/>
      <c r="B52" s="791"/>
      <c r="C52" s="791"/>
      <c r="D52" s="791"/>
      <c r="E52" s="791"/>
      <c r="F52" s="791"/>
      <c r="G52" s="791"/>
      <c r="H52" s="791"/>
      <c r="I52" s="791"/>
      <c r="J52" s="791"/>
      <c r="K52" s="791"/>
      <c r="L52" s="791"/>
      <c r="M52" s="791"/>
      <c r="N52" s="791"/>
      <c r="O52" s="791"/>
      <c r="P52" s="791"/>
      <c r="Q52" s="792"/>
    </row>
    <row r="53" spans="1:17" s="126" customFormat="1" x14ac:dyDescent="0.15">
      <c r="A53" s="822" t="s">
        <v>150</v>
      </c>
      <c r="B53" s="823" t="s">
        <v>151</v>
      </c>
      <c r="C53" s="823"/>
      <c r="D53" s="802" t="s">
        <v>658</v>
      </c>
      <c r="E53" s="823" t="s">
        <v>152</v>
      </c>
      <c r="F53" s="823"/>
      <c r="G53" s="823"/>
      <c r="H53" s="804" t="s">
        <v>153</v>
      </c>
      <c r="I53" s="802" t="s">
        <v>159</v>
      </c>
      <c r="J53" s="804" t="s">
        <v>73</v>
      </c>
      <c r="K53" s="216" t="s">
        <v>154</v>
      </c>
      <c r="L53" s="806"/>
      <c r="M53" s="807"/>
      <c r="N53" s="807"/>
      <c r="O53" s="807"/>
      <c r="P53" s="807"/>
      <c r="Q53" s="808"/>
    </row>
    <row r="54" spans="1:17" s="130" customFormat="1" x14ac:dyDescent="0.15">
      <c r="A54" s="822"/>
      <c r="B54" s="823"/>
      <c r="C54" s="823"/>
      <c r="D54" s="803"/>
      <c r="E54" s="217" t="s">
        <v>155</v>
      </c>
      <c r="F54" s="217" t="s">
        <v>156</v>
      </c>
      <c r="G54" s="217" t="s">
        <v>157</v>
      </c>
      <c r="H54" s="805"/>
      <c r="I54" s="803"/>
      <c r="J54" s="805"/>
      <c r="K54" s="216" t="s">
        <v>158</v>
      </c>
      <c r="L54" s="809"/>
      <c r="M54" s="810"/>
      <c r="N54" s="810"/>
      <c r="O54" s="810"/>
      <c r="P54" s="810"/>
      <c r="Q54" s="811"/>
    </row>
    <row r="55" spans="1:17" ht="22.5" customHeight="1" x14ac:dyDescent="0.15">
      <c r="A55" s="131"/>
      <c r="B55" s="815" t="s">
        <v>1559</v>
      </c>
      <c r="C55" s="816"/>
      <c r="D55" s="219">
        <v>0</v>
      </c>
      <c r="E55" s="132">
        <f>12.08+10.16</f>
        <v>22.240000000000002</v>
      </c>
      <c r="F55" s="144">
        <v>0</v>
      </c>
      <c r="G55" s="144">
        <v>2.5</v>
      </c>
      <c r="H55" s="132">
        <v>1</v>
      </c>
      <c r="I55" s="132">
        <f>E55*G55</f>
        <v>55.600000000000009</v>
      </c>
      <c r="J55" s="144" t="s">
        <v>5</v>
      </c>
      <c r="K55" s="219">
        <f>I55*H55</f>
        <v>55.600000000000009</v>
      </c>
      <c r="L55" s="809"/>
      <c r="M55" s="810"/>
      <c r="N55" s="810"/>
      <c r="O55" s="810"/>
      <c r="P55" s="810"/>
      <c r="Q55" s="811"/>
    </row>
    <row r="56" spans="1:17" ht="22.5" customHeight="1" x14ac:dyDescent="0.15">
      <c r="A56" s="795" t="s">
        <v>149</v>
      </c>
      <c r="B56" s="817"/>
      <c r="C56" s="817"/>
      <c r="D56" s="817"/>
      <c r="E56" s="817"/>
      <c r="F56" s="817"/>
      <c r="G56" s="817"/>
      <c r="H56" s="817"/>
      <c r="I56" s="817"/>
      <c r="J56" s="796"/>
      <c r="K56" s="416">
        <f>SUM(K55:K55)</f>
        <v>55.600000000000009</v>
      </c>
      <c r="L56" s="812"/>
      <c r="M56" s="813"/>
      <c r="N56" s="813"/>
      <c r="O56" s="813"/>
      <c r="P56" s="813"/>
      <c r="Q56" s="814"/>
    </row>
    <row r="57" spans="1:17" x14ac:dyDescent="0.15">
      <c r="A57" s="790"/>
      <c r="B57" s="791"/>
      <c r="C57" s="791"/>
      <c r="D57" s="791"/>
      <c r="E57" s="791"/>
      <c r="F57" s="791"/>
      <c r="G57" s="791"/>
      <c r="H57" s="791"/>
      <c r="I57" s="791"/>
      <c r="J57" s="791"/>
      <c r="K57" s="791"/>
      <c r="L57" s="791"/>
      <c r="M57" s="791"/>
      <c r="N57" s="791"/>
      <c r="O57" s="791"/>
      <c r="P57" s="791"/>
      <c r="Q57" s="792"/>
    </row>
    <row r="58" spans="1:17" s="121" customFormat="1" ht="18" customHeight="1" x14ac:dyDescent="0.15">
      <c r="A58" s="218" t="s">
        <v>0</v>
      </c>
      <c r="B58" s="827" t="s">
        <v>1532</v>
      </c>
      <c r="C58" s="828"/>
      <c r="D58" s="828"/>
      <c r="E58" s="828"/>
      <c r="F58" s="828"/>
      <c r="G58" s="828"/>
      <c r="H58" s="828"/>
      <c r="I58" s="828"/>
      <c r="J58" s="828"/>
      <c r="K58" s="828"/>
      <c r="L58" s="828"/>
      <c r="M58" s="828"/>
      <c r="N58" s="829"/>
      <c r="O58" s="216" t="s">
        <v>73</v>
      </c>
      <c r="P58" s="795" t="s">
        <v>6</v>
      </c>
      <c r="Q58" s="796"/>
    </row>
    <row r="59" spans="1:17" x14ac:dyDescent="0.15">
      <c r="A59" s="790"/>
      <c r="B59" s="791"/>
      <c r="C59" s="791"/>
      <c r="D59" s="791"/>
      <c r="E59" s="791"/>
      <c r="F59" s="791"/>
      <c r="G59" s="791"/>
      <c r="H59" s="791"/>
      <c r="I59" s="791"/>
      <c r="J59" s="791"/>
      <c r="K59" s="791"/>
      <c r="L59" s="791"/>
      <c r="M59" s="791"/>
      <c r="N59" s="791"/>
      <c r="O59" s="791"/>
      <c r="P59" s="791"/>
      <c r="Q59" s="792"/>
    </row>
    <row r="60" spans="1:17" s="126" customFormat="1" x14ac:dyDescent="0.15">
      <c r="A60" s="822" t="s">
        <v>150</v>
      </c>
      <c r="B60" s="823" t="s">
        <v>151</v>
      </c>
      <c r="C60" s="823"/>
      <c r="D60" s="802" t="s">
        <v>493</v>
      </c>
      <c r="E60" s="823" t="s">
        <v>152</v>
      </c>
      <c r="F60" s="823"/>
      <c r="G60" s="823"/>
      <c r="H60" s="804" t="s">
        <v>153</v>
      </c>
      <c r="I60" s="802" t="s">
        <v>160</v>
      </c>
      <c r="J60" s="804" t="s">
        <v>73</v>
      </c>
      <c r="K60" s="216" t="s">
        <v>154</v>
      </c>
      <c r="L60" s="806"/>
      <c r="M60" s="807"/>
      <c r="N60" s="807"/>
      <c r="O60" s="807"/>
      <c r="P60" s="807"/>
      <c r="Q60" s="808"/>
    </row>
    <row r="61" spans="1:17" s="130" customFormat="1" x14ac:dyDescent="0.15">
      <c r="A61" s="822"/>
      <c r="B61" s="823"/>
      <c r="C61" s="823"/>
      <c r="D61" s="803"/>
      <c r="E61" s="825" t="s">
        <v>657</v>
      </c>
      <c r="F61" s="826"/>
      <c r="G61" s="217" t="s">
        <v>659</v>
      </c>
      <c r="H61" s="805"/>
      <c r="I61" s="803"/>
      <c r="J61" s="805"/>
      <c r="K61" s="216" t="s">
        <v>158</v>
      </c>
      <c r="L61" s="809"/>
      <c r="M61" s="810"/>
      <c r="N61" s="810"/>
      <c r="O61" s="810"/>
      <c r="P61" s="810"/>
      <c r="Q61" s="811"/>
    </row>
    <row r="62" spans="1:17" ht="19.5" customHeight="1" x14ac:dyDescent="0.15">
      <c r="A62" s="131"/>
      <c r="B62" s="815" t="s">
        <v>1146</v>
      </c>
      <c r="C62" s="816"/>
      <c r="D62" s="219">
        <v>1.3</v>
      </c>
      <c r="E62" s="824">
        <f>K56</f>
        <v>55.600000000000009</v>
      </c>
      <c r="F62" s="824"/>
      <c r="G62" s="219">
        <v>0.15</v>
      </c>
      <c r="H62" s="132">
        <v>1</v>
      </c>
      <c r="I62" s="132">
        <f>E62*G62</f>
        <v>8.3400000000000016</v>
      </c>
      <c r="J62" s="144" t="s">
        <v>6</v>
      </c>
      <c r="K62" s="219">
        <f>I62*D62</f>
        <v>10.842000000000002</v>
      </c>
      <c r="L62" s="809"/>
      <c r="M62" s="810"/>
      <c r="N62" s="810"/>
      <c r="O62" s="810"/>
      <c r="P62" s="810"/>
      <c r="Q62" s="811"/>
    </row>
    <row r="63" spans="1:17" ht="19.5" customHeight="1" x14ac:dyDescent="0.15">
      <c r="A63" s="131"/>
      <c r="B63" s="815" t="s">
        <v>991</v>
      </c>
      <c r="C63" s="816"/>
      <c r="D63" s="219">
        <v>1.3</v>
      </c>
      <c r="E63" s="824">
        <f>K21</f>
        <v>105.9</v>
      </c>
      <c r="F63" s="824"/>
      <c r="G63" s="219">
        <v>0.05</v>
      </c>
      <c r="H63" s="132">
        <v>1</v>
      </c>
      <c r="I63" s="132">
        <f>E63*G63</f>
        <v>5.2950000000000008</v>
      </c>
      <c r="J63" s="144" t="s">
        <v>6</v>
      </c>
      <c r="K63" s="219">
        <f>I63*D63</f>
        <v>6.8835000000000015</v>
      </c>
      <c r="L63" s="809"/>
      <c r="M63" s="810"/>
      <c r="N63" s="810"/>
      <c r="O63" s="810"/>
      <c r="P63" s="810"/>
      <c r="Q63" s="811"/>
    </row>
    <row r="64" spans="1:17" ht="19.5" customHeight="1" x14ac:dyDescent="0.15">
      <c r="A64" s="131"/>
      <c r="B64" s="815" t="s">
        <v>990</v>
      </c>
      <c r="C64" s="816"/>
      <c r="D64" s="219">
        <v>1.3</v>
      </c>
      <c r="E64" s="824">
        <f>K28</f>
        <v>71.180000000000007</v>
      </c>
      <c r="F64" s="824"/>
      <c r="G64" s="219">
        <v>0.05</v>
      </c>
      <c r="H64" s="132">
        <v>1</v>
      </c>
      <c r="I64" s="132">
        <f>E64*G64</f>
        <v>3.5590000000000006</v>
      </c>
      <c r="J64" s="144" t="s">
        <v>6</v>
      </c>
      <c r="K64" s="219">
        <f>I64*D64</f>
        <v>4.6267000000000014</v>
      </c>
      <c r="L64" s="809"/>
      <c r="M64" s="810"/>
      <c r="N64" s="810"/>
      <c r="O64" s="810"/>
      <c r="P64" s="810"/>
      <c r="Q64" s="811"/>
    </row>
    <row r="65" spans="1:19" ht="22.5" customHeight="1" x14ac:dyDescent="0.15">
      <c r="A65" s="795" t="s">
        <v>149</v>
      </c>
      <c r="B65" s="817"/>
      <c r="C65" s="817"/>
      <c r="D65" s="817"/>
      <c r="E65" s="817"/>
      <c r="F65" s="817"/>
      <c r="G65" s="817"/>
      <c r="H65" s="817"/>
      <c r="I65" s="817"/>
      <c r="J65" s="796"/>
      <c r="K65" s="416">
        <f>SUM(K62:K64)</f>
        <v>22.352200000000003</v>
      </c>
      <c r="L65" s="812"/>
      <c r="M65" s="813"/>
      <c r="N65" s="813"/>
      <c r="O65" s="813"/>
      <c r="P65" s="813"/>
      <c r="Q65" s="814"/>
    </row>
    <row r="66" spans="1:19" x14ac:dyDescent="0.15">
      <c r="A66" s="790"/>
      <c r="B66" s="791"/>
      <c r="C66" s="791"/>
      <c r="D66" s="791"/>
      <c r="E66" s="791"/>
      <c r="F66" s="791"/>
      <c r="G66" s="791"/>
      <c r="H66" s="791"/>
      <c r="I66" s="791"/>
      <c r="J66" s="791"/>
      <c r="K66" s="791"/>
      <c r="L66" s="791"/>
      <c r="M66" s="791"/>
      <c r="N66" s="791"/>
      <c r="O66" s="791"/>
      <c r="P66" s="791"/>
      <c r="Q66" s="792"/>
    </row>
    <row r="67" spans="1:19" s="121" customFormat="1" ht="18" customHeight="1" x14ac:dyDescent="0.15">
      <c r="A67" s="218" t="s">
        <v>0</v>
      </c>
      <c r="B67" s="830" t="s">
        <v>561</v>
      </c>
      <c r="C67" s="831"/>
      <c r="D67" s="831"/>
      <c r="E67" s="831"/>
      <c r="F67" s="831"/>
      <c r="G67" s="831"/>
      <c r="H67" s="831"/>
      <c r="I67" s="831"/>
      <c r="J67" s="831"/>
      <c r="K67" s="831"/>
      <c r="L67" s="831"/>
      <c r="M67" s="831"/>
      <c r="N67" s="831"/>
      <c r="O67" s="216" t="s">
        <v>73</v>
      </c>
      <c r="P67" s="795" t="s">
        <v>6</v>
      </c>
      <c r="Q67" s="796"/>
    </row>
    <row r="68" spans="1:19" x14ac:dyDescent="0.15">
      <c r="A68" s="790"/>
      <c r="B68" s="791"/>
      <c r="C68" s="791"/>
      <c r="D68" s="791"/>
      <c r="E68" s="791"/>
      <c r="F68" s="791"/>
      <c r="G68" s="791"/>
      <c r="H68" s="791"/>
      <c r="I68" s="791"/>
      <c r="J68" s="791"/>
      <c r="K68" s="791"/>
      <c r="L68" s="791"/>
      <c r="M68" s="791"/>
      <c r="N68" s="791"/>
      <c r="O68" s="791"/>
      <c r="P68" s="791"/>
      <c r="Q68" s="792"/>
    </row>
    <row r="69" spans="1:19" s="126" customFormat="1" x14ac:dyDescent="0.15">
      <c r="A69" s="822" t="s">
        <v>150</v>
      </c>
      <c r="B69" s="823" t="s">
        <v>151</v>
      </c>
      <c r="C69" s="823"/>
      <c r="D69" s="802"/>
      <c r="E69" s="823" t="s">
        <v>152</v>
      </c>
      <c r="F69" s="823"/>
      <c r="G69" s="823"/>
      <c r="H69" s="802" t="s">
        <v>153</v>
      </c>
      <c r="I69" s="802" t="s">
        <v>160</v>
      </c>
      <c r="J69" s="804" t="s">
        <v>73</v>
      </c>
      <c r="K69" s="216" t="s">
        <v>154</v>
      </c>
      <c r="L69" s="123"/>
      <c r="M69" s="124"/>
      <c r="N69" s="124"/>
      <c r="O69" s="124"/>
      <c r="P69" s="124"/>
      <c r="Q69" s="125"/>
    </row>
    <row r="70" spans="1:19" s="130" customFormat="1" x14ac:dyDescent="0.15">
      <c r="A70" s="822"/>
      <c r="B70" s="823"/>
      <c r="C70" s="823"/>
      <c r="D70" s="803"/>
      <c r="E70" s="217" t="s">
        <v>155</v>
      </c>
      <c r="F70" s="217" t="s">
        <v>156</v>
      </c>
      <c r="G70" s="217" t="s">
        <v>157</v>
      </c>
      <c r="H70" s="803"/>
      <c r="I70" s="803"/>
      <c r="J70" s="805"/>
      <c r="K70" s="216" t="s">
        <v>158</v>
      </c>
      <c r="L70" s="127"/>
      <c r="M70" s="128"/>
      <c r="N70" s="128"/>
      <c r="O70" s="128"/>
      <c r="P70" s="128"/>
      <c r="Q70" s="129"/>
    </row>
    <row r="71" spans="1:19" ht="31.5" customHeight="1" x14ac:dyDescent="0.15">
      <c r="A71" s="148"/>
      <c r="B71" s="788" t="s">
        <v>1147</v>
      </c>
      <c r="C71" s="789"/>
      <c r="D71" s="149"/>
      <c r="E71" s="143">
        <v>1</v>
      </c>
      <c r="F71" s="143">
        <v>1</v>
      </c>
      <c r="G71" s="143">
        <v>1.2</v>
      </c>
      <c r="H71" s="143">
        <v>1</v>
      </c>
      <c r="I71" s="143">
        <f t="shared" ref="I71:I73" si="0">(E71*F71*G71)</f>
        <v>1.2</v>
      </c>
      <c r="J71" s="133" t="s">
        <v>6</v>
      </c>
      <c r="K71" s="143">
        <f t="shared" ref="K71:K73" si="1">I71*H71</f>
        <v>1.2</v>
      </c>
      <c r="L71" s="127"/>
      <c r="M71" s="128"/>
      <c r="N71" s="128"/>
      <c r="O71" s="128"/>
      <c r="P71" s="128"/>
      <c r="Q71" s="129"/>
      <c r="S71" s="369"/>
    </row>
    <row r="72" spans="1:19" ht="31.5" customHeight="1" x14ac:dyDescent="0.15">
      <c r="A72" s="148"/>
      <c r="B72" s="788" t="s">
        <v>1560</v>
      </c>
      <c r="C72" s="789"/>
      <c r="D72" s="149"/>
      <c r="E72" s="143">
        <v>0.4</v>
      </c>
      <c r="F72" s="143">
        <v>0.4</v>
      </c>
      <c r="G72" s="143">
        <v>0.9</v>
      </c>
      <c r="H72" s="143">
        <v>8</v>
      </c>
      <c r="I72" s="143">
        <f t="shared" si="0"/>
        <v>0.14400000000000004</v>
      </c>
      <c r="J72" s="133" t="s">
        <v>6</v>
      </c>
      <c r="K72" s="143">
        <f t="shared" si="1"/>
        <v>1.1520000000000004</v>
      </c>
      <c r="L72" s="127"/>
      <c r="M72" s="128"/>
      <c r="N72" s="128"/>
      <c r="O72" s="128"/>
      <c r="P72" s="128"/>
      <c r="Q72" s="129"/>
      <c r="S72" s="369"/>
    </row>
    <row r="73" spans="1:19" ht="31.5" customHeight="1" x14ac:dyDescent="0.15">
      <c r="A73" s="148"/>
      <c r="B73" s="788" t="s">
        <v>1091</v>
      </c>
      <c r="C73" s="789"/>
      <c r="D73" s="149"/>
      <c r="E73" s="143">
        <f>13.05+10.16</f>
        <v>23.21</v>
      </c>
      <c r="F73" s="143">
        <v>0.25</v>
      </c>
      <c r="G73" s="143">
        <v>0.25</v>
      </c>
      <c r="H73" s="143">
        <v>1</v>
      </c>
      <c r="I73" s="143">
        <f t="shared" si="0"/>
        <v>1.4506250000000001</v>
      </c>
      <c r="J73" s="133" t="s">
        <v>6</v>
      </c>
      <c r="K73" s="143">
        <f t="shared" si="1"/>
        <v>1.4506250000000001</v>
      </c>
      <c r="L73" s="127"/>
      <c r="M73" s="128"/>
      <c r="N73" s="128"/>
      <c r="O73" s="128"/>
      <c r="P73" s="128"/>
      <c r="Q73" s="129"/>
    </row>
    <row r="74" spans="1:19" ht="14" x14ac:dyDescent="0.15">
      <c r="A74" s="795" t="s">
        <v>149</v>
      </c>
      <c r="B74" s="817"/>
      <c r="C74" s="817"/>
      <c r="D74" s="817"/>
      <c r="E74" s="817"/>
      <c r="F74" s="817"/>
      <c r="G74" s="817"/>
      <c r="H74" s="817"/>
      <c r="I74" s="817"/>
      <c r="J74" s="796"/>
      <c r="K74" s="416">
        <f>SUM(K71:K73)</f>
        <v>3.8026250000000004</v>
      </c>
      <c r="L74" s="134"/>
      <c r="M74" s="135"/>
      <c r="N74" s="135"/>
      <c r="O74" s="135"/>
      <c r="P74" s="135"/>
      <c r="Q74" s="136"/>
    </row>
    <row r="75" spans="1:19" x14ac:dyDescent="0.15">
      <c r="A75" s="790"/>
      <c r="B75" s="791"/>
      <c r="C75" s="791"/>
      <c r="D75" s="791"/>
      <c r="E75" s="791"/>
      <c r="F75" s="791"/>
      <c r="G75" s="791"/>
      <c r="H75" s="791"/>
      <c r="I75" s="791"/>
      <c r="J75" s="791"/>
      <c r="K75" s="791"/>
      <c r="L75" s="791"/>
      <c r="M75" s="791"/>
      <c r="N75" s="791"/>
      <c r="O75" s="791"/>
      <c r="P75" s="791"/>
      <c r="Q75" s="792"/>
    </row>
    <row r="76" spans="1:19" s="121" customFormat="1" ht="18" customHeight="1" x14ac:dyDescent="0.15">
      <c r="A76" s="218" t="s">
        <v>0</v>
      </c>
      <c r="B76" s="830" t="s">
        <v>523</v>
      </c>
      <c r="C76" s="831"/>
      <c r="D76" s="831"/>
      <c r="E76" s="831"/>
      <c r="F76" s="831"/>
      <c r="G76" s="831"/>
      <c r="H76" s="831"/>
      <c r="I76" s="831"/>
      <c r="J76" s="831"/>
      <c r="K76" s="831"/>
      <c r="L76" s="831"/>
      <c r="M76" s="831"/>
      <c r="N76" s="831"/>
      <c r="O76" s="216" t="s">
        <v>73</v>
      </c>
      <c r="P76" s="795" t="s">
        <v>6</v>
      </c>
      <c r="Q76" s="796"/>
    </row>
    <row r="77" spans="1:19" x14ac:dyDescent="0.15">
      <c r="A77" s="790"/>
      <c r="B77" s="791"/>
      <c r="C77" s="791"/>
      <c r="D77" s="791"/>
      <c r="E77" s="791"/>
      <c r="F77" s="791"/>
      <c r="G77" s="791"/>
      <c r="H77" s="791"/>
      <c r="I77" s="791"/>
      <c r="J77" s="791"/>
      <c r="K77" s="791"/>
      <c r="L77" s="791"/>
      <c r="M77" s="791"/>
      <c r="N77" s="791"/>
      <c r="O77" s="791"/>
      <c r="P77" s="791"/>
      <c r="Q77" s="792"/>
    </row>
    <row r="78" spans="1:19" s="126" customFormat="1" x14ac:dyDescent="0.15">
      <c r="A78" s="822" t="s">
        <v>150</v>
      </c>
      <c r="B78" s="823" t="s">
        <v>151</v>
      </c>
      <c r="C78" s="823"/>
      <c r="D78" s="832" t="s">
        <v>490</v>
      </c>
      <c r="E78" s="823" t="s">
        <v>152</v>
      </c>
      <c r="F78" s="823"/>
      <c r="G78" s="823"/>
      <c r="H78" s="802" t="s">
        <v>153</v>
      </c>
      <c r="I78" s="802" t="s">
        <v>160</v>
      </c>
      <c r="J78" s="804" t="s">
        <v>73</v>
      </c>
      <c r="K78" s="216" t="s">
        <v>154</v>
      </c>
      <c r="L78" s="123"/>
      <c r="M78" s="124"/>
      <c r="N78" s="124"/>
      <c r="O78" s="124"/>
      <c r="P78" s="124"/>
      <c r="Q78" s="125"/>
    </row>
    <row r="79" spans="1:19" s="130" customFormat="1" x14ac:dyDescent="0.15">
      <c r="A79" s="822"/>
      <c r="B79" s="823"/>
      <c r="C79" s="823"/>
      <c r="D79" s="833"/>
      <c r="E79" s="217" t="s">
        <v>155</v>
      </c>
      <c r="F79" s="217" t="s">
        <v>156</v>
      </c>
      <c r="G79" s="217" t="s">
        <v>157</v>
      </c>
      <c r="H79" s="803"/>
      <c r="I79" s="803"/>
      <c r="J79" s="805"/>
      <c r="K79" s="216" t="s">
        <v>158</v>
      </c>
      <c r="L79" s="127"/>
      <c r="M79" s="128"/>
      <c r="N79" s="128"/>
      <c r="O79" s="128"/>
      <c r="P79" s="128"/>
      <c r="Q79" s="129"/>
    </row>
    <row r="80" spans="1:19" ht="33" customHeight="1" x14ac:dyDescent="0.15">
      <c r="A80" s="148"/>
      <c r="B80" s="788" t="s">
        <v>1147</v>
      </c>
      <c r="C80" s="789"/>
      <c r="D80" s="143">
        <f>(0.45*0.45*0.6*H80)</f>
        <v>0.1215</v>
      </c>
      <c r="E80" s="143">
        <v>1</v>
      </c>
      <c r="F80" s="143">
        <v>1</v>
      </c>
      <c r="G80" s="143">
        <v>1.2</v>
      </c>
      <c r="H80" s="143">
        <v>1</v>
      </c>
      <c r="I80" s="143">
        <f t="shared" ref="I80:I81" si="2">(E80*F80*G80)</f>
        <v>1.2</v>
      </c>
      <c r="J80" s="133" t="s">
        <v>6</v>
      </c>
      <c r="K80" s="143">
        <f t="shared" ref="K80:K81" si="3">(I80*H80)-D80</f>
        <v>1.0785</v>
      </c>
      <c r="L80" s="127"/>
      <c r="M80" s="128"/>
      <c r="N80" s="128"/>
      <c r="O80" s="128"/>
      <c r="P80" s="128"/>
      <c r="Q80" s="129"/>
    </row>
    <row r="81" spans="1:17" ht="33" customHeight="1" x14ac:dyDescent="0.15">
      <c r="A81" s="148"/>
      <c r="B81" s="788" t="s">
        <v>1560</v>
      </c>
      <c r="C81" s="789"/>
      <c r="D81" s="143">
        <f>(0.25*0.25*0.4*H81)</f>
        <v>0.2</v>
      </c>
      <c r="E81" s="143">
        <v>0.4</v>
      </c>
      <c r="F81" s="143">
        <v>0.4</v>
      </c>
      <c r="G81" s="143">
        <v>0.4</v>
      </c>
      <c r="H81" s="143">
        <v>8</v>
      </c>
      <c r="I81" s="143">
        <f t="shared" si="2"/>
        <v>6.4000000000000015E-2</v>
      </c>
      <c r="J81" s="133" t="s">
        <v>6</v>
      </c>
      <c r="K81" s="143">
        <f t="shared" si="3"/>
        <v>0.31200000000000011</v>
      </c>
      <c r="L81" s="127"/>
      <c r="M81" s="128"/>
      <c r="N81" s="128"/>
      <c r="O81" s="128"/>
      <c r="P81" s="128"/>
      <c r="Q81" s="129"/>
    </row>
    <row r="82" spans="1:17" ht="14" x14ac:dyDescent="0.15">
      <c r="A82" s="795" t="s">
        <v>149</v>
      </c>
      <c r="B82" s="817"/>
      <c r="C82" s="817"/>
      <c r="D82" s="817"/>
      <c r="E82" s="817"/>
      <c r="F82" s="817"/>
      <c r="G82" s="817"/>
      <c r="H82" s="817"/>
      <c r="I82" s="817"/>
      <c r="J82" s="796"/>
      <c r="K82" s="416">
        <f>SUM(K80:K81)</f>
        <v>1.3905000000000001</v>
      </c>
      <c r="L82" s="134"/>
      <c r="M82" s="135"/>
      <c r="N82" s="135"/>
      <c r="O82" s="135"/>
      <c r="P82" s="135"/>
      <c r="Q82" s="136"/>
    </row>
    <row r="83" spans="1:17" x14ac:dyDescent="0.15">
      <c r="A83" s="790"/>
      <c r="B83" s="791"/>
      <c r="C83" s="791"/>
      <c r="D83" s="791"/>
      <c r="E83" s="791"/>
      <c r="F83" s="791"/>
      <c r="G83" s="791"/>
      <c r="H83" s="791"/>
      <c r="I83" s="791"/>
      <c r="J83" s="791"/>
      <c r="K83" s="791"/>
      <c r="L83" s="791"/>
      <c r="M83" s="791"/>
      <c r="N83" s="791"/>
      <c r="O83" s="791"/>
      <c r="P83" s="791"/>
      <c r="Q83" s="792"/>
    </row>
    <row r="84" spans="1:17" s="121" customFormat="1" ht="18" customHeight="1" x14ac:dyDescent="0.15">
      <c r="A84" s="218" t="s">
        <v>0</v>
      </c>
      <c r="B84" s="830" t="s">
        <v>1003</v>
      </c>
      <c r="C84" s="831"/>
      <c r="D84" s="831"/>
      <c r="E84" s="831"/>
      <c r="F84" s="831"/>
      <c r="G84" s="831"/>
      <c r="H84" s="831"/>
      <c r="I84" s="831"/>
      <c r="J84" s="831"/>
      <c r="K84" s="831"/>
      <c r="L84" s="831"/>
      <c r="M84" s="831"/>
      <c r="N84" s="831"/>
      <c r="O84" s="216" t="s">
        <v>73</v>
      </c>
      <c r="P84" s="795" t="s">
        <v>6</v>
      </c>
      <c r="Q84" s="796"/>
    </row>
    <row r="85" spans="1:17" x14ac:dyDescent="0.15">
      <c r="A85" s="790"/>
      <c r="B85" s="791"/>
      <c r="C85" s="791"/>
      <c r="D85" s="791"/>
      <c r="E85" s="791"/>
      <c r="F85" s="791"/>
      <c r="G85" s="791"/>
      <c r="H85" s="791"/>
      <c r="I85" s="791"/>
      <c r="J85" s="791"/>
      <c r="K85" s="791"/>
      <c r="L85" s="791"/>
      <c r="M85" s="791"/>
      <c r="N85" s="791"/>
      <c r="O85" s="791"/>
      <c r="P85" s="791"/>
      <c r="Q85" s="792"/>
    </row>
    <row r="86" spans="1:17" s="126" customFormat="1" x14ac:dyDescent="0.15">
      <c r="A86" s="822" t="s">
        <v>150</v>
      </c>
      <c r="B86" s="823" t="s">
        <v>151</v>
      </c>
      <c r="C86" s="823"/>
      <c r="D86" s="825" t="s">
        <v>152</v>
      </c>
      <c r="E86" s="826"/>
      <c r="F86" s="826"/>
      <c r="G86" s="834"/>
      <c r="H86" s="802" t="s">
        <v>153</v>
      </c>
      <c r="I86" s="802" t="s">
        <v>160</v>
      </c>
      <c r="J86" s="832" t="s">
        <v>495</v>
      </c>
      <c r="K86" s="804" t="s">
        <v>73</v>
      </c>
      <c r="L86" s="216" t="s">
        <v>154</v>
      </c>
      <c r="M86" s="806"/>
      <c r="N86" s="807"/>
      <c r="O86" s="807"/>
      <c r="P86" s="807"/>
      <c r="Q86" s="808"/>
    </row>
    <row r="87" spans="1:17" s="130" customFormat="1" x14ac:dyDescent="0.15">
      <c r="A87" s="822"/>
      <c r="B87" s="823"/>
      <c r="C87" s="823"/>
      <c r="D87" s="217" t="s">
        <v>624</v>
      </c>
      <c r="E87" s="217" t="s">
        <v>155</v>
      </c>
      <c r="F87" s="217" t="s">
        <v>156</v>
      </c>
      <c r="G87" s="217" t="s">
        <v>157</v>
      </c>
      <c r="H87" s="803"/>
      <c r="I87" s="803"/>
      <c r="J87" s="833"/>
      <c r="K87" s="805"/>
      <c r="L87" s="216" t="s">
        <v>158</v>
      </c>
      <c r="M87" s="809"/>
      <c r="N87" s="810"/>
      <c r="O87" s="810"/>
      <c r="P87" s="810"/>
      <c r="Q87" s="811"/>
    </row>
    <row r="88" spans="1:17" ht="27" customHeight="1" x14ac:dyDescent="0.15">
      <c r="A88" s="148"/>
      <c r="B88" s="815" t="s">
        <v>999</v>
      </c>
      <c r="C88" s="816"/>
      <c r="D88" s="671">
        <v>0</v>
      </c>
      <c r="E88" s="143">
        <v>10.039999999999999</v>
      </c>
      <c r="F88" s="143">
        <v>1.5</v>
      </c>
      <c r="G88" s="143">
        <v>0.2</v>
      </c>
      <c r="H88" s="143">
        <v>1</v>
      </c>
      <c r="I88" s="143">
        <f t="shared" ref="I88:I90" si="4">E88*F88*G88</f>
        <v>3.012</v>
      </c>
      <c r="J88" s="143">
        <v>0</v>
      </c>
      <c r="K88" s="133" t="s">
        <v>6</v>
      </c>
      <c r="L88" s="143">
        <f>I88*H88</f>
        <v>3.012</v>
      </c>
      <c r="M88" s="809"/>
      <c r="N88" s="810"/>
      <c r="O88" s="810"/>
      <c r="P88" s="810"/>
      <c r="Q88" s="811"/>
    </row>
    <row r="89" spans="1:17" ht="33" customHeight="1" x14ac:dyDescent="0.15">
      <c r="A89" s="148"/>
      <c r="B89" s="788" t="s">
        <v>1147</v>
      </c>
      <c r="C89" s="789"/>
      <c r="D89" s="143">
        <v>0</v>
      </c>
      <c r="E89" s="143">
        <v>1</v>
      </c>
      <c r="F89" s="143">
        <v>1</v>
      </c>
      <c r="G89" s="143">
        <v>0.1</v>
      </c>
      <c r="H89" s="143">
        <v>1</v>
      </c>
      <c r="I89" s="143">
        <f t="shared" si="4"/>
        <v>0.1</v>
      </c>
      <c r="J89" s="143">
        <v>0</v>
      </c>
      <c r="K89" s="133" t="s">
        <v>6</v>
      </c>
      <c r="L89" s="143">
        <f>H89*I89</f>
        <v>0.1</v>
      </c>
      <c r="M89" s="809"/>
      <c r="N89" s="810"/>
      <c r="O89" s="810"/>
      <c r="P89" s="810"/>
      <c r="Q89" s="811"/>
    </row>
    <row r="90" spans="1:17" ht="33" customHeight="1" x14ac:dyDescent="0.15">
      <c r="A90" s="148"/>
      <c r="B90" s="788" t="s">
        <v>1560</v>
      </c>
      <c r="C90" s="789"/>
      <c r="D90" s="143">
        <v>0</v>
      </c>
      <c r="E90" s="143">
        <v>0.4</v>
      </c>
      <c r="F90" s="143">
        <v>0.4</v>
      </c>
      <c r="G90" s="143">
        <v>0.1</v>
      </c>
      <c r="H90" s="143">
        <v>8</v>
      </c>
      <c r="I90" s="143">
        <f t="shared" si="4"/>
        <v>1.6000000000000004E-2</v>
      </c>
      <c r="J90" s="143">
        <v>0</v>
      </c>
      <c r="K90" s="133" t="s">
        <v>6</v>
      </c>
      <c r="L90" s="143">
        <f t="shared" ref="L90" si="5">H90*I90</f>
        <v>0.12800000000000003</v>
      </c>
      <c r="M90" s="809"/>
      <c r="N90" s="810"/>
      <c r="O90" s="810"/>
      <c r="P90" s="810"/>
      <c r="Q90" s="811"/>
    </row>
    <row r="91" spans="1:17" ht="14" x14ac:dyDescent="0.15">
      <c r="A91" s="795" t="s">
        <v>149</v>
      </c>
      <c r="B91" s="817"/>
      <c r="C91" s="817"/>
      <c r="D91" s="817"/>
      <c r="E91" s="817"/>
      <c r="F91" s="817"/>
      <c r="G91" s="817"/>
      <c r="H91" s="817"/>
      <c r="I91" s="817"/>
      <c r="J91" s="817"/>
      <c r="K91" s="796"/>
      <c r="L91" s="416">
        <f>SUM(L88:L90)</f>
        <v>3.24</v>
      </c>
      <c r="M91" s="812"/>
      <c r="N91" s="813"/>
      <c r="O91" s="813"/>
      <c r="P91" s="813"/>
      <c r="Q91" s="814"/>
    </row>
    <row r="92" spans="1:17" x14ac:dyDescent="0.15">
      <c r="A92" s="790"/>
      <c r="B92" s="791"/>
      <c r="C92" s="791"/>
      <c r="D92" s="791"/>
      <c r="E92" s="791"/>
      <c r="F92" s="791"/>
      <c r="G92" s="791"/>
      <c r="H92" s="791"/>
      <c r="I92" s="791"/>
      <c r="J92" s="791"/>
      <c r="K92" s="791"/>
      <c r="L92" s="791"/>
      <c r="M92" s="791"/>
      <c r="N92" s="791"/>
      <c r="O92" s="791"/>
      <c r="P92" s="791"/>
      <c r="Q92" s="792"/>
    </row>
    <row r="93" spans="1:17" x14ac:dyDescent="0.15">
      <c r="A93" s="790"/>
      <c r="B93" s="791"/>
      <c r="C93" s="791"/>
      <c r="D93" s="791"/>
      <c r="E93" s="791"/>
      <c r="F93" s="791"/>
      <c r="G93" s="791"/>
      <c r="H93" s="791"/>
      <c r="I93" s="791"/>
      <c r="J93" s="791"/>
      <c r="K93" s="791"/>
      <c r="L93" s="791"/>
      <c r="M93" s="791"/>
      <c r="N93" s="791"/>
      <c r="O93" s="791"/>
      <c r="P93" s="791"/>
      <c r="Q93" s="792"/>
    </row>
    <row r="94" spans="1:17" x14ac:dyDescent="0.15">
      <c r="A94" s="790"/>
      <c r="B94" s="791"/>
      <c r="C94" s="791"/>
      <c r="D94" s="791"/>
      <c r="E94" s="791"/>
      <c r="F94" s="791"/>
      <c r="G94" s="791"/>
      <c r="H94" s="791"/>
      <c r="I94" s="791"/>
      <c r="J94" s="791"/>
      <c r="K94" s="791"/>
      <c r="L94" s="791"/>
      <c r="M94" s="791"/>
      <c r="N94" s="791"/>
      <c r="O94" s="791"/>
      <c r="P94" s="791"/>
      <c r="Q94" s="792"/>
    </row>
    <row r="95" spans="1:17" s="121" customFormat="1" ht="18" customHeight="1" x14ac:dyDescent="0.15">
      <c r="A95" s="218" t="s">
        <v>0</v>
      </c>
      <c r="B95" s="830" t="s">
        <v>562</v>
      </c>
      <c r="C95" s="831"/>
      <c r="D95" s="831"/>
      <c r="E95" s="831"/>
      <c r="F95" s="831"/>
      <c r="G95" s="831"/>
      <c r="H95" s="831"/>
      <c r="I95" s="831"/>
      <c r="J95" s="831"/>
      <c r="K95" s="831"/>
      <c r="L95" s="831"/>
      <c r="M95" s="831"/>
      <c r="N95" s="831"/>
      <c r="O95" s="216" t="s">
        <v>73</v>
      </c>
      <c r="P95" s="795" t="s">
        <v>6</v>
      </c>
      <c r="Q95" s="796"/>
    </row>
    <row r="96" spans="1:17" x14ac:dyDescent="0.15">
      <c r="A96" s="790"/>
      <c r="B96" s="791"/>
      <c r="C96" s="791"/>
      <c r="D96" s="791"/>
      <c r="E96" s="791"/>
      <c r="F96" s="791"/>
      <c r="G96" s="791"/>
      <c r="H96" s="791"/>
      <c r="I96" s="791"/>
      <c r="J96" s="791"/>
      <c r="K96" s="791"/>
      <c r="L96" s="791"/>
      <c r="M96" s="791"/>
      <c r="N96" s="791"/>
      <c r="O96" s="791"/>
      <c r="P96" s="791"/>
      <c r="Q96" s="792"/>
    </row>
    <row r="97" spans="1:20" s="126" customFormat="1" x14ac:dyDescent="0.15">
      <c r="A97" s="822" t="s">
        <v>150</v>
      </c>
      <c r="B97" s="823" t="s">
        <v>151</v>
      </c>
      <c r="C97" s="823"/>
      <c r="D97" s="802" t="s">
        <v>493</v>
      </c>
      <c r="E97" s="823" t="s">
        <v>152</v>
      </c>
      <c r="F97" s="823"/>
      <c r="G97" s="823"/>
      <c r="H97" s="804" t="s">
        <v>153</v>
      </c>
      <c r="I97" s="802" t="s">
        <v>160</v>
      </c>
      <c r="J97" s="804" t="s">
        <v>73</v>
      </c>
      <c r="K97" s="216" t="s">
        <v>154</v>
      </c>
      <c r="L97" s="806"/>
      <c r="M97" s="807"/>
      <c r="N97" s="807"/>
      <c r="O97" s="807"/>
      <c r="P97" s="807"/>
      <c r="Q97" s="808"/>
    </row>
    <row r="98" spans="1:20" s="130" customFormat="1" x14ac:dyDescent="0.15">
      <c r="A98" s="822"/>
      <c r="B98" s="823"/>
      <c r="C98" s="823"/>
      <c r="D98" s="803"/>
      <c r="E98" s="217" t="s">
        <v>155</v>
      </c>
      <c r="F98" s="217" t="s">
        <v>156</v>
      </c>
      <c r="G98" s="217" t="s">
        <v>157</v>
      </c>
      <c r="H98" s="805"/>
      <c r="I98" s="803"/>
      <c r="J98" s="805"/>
      <c r="K98" s="216" t="s">
        <v>158</v>
      </c>
      <c r="L98" s="809"/>
      <c r="M98" s="810"/>
      <c r="N98" s="810"/>
      <c r="O98" s="810"/>
      <c r="P98" s="810"/>
      <c r="Q98" s="811"/>
    </row>
    <row r="99" spans="1:20" ht="28.5" customHeight="1" x14ac:dyDescent="0.15">
      <c r="A99" s="131"/>
      <c r="B99" s="788" t="s">
        <v>496</v>
      </c>
      <c r="C99" s="789"/>
      <c r="D99" s="219">
        <v>1.3</v>
      </c>
      <c r="E99" s="143">
        <v>0</v>
      </c>
      <c r="F99" s="672">
        <v>0</v>
      </c>
      <c r="G99" s="672">
        <v>0</v>
      </c>
      <c r="H99" s="143">
        <v>1</v>
      </c>
      <c r="I99" s="143">
        <f>K74-K82</f>
        <v>2.4121250000000005</v>
      </c>
      <c r="J99" s="672" t="s">
        <v>5</v>
      </c>
      <c r="K99" s="671">
        <f>I99*D99</f>
        <v>3.1357625000000007</v>
      </c>
      <c r="L99" s="809"/>
      <c r="M99" s="810"/>
      <c r="N99" s="810"/>
      <c r="O99" s="810"/>
      <c r="P99" s="810"/>
      <c r="Q99" s="811"/>
    </row>
    <row r="100" spans="1:20" ht="22.5" customHeight="1" x14ac:dyDescent="0.15">
      <c r="A100" s="795" t="s">
        <v>149</v>
      </c>
      <c r="B100" s="817"/>
      <c r="C100" s="817"/>
      <c r="D100" s="817"/>
      <c r="E100" s="817"/>
      <c r="F100" s="817"/>
      <c r="G100" s="817"/>
      <c r="H100" s="817"/>
      <c r="I100" s="817"/>
      <c r="J100" s="796"/>
      <c r="K100" s="416">
        <f>SUM(K99:K99)</f>
        <v>3.1357625000000007</v>
      </c>
      <c r="L100" s="812"/>
      <c r="M100" s="813"/>
      <c r="N100" s="813"/>
      <c r="O100" s="813"/>
      <c r="P100" s="813"/>
      <c r="Q100" s="814"/>
    </row>
    <row r="101" spans="1:20" x14ac:dyDescent="0.15">
      <c r="A101" s="790"/>
      <c r="B101" s="791"/>
      <c r="C101" s="791"/>
      <c r="D101" s="791"/>
      <c r="E101" s="791"/>
      <c r="F101" s="791"/>
      <c r="G101" s="791"/>
      <c r="H101" s="791"/>
      <c r="I101" s="791"/>
      <c r="J101" s="791"/>
      <c r="K101" s="791"/>
      <c r="L101" s="791"/>
      <c r="M101" s="791"/>
      <c r="N101" s="791"/>
      <c r="O101" s="791"/>
      <c r="P101" s="791"/>
      <c r="Q101" s="792"/>
    </row>
    <row r="102" spans="1:20" s="121" customFormat="1" ht="18" customHeight="1" x14ac:dyDescent="0.15">
      <c r="A102" s="218" t="s">
        <v>0</v>
      </c>
      <c r="B102" s="793" t="s">
        <v>566</v>
      </c>
      <c r="C102" s="794"/>
      <c r="D102" s="794"/>
      <c r="E102" s="794"/>
      <c r="F102" s="794"/>
      <c r="G102" s="794"/>
      <c r="H102" s="794"/>
      <c r="I102" s="794"/>
      <c r="J102" s="794"/>
      <c r="K102" s="794"/>
      <c r="L102" s="794"/>
      <c r="M102" s="794"/>
      <c r="N102" s="794"/>
      <c r="O102" s="216" t="s">
        <v>73</v>
      </c>
      <c r="P102" s="795" t="s">
        <v>6</v>
      </c>
      <c r="Q102" s="796"/>
    </row>
    <row r="103" spans="1:20" x14ac:dyDescent="0.15">
      <c r="A103" s="790"/>
      <c r="B103" s="791"/>
      <c r="C103" s="791"/>
      <c r="D103" s="791"/>
      <c r="E103" s="791"/>
      <c r="F103" s="791"/>
      <c r="G103" s="791"/>
      <c r="H103" s="791"/>
      <c r="I103" s="791"/>
      <c r="J103" s="791"/>
      <c r="K103" s="791"/>
      <c r="L103" s="791"/>
      <c r="M103" s="791"/>
      <c r="N103" s="791"/>
      <c r="O103" s="791"/>
      <c r="P103" s="791"/>
      <c r="Q103" s="792"/>
    </row>
    <row r="104" spans="1:20" s="126" customFormat="1" x14ac:dyDescent="0.15">
      <c r="A104" s="822" t="s">
        <v>150</v>
      </c>
      <c r="B104" s="823" t="s">
        <v>151</v>
      </c>
      <c r="C104" s="823"/>
      <c r="D104" s="802"/>
      <c r="E104" s="823" t="s">
        <v>152</v>
      </c>
      <c r="F104" s="823"/>
      <c r="G104" s="823"/>
      <c r="H104" s="802" t="s">
        <v>153</v>
      </c>
      <c r="I104" s="802" t="s">
        <v>160</v>
      </c>
      <c r="J104" s="804" t="s">
        <v>73</v>
      </c>
      <c r="K104" s="216" t="s">
        <v>154</v>
      </c>
      <c r="L104" s="123"/>
      <c r="M104" s="124"/>
      <c r="N104" s="124"/>
      <c r="O104" s="124"/>
      <c r="P104" s="124"/>
      <c r="Q104" s="125"/>
    </row>
    <row r="105" spans="1:20" s="130" customFormat="1" x14ac:dyDescent="0.15">
      <c r="A105" s="822"/>
      <c r="B105" s="823"/>
      <c r="C105" s="823"/>
      <c r="D105" s="803"/>
      <c r="E105" s="217" t="s">
        <v>155</v>
      </c>
      <c r="F105" s="217" t="s">
        <v>156</v>
      </c>
      <c r="G105" s="217" t="s">
        <v>157</v>
      </c>
      <c r="H105" s="803"/>
      <c r="I105" s="803"/>
      <c r="J105" s="805"/>
      <c r="K105" s="216" t="s">
        <v>158</v>
      </c>
      <c r="L105" s="127"/>
      <c r="M105" s="128"/>
      <c r="N105" s="128"/>
      <c r="O105" s="128"/>
      <c r="P105" s="128"/>
      <c r="Q105" s="129"/>
    </row>
    <row r="106" spans="1:20" ht="21.75" customHeight="1" x14ac:dyDescent="0.15">
      <c r="A106" s="132"/>
      <c r="B106" s="862"/>
      <c r="C106" s="863"/>
      <c r="D106" s="863"/>
      <c r="E106" s="863"/>
      <c r="F106" s="863"/>
      <c r="G106" s="863"/>
      <c r="H106" s="863"/>
      <c r="I106" s="863"/>
      <c r="J106" s="863"/>
      <c r="K106" s="864"/>
      <c r="L106" s="127"/>
      <c r="M106" s="128"/>
      <c r="N106" s="128"/>
      <c r="O106" s="128"/>
      <c r="P106" s="128"/>
      <c r="Q106" s="129"/>
      <c r="T106" s="221"/>
    </row>
    <row r="107" spans="1:20" ht="31.5" customHeight="1" x14ac:dyDescent="0.15">
      <c r="A107" s="148"/>
      <c r="B107" s="788" t="s">
        <v>1147</v>
      </c>
      <c r="C107" s="789"/>
      <c r="D107" s="149"/>
      <c r="E107" s="143">
        <v>1</v>
      </c>
      <c r="F107" s="143">
        <v>1</v>
      </c>
      <c r="G107" s="143">
        <v>0.05</v>
      </c>
      <c r="H107" s="143">
        <v>1</v>
      </c>
      <c r="I107" s="143">
        <f t="shared" ref="I107:I108" si="6">(E107*F107*G107)</f>
        <v>0.05</v>
      </c>
      <c r="J107" s="133" t="s">
        <v>6</v>
      </c>
      <c r="K107" s="143">
        <f t="shared" ref="K107:K108" si="7">I107*H107</f>
        <v>0.05</v>
      </c>
      <c r="L107" s="127"/>
      <c r="M107" s="128"/>
      <c r="N107" s="128"/>
      <c r="O107" s="128"/>
      <c r="P107" s="128"/>
      <c r="Q107" s="129"/>
      <c r="S107" s="369"/>
    </row>
    <row r="108" spans="1:20" ht="31.5" customHeight="1" x14ac:dyDescent="0.15">
      <c r="A108" s="148"/>
      <c r="B108" s="788" t="s">
        <v>1560</v>
      </c>
      <c r="C108" s="789"/>
      <c r="D108" s="149"/>
      <c r="E108" s="143">
        <v>0.4</v>
      </c>
      <c r="F108" s="143">
        <v>0.4</v>
      </c>
      <c r="G108" s="143">
        <v>0.05</v>
      </c>
      <c r="H108" s="143">
        <v>8</v>
      </c>
      <c r="I108" s="143">
        <f t="shared" si="6"/>
        <v>8.0000000000000019E-3</v>
      </c>
      <c r="J108" s="133" t="s">
        <v>6</v>
      </c>
      <c r="K108" s="143">
        <f t="shared" si="7"/>
        <v>6.4000000000000015E-2</v>
      </c>
      <c r="L108" s="127"/>
      <c r="M108" s="128"/>
      <c r="N108" s="128"/>
      <c r="O108" s="128"/>
      <c r="P108" s="128"/>
      <c r="Q108" s="129"/>
      <c r="S108" s="369"/>
    </row>
    <row r="109" spans="1:20" ht="14" x14ac:dyDescent="0.15">
      <c r="A109" s="795" t="s">
        <v>149</v>
      </c>
      <c r="B109" s="817"/>
      <c r="C109" s="817"/>
      <c r="D109" s="817"/>
      <c r="E109" s="817"/>
      <c r="F109" s="817"/>
      <c r="G109" s="817"/>
      <c r="H109" s="817"/>
      <c r="I109" s="817"/>
      <c r="J109" s="796"/>
      <c r="K109" s="416">
        <f>SUM(K107:K108)</f>
        <v>0.11400000000000002</v>
      </c>
      <c r="L109" s="134"/>
      <c r="M109" s="135"/>
      <c r="N109" s="135"/>
      <c r="O109" s="135"/>
      <c r="P109" s="135"/>
      <c r="Q109" s="136"/>
      <c r="R109" s="221"/>
    </row>
    <row r="110" spans="1:20" x14ac:dyDescent="0.15">
      <c r="A110" s="790"/>
      <c r="B110" s="791"/>
      <c r="C110" s="791"/>
      <c r="D110" s="791"/>
      <c r="E110" s="791"/>
      <c r="F110" s="791"/>
      <c r="G110" s="791"/>
      <c r="H110" s="791"/>
      <c r="I110" s="791"/>
      <c r="J110" s="791"/>
      <c r="K110" s="791"/>
      <c r="L110" s="791"/>
      <c r="M110" s="791"/>
      <c r="N110" s="791"/>
      <c r="O110" s="791"/>
      <c r="P110" s="791"/>
      <c r="Q110" s="792"/>
    </row>
    <row r="111" spans="1:20" s="121" customFormat="1" ht="18" customHeight="1" x14ac:dyDescent="0.15">
      <c r="A111" s="218" t="s">
        <v>0</v>
      </c>
      <c r="B111" s="793" t="s">
        <v>1006</v>
      </c>
      <c r="C111" s="794"/>
      <c r="D111" s="794"/>
      <c r="E111" s="794"/>
      <c r="F111" s="794"/>
      <c r="G111" s="794"/>
      <c r="H111" s="794"/>
      <c r="I111" s="794"/>
      <c r="J111" s="794"/>
      <c r="K111" s="794"/>
      <c r="L111" s="794"/>
      <c r="M111" s="794"/>
      <c r="N111" s="794"/>
      <c r="O111" s="216" t="s">
        <v>73</v>
      </c>
      <c r="P111" s="795" t="s">
        <v>319</v>
      </c>
      <c r="Q111" s="796"/>
    </row>
    <row r="112" spans="1:20" x14ac:dyDescent="0.15">
      <c r="A112" s="790"/>
      <c r="B112" s="791"/>
      <c r="C112" s="791"/>
      <c r="D112" s="791"/>
      <c r="E112" s="791"/>
      <c r="F112" s="791"/>
      <c r="G112" s="791"/>
      <c r="H112" s="791"/>
      <c r="I112" s="791"/>
      <c r="J112" s="791"/>
      <c r="K112" s="791"/>
      <c r="L112" s="791"/>
      <c r="M112" s="791"/>
      <c r="N112" s="791"/>
      <c r="O112" s="791"/>
      <c r="P112" s="791"/>
      <c r="Q112" s="792"/>
    </row>
    <row r="113" spans="1:17" s="126" customFormat="1" x14ac:dyDescent="0.15">
      <c r="A113" s="822" t="s">
        <v>150</v>
      </c>
      <c r="B113" s="823" t="s">
        <v>151</v>
      </c>
      <c r="C113" s="823"/>
      <c r="D113" s="802"/>
      <c r="E113" s="823" t="s">
        <v>152</v>
      </c>
      <c r="F113" s="823"/>
      <c r="G113" s="823"/>
      <c r="H113" s="802" t="s">
        <v>153</v>
      </c>
      <c r="I113" s="802" t="s">
        <v>479</v>
      </c>
      <c r="J113" s="804" t="s">
        <v>73</v>
      </c>
      <c r="K113" s="216" t="s">
        <v>154</v>
      </c>
      <c r="L113" s="123"/>
      <c r="M113" s="124"/>
      <c r="N113" s="124"/>
      <c r="O113" s="124"/>
      <c r="P113" s="124"/>
      <c r="Q113" s="125"/>
    </row>
    <row r="114" spans="1:17" s="130" customFormat="1" x14ac:dyDescent="0.15">
      <c r="A114" s="822"/>
      <c r="B114" s="823"/>
      <c r="C114" s="823"/>
      <c r="D114" s="803"/>
      <c r="E114" s="217" t="s">
        <v>155</v>
      </c>
      <c r="F114" s="217" t="s">
        <v>156</v>
      </c>
      <c r="G114" s="217" t="s">
        <v>157</v>
      </c>
      <c r="H114" s="803"/>
      <c r="I114" s="803"/>
      <c r="J114" s="805"/>
      <c r="K114" s="216" t="s">
        <v>158</v>
      </c>
      <c r="L114" s="127"/>
      <c r="M114" s="128"/>
      <c r="N114" s="128"/>
      <c r="O114" s="128"/>
      <c r="P114" s="128"/>
      <c r="Q114" s="129"/>
    </row>
    <row r="115" spans="1:17" ht="27.75" customHeight="1" x14ac:dyDescent="0.15">
      <c r="A115" s="148"/>
      <c r="B115" s="788" t="s">
        <v>1147</v>
      </c>
      <c r="C115" s="789"/>
      <c r="D115" s="149"/>
      <c r="E115" s="143">
        <v>1</v>
      </c>
      <c r="F115" s="143">
        <v>1</v>
      </c>
      <c r="G115" s="143">
        <v>0.3</v>
      </c>
      <c r="H115" s="143">
        <v>1</v>
      </c>
      <c r="I115" s="143">
        <v>1</v>
      </c>
      <c r="J115" s="133" t="s">
        <v>319</v>
      </c>
      <c r="K115" s="143">
        <f>I115*H115</f>
        <v>1</v>
      </c>
      <c r="L115" s="127"/>
      <c r="M115" s="128"/>
      <c r="N115" s="128"/>
      <c r="O115" s="128"/>
      <c r="P115" s="128"/>
      <c r="Q115" s="129"/>
    </row>
    <row r="116" spans="1:17" ht="14" x14ac:dyDescent="0.15">
      <c r="A116" s="795" t="s">
        <v>149</v>
      </c>
      <c r="B116" s="817"/>
      <c r="C116" s="817"/>
      <c r="D116" s="817"/>
      <c r="E116" s="817"/>
      <c r="F116" s="817"/>
      <c r="G116" s="817"/>
      <c r="H116" s="817"/>
      <c r="I116" s="817"/>
      <c r="J116" s="796"/>
      <c r="K116" s="416">
        <f>SUM(K115:K115)</f>
        <v>1</v>
      </c>
      <c r="L116" s="134"/>
      <c r="M116" s="135"/>
      <c r="N116" s="135"/>
      <c r="O116" s="135"/>
      <c r="P116" s="135"/>
      <c r="Q116" s="136"/>
    </row>
    <row r="117" spans="1:17" x14ac:dyDescent="0.15">
      <c r="A117" s="790"/>
      <c r="B117" s="791"/>
      <c r="C117" s="791"/>
      <c r="D117" s="791"/>
      <c r="E117" s="791"/>
      <c r="F117" s="791"/>
      <c r="G117" s="791"/>
      <c r="H117" s="791"/>
      <c r="I117" s="791"/>
      <c r="J117" s="791"/>
      <c r="K117" s="791"/>
      <c r="L117" s="791"/>
      <c r="M117" s="791"/>
      <c r="N117" s="791"/>
      <c r="O117" s="791"/>
      <c r="P117" s="791"/>
      <c r="Q117" s="792"/>
    </row>
    <row r="118" spans="1:17" s="121" customFormat="1" ht="18" customHeight="1" x14ac:dyDescent="0.15">
      <c r="A118" s="218" t="s">
        <v>0</v>
      </c>
      <c r="B118" s="793" t="s">
        <v>1544</v>
      </c>
      <c r="C118" s="794"/>
      <c r="D118" s="794"/>
      <c r="E118" s="794"/>
      <c r="F118" s="794"/>
      <c r="G118" s="794"/>
      <c r="H118" s="794"/>
      <c r="I118" s="794"/>
      <c r="J118" s="794"/>
      <c r="K118" s="794"/>
      <c r="L118" s="794"/>
      <c r="M118" s="794"/>
      <c r="N118" s="794"/>
      <c r="O118" s="216" t="s">
        <v>73</v>
      </c>
      <c r="P118" s="795" t="s">
        <v>319</v>
      </c>
      <c r="Q118" s="796"/>
    </row>
    <row r="119" spans="1:17" x14ac:dyDescent="0.15">
      <c r="A119" s="790"/>
      <c r="B119" s="791"/>
      <c r="C119" s="791"/>
      <c r="D119" s="791"/>
      <c r="E119" s="791"/>
      <c r="F119" s="791"/>
      <c r="G119" s="791"/>
      <c r="H119" s="791"/>
      <c r="I119" s="791"/>
      <c r="J119" s="791"/>
      <c r="K119" s="791"/>
      <c r="L119" s="791"/>
      <c r="M119" s="791"/>
      <c r="N119" s="791"/>
      <c r="O119" s="791"/>
      <c r="P119" s="791"/>
      <c r="Q119" s="792"/>
    </row>
    <row r="120" spans="1:17" s="126" customFormat="1" x14ac:dyDescent="0.15">
      <c r="A120" s="822" t="s">
        <v>150</v>
      </c>
      <c r="B120" s="823" t="s">
        <v>151</v>
      </c>
      <c r="C120" s="823"/>
      <c r="D120" s="802"/>
      <c r="E120" s="823" t="s">
        <v>152</v>
      </c>
      <c r="F120" s="823"/>
      <c r="G120" s="823"/>
      <c r="H120" s="802" t="s">
        <v>153</v>
      </c>
      <c r="I120" s="802" t="s">
        <v>479</v>
      </c>
      <c r="J120" s="804" t="s">
        <v>73</v>
      </c>
      <c r="K120" s="216" t="s">
        <v>154</v>
      </c>
      <c r="L120" s="123"/>
      <c r="M120" s="124"/>
      <c r="N120" s="124"/>
      <c r="O120" s="124"/>
      <c r="P120" s="124"/>
      <c r="Q120" s="125"/>
    </row>
    <row r="121" spans="1:17" s="130" customFormat="1" x14ac:dyDescent="0.15">
      <c r="A121" s="822"/>
      <c r="B121" s="823"/>
      <c r="C121" s="823"/>
      <c r="D121" s="803"/>
      <c r="E121" s="217" t="s">
        <v>155</v>
      </c>
      <c r="F121" s="217" t="s">
        <v>156</v>
      </c>
      <c r="G121" s="217" t="s">
        <v>157</v>
      </c>
      <c r="H121" s="803"/>
      <c r="I121" s="803"/>
      <c r="J121" s="805"/>
      <c r="K121" s="216" t="s">
        <v>158</v>
      </c>
      <c r="L121" s="127"/>
      <c r="M121" s="128"/>
      <c r="N121" s="128"/>
      <c r="O121" s="128"/>
      <c r="P121" s="128"/>
      <c r="Q121" s="129"/>
    </row>
    <row r="122" spans="1:17" ht="27.75" customHeight="1" x14ac:dyDescent="0.15">
      <c r="A122" s="148"/>
      <c r="B122" s="788" t="s">
        <v>1560</v>
      </c>
      <c r="C122" s="789"/>
      <c r="D122" s="149"/>
      <c r="E122" s="143">
        <v>0.4</v>
      </c>
      <c r="F122" s="143">
        <v>0.4</v>
      </c>
      <c r="G122" s="143">
        <v>0.25</v>
      </c>
      <c r="H122" s="143">
        <v>8</v>
      </c>
      <c r="I122" s="143">
        <v>1</v>
      </c>
      <c r="J122" s="133" t="s">
        <v>319</v>
      </c>
      <c r="K122" s="143">
        <f>I122*H122</f>
        <v>8</v>
      </c>
      <c r="L122" s="127"/>
      <c r="M122" s="128"/>
      <c r="N122" s="128"/>
      <c r="O122" s="128"/>
      <c r="P122" s="128"/>
      <c r="Q122" s="129"/>
    </row>
    <row r="123" spans="1:17" ht="14" x14ac:dyDescent="0.15">
      <c r="A123" s="795" t="s">
        <v>149</v>
      </c>
      <c r="B123" s="817"/>
      <c r="C123" s="817"/>
      <c r="D123" s="817"/>
      <c r="E123" s="817"/>
      <c r="F123" s="817"/>
      <c r="G123" s="817"/>
      <c r="H123" s="817"/>
      <c r="I123" s="817"/>
      <c r="J123" s="796"/>
      <c r="K123" s="416">
        <f>SUM(K122:K122)</f>
        <v>8</v>
      </c>
      <c r="L123" s="134"/>
      <c r="M123" s="135"/>
      <c r="N123" s="135"/>
      <c r="O123" s="135"/>
      <c r="P123" s="135"/>
      <c r="Q123" s="136"/>
    </row>
    <row r="124" spans="1:17" x14ac:dyDescent="0.15">
      <c r="A124" s="790"/>
      <c r="B124" s="791"/>
      <c r="C124" s="791"/>
      <c r="D124" s="791"/>
      <c r="E124" s="791"/>
      <c r="F124" s="791"/>
      <c r="G124" s="791"/>
      <c r="H124" s="791"/>
      <c r="I124" s="791"/>
      <c r="J124" s="791"/>
      <c r="K124" s="791"/>
      <c r="L124" s="791"/>
      <c r="M124" s="791"/>
      <c r="N124" s="791"/>
      <c r="O124" s="791"/>
      <c r="P124" s="791"/>
      <c r="Q124" s="792"/>
    </row>
    <row r="125" spans="1:17" s="121" customFormat="1" ht="18" customHeight="1" x14ac:dyDescent="0.15">
      <c r="A125" s="218" t="s">
        <v>0</v>
      </c>
      <c r="B125" s="793" t="s">
        <v>1554</v>
      </c>
      <c r="C125" s="794"/>
      <c r="D125" s="794"/>
      <c r="E125" s="794"/>
      <c r="F125" s="794"/>
      <c r="G125" s="794"/>
      <c r="H125" s="794"/>
      <c r="I125" s="794"/>
      <c r="J125" s="794"/>
      <c r="K125" s="794"/>
      <c r="L125" s="794"/>
      <c r="M125" s="794"/>
      <c r="N125" s="794"/>
      <c r="O125" s="216" t="s">
        <v>73</v>
      </c>
      <c r="P125" s="795" t="s">
        <v>193</v>
      </c>
      <c r="Q125" s="796"/>
    </row>
    <row r="126" spans="1:17" x14ac:dyDescent="0.15">
      <c r="A126" s="790"/>
      <c r="B126" s="791"/>
      <c r="C126" s="791"/>
      <c r="D126" s="791"/>
      <c r="E126" s="791"/>
      <c r="F126" s="791"/>
      <c r="G126" s="791"/>
      <c r="H126" s="791"/>
      <c r="I126" s="791"/>
      <c r="J126" s="791"/>
      <c r="K126" s="791"/>
      <c r="L126" s="791"/>
      <c r="M126" s="791"/>
      <c r="N126" s="791"/>
      <c r="O126" s="791"/>
      <c r="P126" s="791"/>
      <c r="Q126" s="792"/>
    </row>
    <row r="127" spans="1:17" s="126" customFormat="1" x14ac:dyDescent="0.15">
      <c r="A127" s="822" t="s">
        <v>150</v>
      </c>
      <c r="B127" s="823" t="s">
        <v>151</v>
      </c>
      <c r="C127" s="823"/>
      <c r="D127" s="802"/>
      <c r="E127" s="823" t="s">
        <v>152</v>
      </c>
      <c r="F127" s="823"/>
      <c r="G127" s="823"/>
      <c r="H127" s="802" t="s">
        <v>153</v>
      </c>
      <c r="I127" s="802" t="s">
        <v>242</v>
      </c>
      <c r="J127" s="804" t="s">
        <v>73</v>
      </c>
      <c r="K127" s="216" t="s">
        <v>154</v>
      </c>
      <c r="L127" s="123"/>
      <c r="M127" s="124"/>
      <c r="N127" s="124"/>
      <c r="O127" s="124"/>
      <c r="P127" s="124"/>
      <c r="Q127" s="125"/>
    </row>
    <row r="128" spans="1:17" s="130" customFormat="1" x14ac:dyDescent="0.15">
      <c r="A128" s="822"/>
      <c r="B128" s="823"/>
      <c r="C128" s="823"/>
      <c r="D128" s="803"/>
      <c r="E128" s="217" t="s">
        <v>155</v>
      </c>
      <c r="F128" s="217" t="s">
        <v>156</v>
      </c>
      <c r="G128" s="217" t="s">
        <v>157</v>
      </c>
      <c r="H128" s="803"/>
      <c r="I128" s="803"/>
      <c r="J128" s="805"/>
      <c r="K128" s="216" t="s">
        <v>158</v>
      </c>
      <c r="L128" s="127"/>
      <c r="M128" s="128"/>
      <c r="N128" s="128"/>
      <c r="O128" s="128"/>
      <c r="P128" s="128"/>
      <c r="Q128" s="129"/>
    </row>
    <row r="129" spans="1:17" ht="39.75" customHeight="1" x14ac:dyDescent="0.15">
      <c r="A129" s="148"/>
      <c r="B129" s="788" t="s">
        <v>1148</v>
      </c>
      <c r="C129" s="789"/>
      <c r="D129" s="149"/>
      <c r="E129" s="143">
        <f>13.05+10.16</f>
        <v>23.21</v>
      </c>
      <c r="F129" s="143">
        <v>0.25</v>
      </c>
      <c r="G129" s="143">
        <v>0.25</v>
      </c>
      <c r="H129" s="143">
        <v>1</v>
      </c>
      <c r="I129" s="143">
        <f t="shared" ref="I129" si="8">E129</f>
        <v>23.21</v>
      </c>
      <c r="J129" s="133" t="s">
        <v>193</v>
      </c>
      <c r="K129" s="143">
        <f t="shared" ref="K129" si="9">I129*H129</f>
        <v>23.21</v>
      </c>
      <c r="L129" s="127"/>
      <c r="M129" s="128"/>
      <c r="N129" s="128"/>
      <c r="O129" s="128"/>
      <c r="P129" s="128"/>
      <c r="Q129" s="129"/>
    </row>
    <row r="130" spans="1:17" ht="14" x14ac:dyDescent="0.15">
      <c r="A130" s="795" t="s">
        <v>149</v>
      </c>
      <c r="B130" s="817"/>
      <c r="C130" s="817"/>
      <c r="D130" s="817"/>
      <c r="E130" s="817"/>
      <c r="F130" s="817"/>
      <c r="G130" s="817"/>
      <c r="H130" s="817"/>
      <c r="I130" s="817"/>
      <c r="J130" s="796"/>
      <c r="K130" s="416">
        <f>SUM(K129:K129)</f>
        <v>23.21</v>
      </c>
      <c r="L130" s="134"/>
      <c r="M130" s="135"/>
      <c r="N130" s="135"/>
      <c r="O130" s="135"/>
      <c r="P130" s="135"/>
      <c r="Q130" s="136"/>
    </row>
    <row r="131" spans="1:17" x14ac:dyDescent="0.15">
      <c r="A131" s="790"/>
      <c r="B131" s="791"/>
      <c r="C131" s="791"/>
      <c r="D131" s="791"/>
      <c r="E131" s="791"/>
      <c r="F131" s="791"/>
      <c r="G131" s="791"/>
      <c r="H131" s="791"/>
      <c r="I131" s="791"/>
      <c r="J131" s="791"/>
      <c r="K131" s="791"/>
      <c r="L131" s="791"/>
      <c r="M131" s="791"/>
      <c r="N131" s="791"/>
      <c r="O131" s="791"/>
      <c r="P131" s="791"/>
      <c r="Q131" s="792"/>
    </row>
    <row r="132" spans="1:17" s="121" customFormat="1" ht="18" customHeight="1" x14ac:dyDescent="0.15">
      <c r="A132" s="218" t="s">
        <v>0</v>
      </c>
      <c r="B132" s="793" t="s">
        <v>1574</v>
      </c>
      <c r="C132" s="794"/>
      <c r="D132" s="794"/>
      <c r="E132" s="794"/>
      <c r="F132" s="794"/>
      <c r="G132" s="794"/>
      <c r="H132" s="794"/>
      <c r="I132" s="794"/>
      <c r="J132" s="794"/>
      <c r="K132" s="794"/>
      <c r="L132" s="794"/>
      <c r="M132" s="794"/>
      <c r="N132" s="794"/>
      <c r="O132" s="216" t="s">
        <v>73</v>
      </c>
      <c r="P132" s="795" t="s">
        <v>193</v>
      </c>
      <c r="Q132" s="796"/>
    </row>
    <row r="133" spans="1:17" x14ac:dyDescent="0.15">
      <c r="A133" s="790"/>
      <c r="B133" s="791"/>
      <c r="C133" s="791"/>
      <c r="D133" s="791"/>
      <c r="E133" s="791"/>
      <c r="F133" s="791"/>
      <c r="G133" s="791"/>
      <c r="H133" s="791"/>
      <c r="I133" s="791"/>
      <c r="J133" s="791"/>
      <c r="K133" s="791"/>
      <c r="L133" s="791"/>
      <c r="M133" s="791"/>
      <c r="N133" s="791"/>
      <c r="O133" s="791"/>
      <c r="P133" s="791"/>
      <c r="Q133" s="792"/>
    </row>
    <row r="134" spans="1:17" s="126" customFormat="1" x14ac:dyDescent="0.15">
      <c r="A134" s="822" t="s">
        <v>150</v>
      </c>
      <c r="B134" s="823" t="s">
        <v>151</v>
      </c>
      <c r="C134" s="823"/>
      <c r="D134" s="802"/>
      <c r="E134" s="823" t="s">
        <v>152</v>
      </c>
      <c r="F134" s="823"/>
      <c r="G134" s="823"/>
      <c r="H134" s="802" t="s">
        <v>153</v>
      </c>
      <c r="I134" s="802" t="s">
        <v>242</v>
      </c>
      <c r="J134" s="804" t="s">
        <v>73</v>
      </c>
      <c r="K134" s="216" t="s">
        <v>154</v>
      </c>
      <c r="L134" s="123"/>
      <c r="M134" s="124"/>
      <c r="N134" s="124"/>
      <c r="O134" s="124"/>
      <c r="P134" s="124"/>
      <c r="Q134" s="125"/>
    </row>
    <row r="135" spans="1:17" s="130" customFormat="1" x14ac:dyDescent="0.15">
      <c r="A135" s="822"/>
      <c r="B135" s="823"/>
      <c r="C135" s="823"/>
      <c r="D135" s="803"/>
      <c r="E135" s="217" t="s">
        <v>155</v>
      </c>
      <c r="F135" s="217" t="s">
        <v>156</v>
      </c>
      <c r="G135" s="217" t="s">
        <v>157</v>
      </c>
      <c r="H135" s="803"/>
      <c r="I135" s="803"/>
      <c r="J135" s="805"/>
      <c r="K135" s="216" t="s">
        <v>158</v>
      </c>
      <c r="L135" s="127"/>
      <c r="M135" s="128"/>
      <c r="N135" s="128"/>
      <c r="O135" s="128"/>
      <c r="P135" s="128"/>
      <c r="Q135" s="129"/>
    </row>
    <row r="136" spans="1:17" ht="26.25" customHeight="1" x14ac:dyDescent="0.15">
      <c r="A136" s="148"/>
      <c r="B136" s="788" t="s">
        <v>1013</v>
      </c>
      <c r="C136" s="789"/>
      <c r="D136" s="149"/>
      <c r="E136" s="143">
        <v>1.5</v>
      </c>
      <c r="F136" s="143">
        <v>0.45</v>
      </c>
      <c r="G136" s="143">
        <v>0.45</v>
      </c>
      <c r="H136" s="143">
        <v>1</v>
      </c>
      <c r="I136" s="143">
        <f t="shared" ref="I136" si="10">E136</f>
        <v>1.5</v>
      </c>
      <c r="J136" s="133" t="s">
        <v>193</v>
      </c>
      <c r="K136" s="143">
        <f t="shared" ref="K136" si="11">I136*H136</f>
        <v>1.5</v>
      </c>
      <c r="L136" s="127"/>
      <c r="M136" s="128"/>
      <c r="N136" s="128"/>
      <c r="O136" s="128"/>
      <c r="P136" s="128"/>
      <c r="Q136" s="129"/>
    </row>
    <row r="137" spans="1:17" ht="14" x14ac:dyDescent="0.15">
      <c r="A137" s="795" t="s">
        <v>149</v>
      </c>
      <c r="B137" s="817"/>
      <c r="C137" s="817"/>
      <c r="D137" s="817"/>
      <c r="E137" s="817"/>
      <c r="F137" s="817"/>
      <c r="G137" s="817"/>
      <c r="H137" s="817"/>
      <c r="I137" s="817"/>
      <c r="J137" s="796"/>
      <c r="K137" s="416">
        <f>SUM(K136:K136)</f>
        <v>1.5</v>
      </c>
      <c r="L137" s="134"/>
      <c r="M137" s="135"/>
      <c r="N137" s="135"/>
      <c r="O137" s="135"/>
      <c r="P137" s="135"/>
      <c r="Q137" s="136"/>
    </row>
    <row r="138" spans="1:17" x14ac:dyDescent="0.15">
      <c r="A138" s="790"/>
      <c r="B138" s="791"/>
      <c r="C138" s="791"/>
      <c r="D138" s="791"/>
      <c r="E138" s="791"/>
      <c r="F138" s="791"/>
      <c r="G138" s="791"/>
      <c r="H138" s="791"/>
      <c r="I138" s="791"/>
      <c r="J138" s="791"/>
      <c r="K138" s="791"/>
      <c r="L138" s="791"/>
      <c r="M138" s="791"/>
      <c r="N138" s="791"/>
      <c r="O138" s="791"/>
      <c r="P138" s="791"/>
      <c r="Q138" s="792"/>
    </row>
    <row r="139" spans="1:17" s="121" customFormat="1" ht="18" customHeight="1" x14ac:dyDescent="0.15">
      <c r="A139" s="218" t="s">
        <v>0</v>
      </c>
      <c r="B139" s="793" t="s">
        <v>1562</v>
      </c>
      <c r="C139" s="794"/>
      <c r="D139" s="794"/>
      <c r="E139" s="794"/>
      <c r="F139" s="794"/>
      <c r="G139" s="794"/>
      <c r="H139" s="794"/>
      <c r="I139" s="794"/>
      <c r="J139" s="794"/>
      <c r="K139" s="794"/>
      <c r="L139" s="794"/>
      <c r="M139" s="794"/>
      <c r="N139" s="794"/>
      <c r="O139" s="216" t="s">
        <v>73</v>
      </c>
      <c r="P139" s="795" t="s">
        <v>193</v>
      </c>
      <c r="Q139" s="796"/>
    </row>
    <row r="140" spans="1:17" x14ac:dyDescent="0.15">
      <c r="A140" s="790"/>
      <c r="B140" s="791"/>
      <c r="C140" s="791"/>
      <c r="D140" s="791"/>
      <c r="E140" s="791"/>
      <c r="F140" s="791"/>
      <c r="G140" s="791"/>
      <c r="H140" s="791"/>
      <c r="I140" s="791"/>
      <c r="J140" s="791"/>
      <c r="K140" s="791"/>
      <c r="L140" s="791"/>
      <c r="M140" s="791"/>
      <c r="N140" s="791"/>
      <c r="O140" s="791"/>
      <c r="P140" s="791"/>
      <c r="Q140" s="792"/>
    </row>
    <row r="141" spans="1:17" s="126" customFormat="1" x14ac:dyDescent="0.15">
      <c r="A141" s="822" t="s">
        <v>150</v>
      </c>
      <c r="B141" s="823" t="s">
        <v>151</v>
      </c>
      <c r="C141" s="823"/>
      <c r="D141" s="802"/>
      <c r="E141" s="823" t="s">
        <v>152</v>
      </c>
      <c r="F141" s="823"/>
      <c r="G141" s="823"/>
      <c r="H141" s="802" t="s">
        <v>153</v>
      </c>
      <c r="I141" s="802" t="s">
        <v>242</v>
      </c>
      <c r="J141" s="804" t="s">
        <v>73</v>
      </c>
      <c r="K141" s="216" t="s">
        <v>154</v>
      </c>
      <c r="L141" s="123"/>
      <c r="M141" s="124"/>
      <c r="N141" s="124"/>
      <c r="O141" s="124"/>
      <c r="P141" s="124"/>
      <c r="Q141" s="125"/>
    </row>
    <row r="142" spans="1:17" s="130" customFormat="1" x14ac:dyDescent="0.15">
      <c r="A142" s="822"/>
      <c r="B142" s="823"/>
      <c r="C142" s="823"/>
      <c r="D142" s="803"/>
      <c r="E142" s="217" t="s">
        <v>155</v>
      </c>
      <c r="F142" s="217" t="s">
        <v>156</v>
      </c>
      <c r="G142" s="217" t="s">
        <v>157</v>
      </c>
      <c r="H142" s="803"/>
      <c r="I142" s="803"/>
      <c r="J142" s="805"/>
      <c r="K142" s="216" t="s">
        <v>158</v>
      </c>
      <c r="L142" s="127"/>
      <c r="M142" s="128"/>
      <c r="N142" s="128"/>
      <c r="O142" s="128"/>
      <c r="P142" s="128"/>
      <c r="Q142" s="129"/>
    </row>
    <row r="143" spans="1:17" ht="26.25" customHeight="1" x14ac:dyDescent="0.15">
      <c r="A143" s="148"/>
      <c r="B143" s="788" t="s">
        <v>1015</v>
      </c>
      <c r="C143" s="789"/>
      <c r="D143" s="149"/>
      <c r="E143" s="143">
        <v>4</v>
      </c>
      <c r="F143" s="143">
        <v>0.3</v>
      </c>
      <c r="G143" s="143">
        <v>0.3</v>
      </c>
      <c r="H143" s="143">
        <v>1</v>
      </c>
      <c r="I143" s="143">
        <f t="shared" ref="I143" si="12">E143</f>
        <v>4</v>
      </c>
      <c r="J143" s="133" t="s">
        <v>193</v>
      </c>
      <c r="K143" s="143">
        <f t="shared" ref="K143" si="13">I143*H143</f>
        <v>4</v>
      </c>
      <c r="L143" s="127"/>
      <c r="M143" s="128"/>
      <c r="N143" s="128"/>
      <c r="O143" s="128"/>
      <c r="P143" s="128"/>
      <c r="Q143" s="129"/>
    </row>
    <row r="144" spans="1:17" ht="14" x14ac:dyDescent="0.15">
      <c r="A144" s="795" t="s">
        <v>149</v>
      </c>
      <c r="B144" s="817"/>
      <c r="C144" s="817"/>
      <c r="D144" s="817"/>
      <c r="E144" s="817"/>
      <c r="F144" s="817"/>
      <c r="G144" s="817"/>
      <c r="H144" s="817"/>
      <c r="I144" s="817"/>
      <c r="J144" s="796"/>
      <c r="K144" s="416">
        <f>SUM(K143:K143)</f>
        <v>4</v>
      </c>
      <c r="L144" s="134"/>
      <c r="M144" s="135"/>
      <c r="N144" s="135"/>
      <c r="O144" s="135"/>
      <c r="P144" s="135"/>
      <c r="Q144" s="136"/>
    </row>
    <row r="145" spans="1:17" x14ac:dyDescent="0.15">
      <c r="A145" s="790"/>
      <c r="B145" s="791"/>
      <c r="C145" s="791"/>
      <c r="D145" s="791"/>
      <c r="E145" s="791"/>
      <c r="F145" s="791"/>
      <c r="G145" s="791"/>
      <c r="H145" s="791"/>
      <c r="I145" s="791"/>
      <c r="J145" s="791"/>
      <c r="K145" s="791"/>
      <c r="L145" s="791"/>
      <c r="M145" s="791"/>
      <c r="N145" s="791"/>
      <c r="O145" s="791"/>
      <c r="P145" s="791"/>
      <c r="Q145" s="792"/>
    </row>
    <row r="146" spans="1:17" s="121" customFormat="1" ht="18" customHeight="1" x14ac:dyDescent="0.15">
      <c r="A146" s="218" t="s">
        <v>0</v>
      </c>
      <c r="B146" s="793" t="s">
        <v>1563</v>
      </c>
      <c r="C146" s="794"/>
      <c r="D146" s="794"/>
      <c r="E146" s="794"/>
      <c r="F146" s="794"/>
      <c r="G146" s="794"/>
      <c r="H146" s="794"/>
      <c r="I146" s="794"/>
      <c r="J146" s="794"/>
      <c r="K146" s="794"/>
      <c r="L146" s="794"/>
      <c r="M146" s="794"/>
      <c r="N146" s="794"/>
      <c r="O146" s="216" t="s">
        <v>73</v>
      </c>
      <c r="P146" s="795" t="s">
        <v>193</v>
      </c>
      <c r="Q146" s="796"/>
    </row>
    <row r="147" spans="1:17" x14ac:dyDescent="0.15">
      <c r="A147" s="790"/>
      <c r="B147" s="791"/>
      <c r="C147" s="791"/>
      <c r="D147" s="791"/>
      <c r="E147" s="791"/>
      <c r="F147" s="791"/>
      <c r="G147" s="791"/>
      <c r="H147" s="791"/>
      <c r="I147" s="791"/>
      <c r="J147" s="791"/>
      <c r="K147" s="791"/>
      <c r="L147" s="791"/>
      <c r="M147" s="791"/>
      <c r="N147" s="791"/>
      <c r="O147" s="791"/>
      <c r="P147" s="791"/>
      <c r="Q147" s="792"/>
    </row>
    <row r="148" spans="1:17" s="126" customFormat="1" x14ac:dyDescent="0.15">
      <c r="A148" s="822" t="s">
        <v>150</v>
      </c>
      <c r="B148" s="823" t="s">
        <v>151</v>
      </c>
      <c r="C148" s="823"/>
      <c r="D148" s="802"/>
      <c r="E148" s="823" t="s">
        <v>152</v>
      </c>
      <c r="F148" s="823"/>
      <c r="G148" s="823"/>
      <c r="H148" s="802" t="s">
        <v>153</v>
      </c>
      <c r="I148" s="802" t="s">
        <v>242</v>
      </c>
      <c r="J148" s="804" t="s">
        <v>73</v>
      </c>
      <c r="K148" s="216" t="s">
        <v>154</v>
      </c>
      <c r="L148" s="123"/>
      <c r="M148" s="124"/>
      <c r="N148" s="124"/>
      <c r="O148" s="124"/>
      <c r="P148" s="124"/>
      <c r="Q148" s="125"/>
    </row>
    <row r="149" spans="1:17" s="130" customFormat="1" x14ac:dyDescent="0.15">
      <c r="A149" s="822"/>
      <c r="B149" s="823"/>
      <c r="C149" s="823"/>
      <c r="D149" s="803"/>
      <c r="E149" s="217" t="s">
        <v>155</v>
      </c>
      <c r="F149" s="217" t="s">
        <v>156</v>
      </c>
      <c r="G149" s="217" t="s">
        <v>157</v>
      </c>
      <c r="H149" s="803"/>
      <c r="I149" s="803"/>
      <c r="J149" s="805"/>
      <c r="K149" s="216" t="s">
        <v>158</v>
      </c>
      <c r="L149" s="127"/>
      <c r="M149" s="128"/>
      <c r="N149" s="128"/>
      <c r="O149" s="128"/>
      <c r="P149" s="128"/>
      <c r="Q149" s="129"/>
    </row>
    <row r="150" spans="1:17" ht="39.75" customHeight="1" x14ac:dyDescent="0.15">
      <c r="A150" s="148"/>
      <c r="B150" s="788" t="s">
        <v>1516</v>
      </c>
      <c r="C150" s="789"/>
      <c r="D150" s="149"/>
      <c r="E150" s="143">
        <v>2.5</v>
      </c>
      <c r="F150" s="143">
        <v>0.2</v>
      </c>
      <c r="G150" s="143">
        <v>0.25</v>
      </c>
      <c r="H150" s="143">
        <v>8</v>
      </c>
      <c r="I150" s="143">
        <f t="shared" ref="I150" si="14">E150</f>
        <v>2.5</v>
      </c>
      <c r="J150" s="133" t="s">
        <v>193</v>
      </c>
      <c r="K150" s="143">
        <f t="shared" ref="K150" si="15">I150*H150</f>
        <v>20</v>
      </c>
      <c r="L150" s="127"/>
      <c r="M150" s="128"/>
      <c r="N150" s="128"/>
      <c r="O150" s="128"/>
      <c r="P150" s="128"/>
      <c r="Q150" s="129"/>
    </row>
    <row r="151" spans="1:17" ht="14" x14ac:dyDescent="0.15">
      <c r="A151" s="795" t="s">
        <v>149</v>
      </c>
      <c r="B151" s="817"/>
      <c r="C151" s="817"/>
      <c r="D151" s="817"/>
      <c r="E151" s="817"/>
      <c r="F151" s="817"/>
      <c r="G151" s="817"/>
      <c r="H151" s="817"/>
      <c r="I151" s="817"/>
      <c r="J151" s="796"/>
      <c r="K151" s="416">
        <f>SUM(K150:K150)</f>
        <v>20</v>
      </c>
      <c r="L151" s="134"/>
      <c r="M151" s="135"/>
      <c r="N151" s="135"/>
      <c r="O151" s="135"/>
      <c r="P151" s="135"/>
      <c r="Q151" s="136"/>
    </row>
    <row r="152" spans="1:17" x14ac:dyDescent="0.15">
      <c r="A152" s="790"/>
      <c r="B152" s="791"/>
      <c r="C152" s="791"/>
      <c r="D152" s="791"/>
      <c r="E152" s="791"/>
      <c r="F152" s="791"/>
      <c r="G152" s="791"/>
      <c r="H152" s="791"/>
      <c r="I152" s="791"/>
      <c r="J152" s="791"/>
      <c r="K152" s="791"/>
      <c r="L152" s="791"/>
      <c r="M152" s="791"/>
      <c r="N152" s="791"/>
      <c r="O152" s="791"/>
      <c r="P152" s="791"/>
      <c r="Q152" s="792"/>
    </row>
    <row r="153" spans="1:17" s="121" customFormat="1" ht="18" customHeight="1" x14ac:dyDescent="0.15">
      <c r="A153" s="218" t="s">
        <v>0</v>
      </c>
      <c r="B153" s="793" t="s">
        <v>1567</v>
      </c>
      <c r="C153" s="794"/>
      <c r="D153" s="794"/>
      <c r="E153" s="794"/>
      <c r="F153" s="794"/>
      <c r="G153" s="794"/>
      <c r="H153" s="794"/>
      <c r="I153" s="794"/>
      <c r="J153" s="794"/>
      <c r="K153" s="794"/>
      <c r="L153" s="794"/>
      <c r="M153" s="794"/>
      <c r="N153" s="794"/>
      <c r="O153" s="216" t="s">
        <v>73</v>
      </c>
      <c r="P153" s="795" t="s">
        <v>193</v>
      </c>
      <c r="Q153" s="796"/>
    </row>
    <row r="154" spans="1:17" x14ac:dyDescent="0.15">
      <c r="A154" s="790"/>
      <c r="B154" s="791"/>
      <c r="C154" s="791"/>
      <c r="D154" s="791"/>
      <c r="E154" s="791"/>
      <c r="F154" s="791"/>
      <c r="G154" s="791"/>
      <c r="H154" s="791"/>
      <c r="I154" s="791"/>
      <c r="J154" s="791"/>
      <c r="K154" s="791"/>
      <c r="L154" s="791"/>
      <c r="M154" s="791"/>
      <c r="N154" s="791"/>
      <c r="O154" s="791"/>
      <c r="P154" s="791"/>
      <c r="Q154" s="792"/>
    </row>
    <row r="155" spans="1:17" s="126" customFormat="1" x14ac:dyDescent="0.15">
      <c r="A155" s="822" t="s">
        <v>150</v>
      </c>
      <c r="B155" s="823" t="s">
        <v>151</v>
      </c>
      <c r="C155" s="823"/>
      <c r="D155" s="802"/>
      <c r="E155" s="823" t="s">
        <v>152</v>
      </c>
      <c r="F155" s="823"/>
      <c r="G155" s="823"/>
      <c r="H155" s="802" t="s">
        <v>153</v>
      </c>
      <c r="I155" s="802" t="s">
        <v>242</v>
      </c>
      <c r="J155" s="804" t="s">
        <v>73</v>
      </c>
      <c r="K155" s="216" t="s">
        <v>154</v>
      </c>
      <c r="L155" s="123"/>
      <c r="M155" s="124"/>
      <c r="N155" s="124"/>
      <c r="O155" s="124"/>
      <c r="P155" s="124"/>
      <c r="Q155" s="125"/>
    </row>
    <row r="156" spans="1:17" s="130" customFormat="1" x14ac:dyDescent="0.15">
      <c r="A156" s="822"/>
      <c r="B156" s="823"/>
      <c r="C156" s="823"/>
      <c r="D156" s="803"/>
      <c r="E156" s="217" t="s">
        <v>155</v>
      </c>
      <c r="F156" s="217" t="s">
        <v>156</v>
      </c>
      <c r="G156" s="217" t="s">
        <v>157</v>
      </c>
      <c r="H156" s="803"/>
      <c r="I156" s="803"/>
      <c r="J156" s="805"/>
      <c r="K156" s="216" t="s">
        <v>158</v>
      </c>
      <c r="L156" s="127"/>
      <c r="M156" s="128"/>
      <c r="N156" s="128"/>
      <c r="O156" s="128"/>
      <c r="P156" s="128"/>
      <c r="Q156" s="129"/>
    </row>
    <row r="157" spans="1:17" ht="48" customHeight="1" x14ac:dyDescent="0.15">
      <c r="A157" s="148"/>
      <c r="B157" s="788" t="s">
        <v>1566</v>
      </c>
      <c r="C157" s="789"/>
      <c r="D157" s="149"/>
      <c r="E157" s="143">
        <f>13.05+10.16</f>
        <v>23.21</v>
      </c>
      <c r="F157" s="143">
        <v>0.1</v>
      </c>
      <c r="G157" s="143">
        <v>0.25</v>
      </c>
      <c r="H157" s="143">
        <v>1</v>
      </c>
      <c r="I157" s="143">
        <f t="shared" ref="I157" si="16">E157</f>
        <v>23.21</v>
      </c>
      <c r="J157" s="133" t="s">
        <v>193</v>
      </c>
      <c r="K157" s="143">
        <f t="shared" ref="K157" si="17">I157*H157</f>
        <v>23.21</v>
      </c>
      <c r="L157" s="127"/>
      <c r="M157" s="128"/>
      <c r="N157" s="128"/>
      <c r="O157" s="128"/>
      <c r="P157" s="128"/>
      <c r="Q157" s="129"/>
    </row>
    <row r="158" spans="1:17" ht="14" x14ac:dyDescent="0.15">
      <c r="A158" s="795" t="s">
        <v>149</v>
      </c>
      <c r="B158" s="817"/>
      <c r="C158" s="817"/>
      <c r="D158" s="817"/>
      <c r="E158" s="817"/>
      <c r="F158" s="817"/>
      <c r="G158" s="817"/>
      <c r="H158" s="817"/>
      <c r="I158" s="817"/>
      <c r="J158" s="796"/>
      <c r="K158" s="416">
        <f>SUM(K157:K157)</f>
        <v>23.21</v>
      </c>
      <c r="L158" s="134"/>
      <c r="M158" s="135"/>
      <c r="N158" s="135"/>
      <c r="O158" s="135"/>
      <c r="P158" s="135"/>
      <c r="Q158" s="136"/>
    </row>
    <row r="159" spans="1:17" x14ac:dyDescent="0.15">
      <c r="A159" s="790"/>
      <c r="B159" s="791"/>
      <c r="C159" s="791"/>
      <c r="D159" s="791"/>
      <c r="E159" s="791"/>
      <c r="F159" s="791"/>
      <c r="G159" s="791"/>
      <c r="H159" s="791"/>
      <c r="I159" s="791"/>
      <c r="J159" s="791"/>
      <c r="K159" s="791"/>
      <c r="L159" s="791"/>
      <c r="M159" s="791"/>
      <c r="N159" s="791"/>
      <c r="O159" s="791"/>
      <c r="P159" s="791"/>
      <c r="Q159" s="792"/>
    </row>
    <row r="160" spans="1:17" s="121" customFormat="1" ht="18" customHeight="1" x14ac:dyDescent="0.15">
      <c r="A160" s="218" t="s">
        <v>0</v>
      </c>
      <c r="B160" s="835" t="s">
        <v>1569</v>
      </c>
      <c r="C160" s="836"/>
      <c r="D160" s="836"/>
      <c r="E160" s="836"/>
      <c r="F160" s="836"/>
      <c r="G160" s="836"/>
      <c r="H160" s="836"/>
      <c r="I160" s="836"/>
      <c r="J160" s="836"/>
      <c r="K160" s="836"/>
      <c r="L160" s="836"/>
      <c r="M160" s="836"/>
      <c r="N160" s="837"/>
      <c r="O160" s="216" t="s">
        <v>73</v>
      </c>
      <c r="P160" s="795" t="s">
        <v>5</v>
      </c>
      <c r="Q160" s="796"/>
    </row>
    <row r="161" spans="1:17" x14ac:dyDescent="0.15">
      <c r="A161" s="790"/>
      <c r="B161" s="791"/>
      <c r="C161" s="791"/>
      <c r="D161" s="791"/>
      <c r="E161" s="791"/>
      <c r="F161" s="791"/>
      <c r="G161" s="791"/>
      <c r="H161" s="791"/>
      <c r="I161" s="791"/>
      <c r="J161" s="791"/>
      <c r="K161" s="791"/>
      <c r="L161" s="791"/>
      <c r="M161" s="791"/>
      <c r="N161" s="791"/>
      <c r="O161" s="791"/>
      <c r="P161" s="791"/>
      <c r="Q161" s="792"/>
    </row>
    <row r="162" spans="1:17" s="126" customFormat="1" x14ac:dyDescent="0.15">
      <c r="A162" s="822" t="s">
        <v>150</v>
      </c>
      <c r="B162" s="823" t="s">
        <v>151</v>
      </c>
      <c r="C162" s="823"/>
      <c r="D162" s="802"/>
      <c r="E162" s="823" t="s">
        <v>152</v>
      </c>
      <c r="F162" s="823"/>
      <c r="G162" s="823"/>
      <c r="H162" s="802" t="s">
        <v>153</v>
      </c>
      <c r="I162" s="802" t="s">
        <v>159</v>
      </c>
      <c r="J162" s="804" t="s">
        <v>73</v>
      </c>
      <c r="K162" s="216" t="s">
        <v>154</v>
      </c>
      <c r="L162" s="123"/>
      <c r="M162" s="124"/>
      <c r="N162" s="124"/>
      <c r="O162" s="124"/>
      <c r="P162" s="124"/>
      <c r="Q162" s="125"/>
    </row>
    <row r="163" spans="1:17" s="130" customFormat="1" x14ac:dyDescent="0.15">
      <c r="A163" s="822"/>
      <c r="B163" s="823"/>
      <c r="C163" s="823"/>
      <c r="D163" s="803"/>
      <c r="E163" s="217" t="s">
        <v>155</v>
      </c>
      <c r="F163" s="217" t="s">
        <v>156</v>
      </c>
      <c r="G163" s="217" t="s">
        <v>157</v>
      </c>
      <c r="H163" s="803"/>
      <c r="I163" s="803"/>
      <c r="J163" s="805"/>
      <c r="K163" s="216" t="s">
        <v>158</v>
      </c>
      <c r="L163" s="127"/>
      <c r="M163" s="128"/>
      <c r="N163" s="128"/>
      <c r="O163" s="128"/>
      <c r="P163" s="128"/>
      <c r="Q163" s="129"/>
    </row>
    <row r="164" spans="1:17" ht="30.75" customHeight="1" x14ac:dyDescent="0.15">
      <c r="A164" s="148"/>
      <c r="B164" s="788" t="s">
        <v>1012</v>
      </c>
      <c r="C164" s="789"/>
      <c r="D164" s="143"/>
      <c r="E164" s="143">
        <v>1.2</v>
      </c>
      <c r="F164" s="143">
        <v>1.2</v>
      </c>
      <c r="G164" s="143">
        <v>0.12</v>
      </c>
      <c r="H164" s="143">
        <v>1</v>
      </c>
      <c r="I164" s="143">
        <f>E164*F164</f>
        <v>1.44</v>
      </c>
      <c r="J164" s="133" t="s">
        <v>5</v>
      </c>
      <c r="K164" s="143">
        <f>I164*H164</f>
        <v>1.44</v>
      </c>
      <c r="L164" s="127"/>
      <c r="M164" s="128"/>
      <c r="N164" s="128"/>
      <c r="O164" s="128"/>
      <c r="P164" s="128"/>
      <c r="Q164" s="129"/>
    </row>
    <row r="165" spans="1:17" ht="14" x14ac:dyDescent="0.15">
      <c r="A165" s="795" t="s">
        <v>149</v>
      </c>
      <c r="B165" s="817"/>
      <c r="C165" s="817"/>
      <c r="D165" s="817"/>
      <c r="E165" s="817"/>
      <c r="F165" s="817"/>
      <c r="G165" s="817"/>
      <c r="H165" s="817"/>
      <c r="I165" s="817"/>
      <c r="J165" s="796"/>
      <c r="K165" s="416">
        <f>SUM(K164:K164)</f>
        <v>1.44</v>
      </c>
      <c r="L165" s="134"/>
      <c r="M165" s="135"/>
      <c r="N165" s="135"/>
      <c r="O165" s="135"/>
      <c r="P165" s="135"/>
      <c r="Q165" s="136"/>
    </row>
    <row r="166" spans="1:17" x14ac:dyDescent="0.15">
      <c r="A166" s="790"/>
      <c r="B166" s="791"/>
      <c r="C166" s="791"/>
      <c r="D166" s="791"/>
      <c r="E166" s="791"/>
      <c r="F166" s="791"/>
      <c r="G166" s="791"/>
      <c r="H166" s="791"/>
      <c r="I166" s="791"/>
      <c r="J166" s="791"/>
      <c r="K166" s="791"/>
      <c r="L166" s="791"/>
      <c r="M166" s="791"/>
      <c r="N166" s="791"/>
      <c r="O166" s="791"/>
      <c r="P166" s="791"/>
      <c r="Q166" s="792"/>
    </row>
    <row r="167" spans="1:17" s="121" customFormat="1" ht="18" customHeight="1" x14ac:dyDescent="0.15">
      <c r="A167" s="218" t="s">
        <v>0</v>
      </c>
      <c r="B167" s="835" t="s">
        <v>1571</v>
      </c>
      <c r="C167" s="836"/>
      <c r="D167" s="836"/>
      <c r="E167" s="836"/>
      <c r="F167" s="836"/>
      <c r="G167" s="836"/>
      <c r="H167" s="836"/>
      <c r="I167" s="836"/>
      <c r="J167" s="836"/>
      <c r="K167" s="836"/>
      <c r="L167" s="836"/>
      <c r="M167" s="836"/>
      <c r="N167" s="837"/>
      <c r="O167" s="216" t="s">
        <v>73</v>
      </c>
      <c r="P167" s="795" t="s">
        <v>5</v>
      </c>
      <c r="Q167" s="796"/>
    </row>
    <row r="168" spans="1:17" x14ac:dyDescent="0.15">
      <c r="A168" s="790"/>
      <c r="B168" s="791"/>
      <c r="C168" s="791"/>
      <c r="D168" s="791"/>
      <c r="E168" s="791"/>
      <c r="F168" s="791"/>
      <c r="G168" s="791"/>
      <c r="H168" s="791"/>
      <c r="I168" s="791"/>
      <c r="J168" s="791"/>
      <c r="K168" s="791"/>
      <c r="L168" s="791"/>
      <c r="M168" s="791"/>
      <c r="N168" s="791"/>
      <c r="O168" s="791"/>
      <c r="P168" s="791"/>
      <c r="Q168" s="792"/>
    </row>
    <row r="169" spans="1:17" s="126" customFormat="1" x14ac:dyDescent="0.15">
      <c r="A169" s="822" t="s">
        <v>150</v>
      </c>
      <c r="B169" s="823" t="s">
        <v>151</v>
      </c>
      <c r="C169" s="823"/>
      <c r="D169" s="832" t="s">
        <v>264</v>
      </c>
      <c r="E169" s="823" t="s">
        <v>152</v>
      </c>
      <c r="F169" s="823"/>
      <c r="G169" s="823"/>
      <c r="H169" s="802" t="s">
        <v>153</v>
      </c>
      <c r="I169" s="802" t="s">
        <v>159</v>
      </c>
      <c r="J169" s="804" t="s">
        <v>73</v>
      </c>
      <c r="K169" s="216" t="s">
        <v>154</v>
      </c>
      <c r="L169" s="123"/>
      <c r="M169" s="124"/>
      <c r="N169" s="124"/>
      <c r="O169" s="124"/>
      <c r="P169" s="124"/>
      <c r="Q169" s="125"/>
    </row>
    <row r="170" spans="1:17" s="130" customFormat="1" x14ac:dyDescent="0.15">
      <c r="A170" s="822"/>
      <c r="B170" s="823"/>
      <c r="C170" s="823"/>
      <c r="D170" s="833"/>
      <c r="E170" s="217" t="s">
        <v>155</v>
      </c>
      <c r="F170" s="217" t="s">
        <v>156</v>
      </c>
      <c r="G170" s="217" t="s">
        <v>157</v>
      </c>
      <c r="H170" s="803"/>
      <c r="I170" s="803"/>
      <c r="J170" s="805"/>
      <c r="K170" s="216" t="s">
        <v>158</v>
      </c>
      <c r="L170" s="127"/>
      <c r="M170" s="128"/>
      <c r="N170" s="128"/>
      <c r="O170" s="128"/>
      <c r="P170" s="128"/>
      <c r="Q170" s="129"/>
    </row>
    <row r="171" spans="1:17" ht="19.5" customHeight="1" x14ac:dyDescent="0.15">
      <c r="A171" s="148"/>
      <c r="B171" s="815" t="s">
        <v>1019</v>
      </c>
      <c r="C171" s="816"/>
      <c r="D171" s="671">
        <v>0</v>
      </c>
      <c r="E171" s="143">
        <v>9.3000000000000007</v>
      </c>
      <c r="F171" s="143">
        <v>1</v>
      </c>
      <c r="G171" s="143">
        <v>0.1</v>
      </c>
      <c r="H171" s="143">
        <v>1</v>
      </c>
      <c r="I171" s="143">
        <f t="shared" ref="I171" si="18">F171*E171</f>
        <v>9.3000000000000007</v>
      </c>
      <c r="J171" s="133" t="s">
        <v>5</v>
      </c>
      <c r="K171" s="143">
        <f t="shared" ref="K171" si="19">(I171*H171)-D171</f>
        <v>9.3000000000000007</v>
      </c>
      <c r="L171" s="127"/>
      <c r="M171" s="128"/>
      <c r="N171" s="128"/>
      <c r="O171" s="128"/>
      <c r="P171" s="128"/>
      <c r="Q171" s="129"/>
    </row>
    <row r="172" spans="1:17" ht="19.5" customHeight="1" x14ac:dyDescent="0.15">
      <c r="A172" s="148"/>
      <c r="B172" s="815" t="s">
        <v>1020</v>
      </c>
      <c r="C172" s="816"/>
      <c r="D172" s="671">
        <v>0</v>
      </c>
      <c r="E172" s="143">
        <v>1</v>
      </c>
      <c r="F172" s="143">
        <v>2</v>
      </c>
      <c r="G172" s="143">
        <v>0.1</v>
      </c>
      <c r="H172" s="143">
        <v>1</v>
      </c>
      <c r="I172" s="143">
        <f t="shared" ref="I172" si="20">F172*E172</f>
        <v>2</v>
      </c>
      <c r="J172" s="133" t="s">
        <v>5</v>
      </c>
      <c r="K172" s="143">
        <f t="shared" ref="K172" si="21">(I172*H172)-D172</f>
        <v>2</v>
      </c>
      <c r="L172" s="127"/>
      <c r="M172" s="128"/>
      <c r="N172" s="128"/>
      <c r="O172" s="128"/>
      <c r="P172" s="128"/>
      <c r="Q172" s="129"/>
    </row>
    <row r="173" spans="1:17" ht="14" x14ac:dyDescent="0.15">
      <c r="A173" s="795" t="s">
        <v>149</v>
      </c>
      <c r="B173" s="817"/>
      <c r="C173" s="817"/>
      <c r="D173" s="817"/>
      <c r="E173" s="817"/>
      <c r="F173" s="817"/>
      <c r="G173" s="817"/>
      <c r="H173" s="817"/>
      <c r="I173" s="817"/>
      <c r="J173" s="796"/>
      <c r="K173" s="416">
        <f>SUM(K171:K172)</f>
        <v>11.3</v>
      </c>
      <c r="L173" s="134"/>
      <c r="M173" s="135"/>
      <c r="N173" s="135"/>
      <c r="O173" s="135"/>
      <c r="P173" s="135"/>
      <c r="Q173" s="136"/>
    </row>
    <row r="174" spans="1:17" x14ac:dyDescent="0.15">
      <c r="A174" s="790"/>
      <c r="B174" s="791"/>
      <c r="C174" s="791"/>
      <c r="D174" s="791"/>
      <c r="E174" s="791"/>
      <c r="F174" s="791"/>
      <c r="G174" s="791"/>
      <c r="H174" s="791"/>
      <c r="I174" s="791"/>
      <c r="J174" s="791"/>
      <c r="K174" s="791"/>
      <c r="L174" s="791"/>
      <c r="M174" s="791"/>
      <c r="N174" s="791"/>
      <c r="O174" s="791"/>
      <c r="P174" s="791"/>
      <c r="Q174" s="792"/>
    </row>
    <row r="175" spans="1:17" s="121" customFormat="1" ht="18" customHeight="1" x14ac:dyDescent="0.15">
      <c r="A175" s="218" t="s">
        <v>0</v>
      </c>
      <c r="B175" s="838" t="s">
        <v>180</v>
      </c>
      <c r="C175" s="839"/>
      <c r="D175" s="839"/>
      <c r="E175" s="839"/>
      <c r="F175" s="839"/>
      <c r="G175" s="839"/>
      <c r="H175" s="839"/>
      <c r="I175" s="839"/>
      <c r="J175" s="839"/>
      <c r="K175" s="839"/>
      <c r="L175" s="839"/>
      <c r="M175" s="839"/>
      <c r="N175" s="840"/>
      <c r="O175" s="216" t="s">
        <v>73</v>
      </c>
      <c r="P175" s="795" t="s">
        <v>5</v>
      </c>
      <c r="Q175" s="796"/>
    </row>
    <row r="176" spans="1:17" x14ac:dyDescent="0.15">
      <c r="A176" s="790"/>
      <c r="B176" s="791"/>
      <c r="C176" s="791"/>
      <c r="D176" s="791"/>
      <c r="E176" s="791"/>
      <c r="F176" s="791"/>
      <c r="G176" s="791"/>
      <c r="H176" s="791"/>
      <c r="I176" s="791"/>
      <c r="J176" s="791"/>
      <c r="K176" s="791"/>
      <c r="L176" s="791"/>
      <c r="M176" s="791"/>
      <c r="N176" s="791"/>
      <c r="O176" s="791"/>
      <c r="P176" s="791"/>
      <c r="Q176" s="792"/>
    </row>
    <row r="177" spans="1:17" s="126" customFormat="1" x14ac:dyDescent="0.15">
      <c r="A177" s="822" t="s">
        <v>150</v>
      </c>
      <c r="B177" s="823" t="s">
        <v>151</v>
      </c>
      <c r="C177" s="823"/>
      <c r="D177" s="832" t="s">
        <v>241</v>
      </c>
      <c r="E177" s="823" t="s">
        <v>152</v>
      </c>
      <c r="F177" s="823"/>
      <c r="G177" s="823"/>
      <c r="H177" s="802" t="s">
        <v>153</v>
      </c>
      <c r="I177" s="802" t="s">
        <v>159</v>
      </c>
      <c r="J177" s="804" t="s">
        <v>73</v>
      </c>
      <c r="K177" s="216" t="s">
        <v>154</v>
      </c>
      <c r="L177" s="123"/>
      <c r="M177" s="124"/>
      <c r="N177" s="124"/>
      <c r="O177" s="124"/>
      <c r="P177" s="124"/>
      <c r="Q177" s="125"/>
    </row>
    <row r="178" spans="1:17" s="130" customFormat="1" x14ac:dyDescent="0.15">
      <c r="A178" s="822"/>
      <c r="B178" s="823"/>
      <c r="C178" s="823"/>
      <c r="D178" s="833"/>
      <c r="E178" s="217" t="s">
        <v>155</v>
      </c>
      <c r="F178" s="217" t="s">
        <v>156</v>
      </c>
      <c r="G178" s="217" t="s">
        <v>157</v>
      </c>
      <c r="H178" s="803"/>
      <c r="I178" s="803"/>
      <c r="J178" s="805"/>
      <c r="K178" s="216" t="s">
        <v>158</v>
      </c>
      <c r="L178" s="127"/>
      <c r="M178" s="128"/>
      <c r="N178" s="128"/>
      <c r="O178" s="128"/>
      <c r="P178" s="128"/>
      <c r="Q178" s="129"/>
    </row>
    <row r="179" spans="1:17" ht="21.75" customHeight="1" x14ac:dyDescent="0.15">
      <c r="A179" s="148"/>
      <c r="B179" s="815" t="s">
        <v>1083</v>
      </c>
      <c r="C179" s="816"/>
      <c r="D179" s="143">
        <v>0</v>
      </c>
      <c r="E179" s="143">
        <f>((13.05+10.16)-(8*0.25))</f>
        <v>21.21</v>
      </c>
      <c r="F179" s="143">
        <v>0.09</v>
      </c>
      <c r="G179" s="143">
        <v>2</v>
      </c>
      <c r="H179" s="143">
        <v>1</v>
      </c>
      <c r="I179" s="143">
        <f t="shared" ref="I179" si="22">G179*E179</f>
        <v>42.42</v>
      </c>
      <c r="J179" s="133" t="s">
        <v>5</v>
      </c>
      <c r="K179" s="143">
        <f t="shared" ref="K179" si="23">(I179*H179)-D179</f>
        <v>42.42</v>
      </c>
      <c r="L179" s="127"/>
      <c r="M179" s="128"/>
      <c r="N179" s="128"/>
      <c r="O179" s="128"/>
      <c r="P179" s="128"/>
      <c r="Q179" s="129"/>
    </row>
    <row r="180" spans="1:17" ht="14" x14ac:dyDescent="0.15">
      <c r="A180" s="795" t="s">
        <v>149</v>
      </c>
      <c r="B180" s="817"/>
      <c r="C180" s="817"/>
      <c r="D180" s="817"/>
      <c r="E180" s="817"/>
      <c r="F180" s="817"/>
      <c r="G180" s="817"/>
      <c r="H180" s="817"/>
      <c r="I180" s="817"/>
      <c r="J180" s="796"/>
      <c r="K180" s="416">
        <f>SUM(K179:K179)</f>
        <v>42.42</v>
      </c>
      <c r="L180" s="134"/>
      <c r="M180" s="135"/>
      <c r="N180" s="135"/>
      <c r="O180" s="135"/>
      <c r="P180" s="135"/>
      <c r="Q180" s="136"/>
    </row>
    <row r="181" spans="1:17" x14ac:dyDescent="0.15">
      <c r="A181" s="790"/>
      <c r="B181" s="791"/>
      <c r="C181" s="791"/>
      <c r="D181" s="791"/>
      <c r="E181" s="791"/>
      <c r="F181" s="791"/>
      <c r="G181" s="791"/>
      <c r="H181" s="791"/>
      <c r="I181" s="791"/>
      <c r="J181" s="791"/>
      <c r="K181" s="791"/>
      <c r="L181" s="791"/>
      <c r="M181" s="791"/>
      <c r="N181" s="791"/>
      <c r="O181" s="791"/>
      <c r="P181" s="791"/>
      <c r="Q181" s="792"/>
    </row>
    <row r="182" spans="1:17" s="121" customFormat="1" ht="18" customHeight="1" x14ac:dyDescent="0.15">
      <c r="A182" s="218" t="s">
        <v>0</v>
      </c>
      <c r="B182" s="838" t="s">
        <v>1026</v>
      </c>
      <c r="C182" s="839"/>
      <c r="D182" s="839"/>
      <c r="E182" s="839"/>
      <c r="F182" s="839"/>
      <c r="G182" s="839"/>
      <c r="H182" s="839"/>
      <c r="I182" s="839"/>
      <c r="J182" s="839"/>
      <c r="K182" s="839"/>
      <c r="L182" s="839"/>
      <c r="M182" s="839"/>
      <c r="N182" s="839"/>
      <c r="O182" s="216" t="s">
        <v>73</v>
      </c>
      <c r="P182" s="795" t="s">
        <v>5</v>
      </c>
      <c r="Q182" s="796"/>
    </row>
    <row r="183" spans="1:17" x14ac:dyDescent="0.15">
      <c r="A183" s="790"/>
      <c r="B183" s="791"/>
      <c r="C183" s="791"/>
      <c r="D183" s="791"/>
      <c r="E183" s="791"/>
      <c r="F183" s="791"/>
      <c r="G183" s="791"/>
      <c r="H183" s="791"/>
      <c r="I183" s="791"/>
      <c r="J183" s="791"/>
      <c r="K183" s="791"/>
      <c r="L183" s="791"/>
      <c r="M183" s="791"/>
      <c r="N183" s="791"/>
      <c r="O183" s="791"/>
      <c r="P183" s="791"/>
      <c r="Q183" s="792"/>
    </row>
    <row r="184" spans="1:17" s="126" customFormat="1" ht="12.75" customHeight="1" x14ac:dyDescent="0.15">
      <c r="A184" s="822" t="s">
        <v>150</v>
      </c>
      <c r="B184" s="823" t="s">
        <v>151</v>
      </c>
      <c r="C184" s="823"/>
      <c r="D184" s="832" t="s">
        <v>241</v>
      </c>
      <c r="E184" s="823" t="s">
        <v>152</v>
      </c>
      <c r="F184" s="823"/>
      <c r="G184" s="823"/>
      <c r="H184" s="802" t="s">
        <v>153</v>
      </c>
      <c r="I184" s="802" t="s">
        <v>159</v>
      </c>
      <c r="J184" s="804" t="s">
        <v>73</v>
      </c>
      <c r="K184" s="216" t="s">
        <v>154</v>
      </c>
      <c r="L184" s="123"/>
      <c r="M184" s="124"/>
      <c r="N184" s="124"/>
      <c r="O184" s="124"/>
      <c r="P184" s="124"/>
      <c r="Q184" s="125"/>
    </row>
    <row r="185" spans="1:17" s="130" customFormat="1" x14ac:dyDescent="0.15">
      <c r="A185" s="822"/>
      <c r="B185" s="823"/>
      <c r="C185" s="823"/>
      <c r="D185" s="833"/>
      <c r="E185" s="217" t="s">
        <v>155</v>
      </c>
      <c r="F185" s="217" t="s">
        <v>206</v>
      </c>
      <c r="G185" s="217" t="s">
        <v>1093</v>
      </c>
      <c r="H185" s="803"/>
      <c r="I185" s="803"/>
      <c r="J185" s="805"/>
      <c r="K185" s="216" t="s">
        <v>158</v>
      </c>
      <c r="L185" s="127"/>
      <c r="M185" s="128"/>
      <c r="N185" s="128"/>
      <c r="O185" s="128"/>
      <c r="P185" s="128"/>
      <c r="Q185" s="129"/>
    </row>
    <row r="186" spans="1:17" ht="20.25" customHeight="1" x14ac:dyDescent="0.15">
      <c r="A186" s="148"/>
      <c r="B186" s="815" t="s">
        <v>1083</v>
      </c>
      <c r="C186" s="816"/>
      <c r="D186" s="143">
        <v>0</v>
      </c>
      <c r="E186" s="143">
        <f>((13.05+10.16)-(8*0.25))</f>
        <v>21.21</v>
      </c>
      <c r="F186" s="143">
        <v>0.02</v>
      </c>
      <c r="G186" s="143">
        <v>2</v>
      </c>
      <c r="H186" s="143">
        <v>2</v>
      </c>
      <c r="I186" s="143">
        <f t="shared" ref="I186:I189" si="24">G186*E186</f>
        <v>42.42</v>
      </c>
      <c r="J186" s="133" t="s">
        <v>5</v>
      </c>
      <c r="K186" s="143">
        <f t="shared" ref="K186:K189" si="25">(I186*H186)-D186</f>
        <v>84.84</v>
      </c>
      <c r="L186" s="127"/>
      <c r="M186" s="128"/>
      <c r="N186" s="128"/>
      <c r="O186" s="128"/>
      <c r="P186" s="128"/>
      <c r="Q186" s="129"/>
    </row>
    <row r="187" spans="1:17" ht="20.25" customHeight="1" x14ac:dyDescent="0.15">
      <c r="A187" s="148"/>
      <c r="B187" s="788" t="s">
        <v>988</v>
      </c>
      <c r="C187" s="789"/>
      <c r="D187" s="143">
        <v>0</v>
      </c>
      <c r="E187" s="143">
        <v>0.2</v>
      </c>
      <c r="F187" s="143">
        <v>0.02</v>
      </c>
      <c r="G187" s="143">
        <v>2</v>
      </c>
      <c r="H187" s="143">
        <v>16</v>
      </c>
      <c r="I187" s="143">
        <f t="shared" si="24"/>
        <v>0.4</v>
      </c>
      <c r="J187" s="133" t="s">
        <v>5</v>
      </c>
      <c r="K187" s="143">
        <f t="shared" si="25"/>
        <v>6.4</v>
      </c>
      <c r="L187" s="127"/>
      <c r="M187" s="128"/>
      <c r="N187" s="128"/>
      <c r="O187" s="128"/>
      <c r="P187" s="128"/>
      <c r="Q187" s="129"/>
    </row>
    <row r="188" spans="1:17" ht="20.25" customHeight="1" x14ac:dyDescent="0.15">
      <c r="A188" s="148"/>
      <c r="B188" s="788" t="s">
        <v>1092</v>
      </c>
      <c r="C188" s="789"/>
      <c r="D188" s="143">
        <v>0</v>
      </c>
      <c r="E188" s="143">
        <f>13.05+10.16</f>
        <v>23.21</v>
      </c>
      <c r="F188" s="143">
        <v>0.02</v>
      </c>
      <c r="G188" s="143">
        <v>0.6</v>
      </c>
      <c r="H188" s="143">
        <v>1</v>
      </c>
      <c r="I188" s="143">
        <f t="shared" si="24"/>
        <v>13.926</v>
      </c>
      <c r="J188" s="133" t="s">
        <v>5</v>
      </c>
      <c r="K188" s="143">
        <f t="shared" si="25"/>
        <v>13.926</v>
      </c>
      <c r="L188" s="127"/>
      <c r="M188" s="128"/>
      <c r="N188" s="128"/>
      <c r="O188" s="128"/>
      <c r="P188" s="128"/>
      <c r="Q188" s="129"/>
    </row>
    <row r="189" spans="1:17" ht="20.25" customHeight="1" x14ac:dyDescent="0.15">
      <c r="A189" s="148"/>
      <c r="B189" s="788" t="s">
        <v>1094</v>
      </c>
      <c r="C189" s="789"/>
      <c r="D189" s="143">
        <v>0</v>
      </c>
      <c r="E189" s="143">
        <f>13.05+10.16</f>
        <v>23.21</v>
      </c>
      <c r="F189" s="143">
        <v>0.02</v>
      </c>
      <c r="G189" s="143">
        <v>0.1</v>
      </c>
      <c r="H189" s="143">
        <v>2</v>
      </c>
      <c r="I189" s="143">
        <f t="shared" si="24"/>
        <v>2.3210000000000002</v>
      </c>
      <c r="J189" s="133" t="s">
        <v>5</v>
      </c>
      <c r="K189" s="143">
        <f t="shared" si="25"/>
        <v>4.6420000000000003</v>
      </c>
      <c r="L189" s="127"/>
      <c r="M189" s="128"/>
      <c r="N189" s="128"/>
      <c r="O189" s="128"/>
      <c r="P189" s="128"/>
      <c r="Q189" s="129"/>
    </row>
    <row r="190" spans="1:17" ht="14" x14ac:dyDescent="0.15">
      <c r="A190" s="795" t="s">
        <v>149</v>
      </c>
      <c r="B190" s="817"/>
      <c r="C190" s="817"/>
      <c r="D190" s="817"/>
      <c r="E190" s="817"/>
      <c r="F190" s="817"/>
      <c r="G190" s="817"/>
      <c r="H190" s="817"/>
      <c r="I190" s="817"/>
      <c r="J190" s="796"/>
      <c r="K190" s="416">
        <f>SUM(K186:K189)</f>
        <v>109.80800000000001</v>
      </c>
      <c r="L190" s="134"/>
      <c r="M190" s="135"/>
      <c r="N190" s="135"/>
      <c r="O190" s="135"/>
      <c r="P190" s="135"/>
      <c r="Q190" s="136"/>
    </row>
    <row r="191" spans="1:17" x14ac:dyDescent="0.15">
      <c r="A191" s="790"/>
      <c r="B191" s="791"/>
      <c r="C191" s="791"/>
      <c r="D191" s="791"/>
      <c r="E191" s="791"/>
      <c r="F191" s="791"/>
      <c r="G191" s="791"/>
      <c r="H191" s="791"/>
      <c r="I191" s="791"/>
      <c r="J191" s="791"/>
      <c r="K191" s="791"/>
      <c r="L191" s="791"/>
      <c r="M191" s="791"/>
      <c r="N191" s="791"/>
      <c r="O191" s="791"/>
      <c r="P191" s="791"/>
      <c r="Q191" s="792"/>
    </row>
    <row r="192" spans="1:17" s="121" customFormat="1" ht="18" customHeight="1" x14ac:dyDescent="0.15">
      <c r="A192" s="218" t="s">
        <v>0</v>
      </c>
      <c r="B192" s="838" t="s">
        <v>1095</v>
      </c>
      <c r="C192" s="839"/>
      <c r="D192" s="839"/>
      <c r="E192" s="839"/>
      <c r="F192" s="839"/>
      <c r="G192" s="839"/>
      <c r="H192" s="839"/>
      <c r="I192" s="839"/>
      <c r="J192" s="839"/>
      <c r="K192" s="839"/>
      <c r="L192" s="839"/>
      <c r="M192" s="839"/>
      <c r="N192" s="839"/>
      <c r="O192" s="216" t="s">
        <v>73</v>
      </c>
      <c r="P192" s="795" t="s">
        <v>5</v>
      </c>
      <c r="Q192" s="796"/>
    </row>
    <row r="193" spans="1:17" x14ac:dyDescent="0.15">
      <c r="A193" s="790"/>
      <c r="B193" s="791"/>
      <c r="C193" s="791"/>
      <c r="D193" s="791"/>
      <c r="E193" s="791"/>
      <c r="F193" s="791"/>
      <c r="G193" s="791"/>
      <c r="H193" s="791"/>
      <c r="I193" s="791"/>
      <c r="J193" s="791"/>
      <c r="K193" s="791"/>
      <c r="L193" s="791"/>
      <c r="M193" s="791"/>
      <c r="N193" s="791"/>
      <c r="O193" s="791"/>
      <c r="P193" s="791"/>
      <c r="Q193" s="792"/>
    </row>
    <row r="194" spans="1:17" s="126" customFormat="1" ht="12.75" customHeight="1" x14ac:dyDescent="0.15">
      <c r="A194" s="822" t="s">
        <v>150</v>
      </c>
      <c r="B194" s="823" t="s">
        <v>151</v>
      </c>
      <c r="C194" s="823"/>
      <c r="D194" s="832" t="s">
        <v>241</v>
      </c>
      <c r="E194" s="823" t="s">
        <v>152</v>
      </c>
      <c r="F194" s="823"/>
      <c r="G194" s="823"/>
      <c r="H194" s="802" t="s">
        <v>153</v>
      </c>
      <c r="I194" s="802" t="s">
        <v>1096</v>
      </c>
      <c r="J194" s="804" t="s">
        <v>73</v>
      </c>
      <c r="K194" s="216" t="s">
        <v>154</v>
      </c>
      <c r="L194" s="123"/>
      <c r="M194" s="124"/>
      <c r="N194" s="124"/>
      <c r="O194" s="124"/>
      <c r="P194" s="124"/>
      <c r="Q194" s="125"/>
    </row>
    <row r="195" spans="1:17" s="130" customFormat="1" x14ac:dyDescent="0.15">
      <c r="A195" s="822"/>
      <c r="B195" s="823"/>
      <c r="C195" s="823"/>
      <c r="D195" s="833"/>
      <c r="E195" s="217" t="s">
        <v>155</v>
      </c>
      <c r="F195" s="217" t="s">
        <v>206</v>
      </c>
      <c r="G195" s="217" t="s">
        <v>1093</v>
      </c>
      <c r="H195" s="803"/>
      <c r="I195" s="803"/>
      <c r="J195" s="805"/>
      <c r="K195" s="216" t="s">
        <v>158</v>
      </c>
      <c r="L195" s="127"/>
      <c r="M195" s="128"/>
      <c r="N195" s="128"/>
      <c r="O195" s="128"/>
      <c r="P195" s="128"/>
      <c r="Q195" s="129"/>
    </row>
    <row r="196" spans="1:17" ht="29.25" customHeight="1" x14ac:dyDescent="0.15">
      <c r="A196" s="148"/>
      <c r="B196" s="815" t="s">
        <v>1097</v>
      </c>
      <c r="C196" s="816"/>
      <c r="D196" s="143">
        <v>0</v>
      </c>
      <c r="E196" s="143">
        <v>8.56</v>
      </c>
      <c r="F196" s="143">
        <v>0.02</v>
      </c>
      <c r="G196" s="143">
        <v>0.12</v>
      </c>
      <c r="H196" s="143">
        <v>7</v>
      </c>
      <c r="I196" s="143">
        <f>E196</f>
        <v>8.56</v>
      </c>
      <c r="J196" s="133" t="s">
        <v>7</v>
      </c>
      <c r="K196" s="143">
        <f t="shared" ref="K196" si="26">(I196*H196)-D196</f>
        <v>59.92</v>
      </c>
      <c r="L196" s="127"/>
      <c r="M196" s="128"/>
      <c r="N196" s="128"/>
      <c r="O196" s="128"/>
      <c r="P196" s="128"/>
      <c r="Q196" s="129"/>
    </row>
    <row r="197" spans="1:17" ht="14" x14ac:dyDescent="0.15">
      <c r="A197" s="795" t="s">
        <v>149</v>
      </c>
      <c r="B197" s="817"/>
      <c r="C197" s="817"/>
      <c r="D197" s="817"/>
      <c r="E197" s="817"/>
      <c r="F197" s="817"/>
      <c r="G197" s="817"/>
      <c r="H197" s="817"/>
      <c r="I197" s="817"/>
      <c r="J197" s="796"/>
      <c r="K197" s="416">
        <f>SUM(K196:K196)</f>
        <v>59.92</v>
      </c>
      <c r="L197" s="134"/>
      <c r="M197" s="135"/>
      <c r="N197" s="135"/>
      <c r="O197" s="135"/>
      <c r="P197" s="135"/>
      <c r="Q197" s="136"/>
    </row>
    <row r="198" spans="1:17" x14ac:dyDescent="0.15">
      <c r="A198" s="790"/>
      <c r="B198" s="791"/>
      <c r="C198" s="791"/>
      <c r="D198" s="791"/>
      <c r="E198" s="791"/>
      <c r="F198" s="791"/>
      <c r="G198" s="791"/>
      <c r="H198" s="791"/>
      <c r="I198" s="791"/>
      <c r="J198" s="791"/>
      <c r="K198" s="791"/>
      <c r="L198" s="791"/>
      <c r="M198" s="791"/>
      <c r="N198" s="791"/>
      <c r="O198" s="791"/>
      <c r="P198" s="791"/>
      <c r="Q198" s="792"/>
    </row>
    <row r="199" spans="1:17" s="121" customFormat="1" ht="18" customHeight="1" x14ac:dyDescent="0.15">
      <c r="A199" s="218" t="s">
        <v>0</v>
      </c>
      <c r="B199" s="838" t="s">
        <v>1032</v>
      </c>
      <c r="C199" s="839"/>
      <c r="D199" s="839"/>
      <c r="E199" s="839"/>
      <c r="F199" s="839"/>
      <c r="G199" s="839"/>
      <c r="H199" s="839"/>
      <c r="I199" s="839"/>
      <c r="J199" s="839"/>
      <c r="K199" s="839"/>
      <c r="L199" s="839"/>
      <c r="M199" s="839"/>
      <c r="N199" s="839"/>
      <c r="O199" s="216" t="s">
        <v>73</v>
      </c>
      <c r="P199" s="795" t="s">
        <v>5</v>
      </c>
      <c r="Q199" s="796"/>
    </row>
    <row r="200" spans="1:17" x14ac:dyDescent="0.15">
      <c r="A200" s="790"/>
      <c r="B200" s="791"/>
      <c r="C200" s="791"/>
      <c r="D200" s="791"/>
      <c r="E200" s="791"/>
      <c r="F200" s="791"/>
      <c r="G200" s="791"/>
      <c r="H200" s="791"/>
      <c r="I200" s="791"/>
      <c r="J200" s="791"/>
      <c r="K200" s="791"/>
      <c r="L200" s="791"/>
      <c r="M200" s="791"/>
      <c r="N200" s="791"/>
      <c r="O200" s="791"/>
      <c r="P200" s="791"/>
      <c r="Q200" s="792"/>
    </row>
    <row r="201" spans="1:17" s="126" customFormat="1" ht="12.75" customHeight="1" x14ac:dyDescent="0.15">
      <c r="A201" s="822" t="s">
        <v>150</v>
      </c>
      <c r="B201" s="823" t="s">
        <v>151</v>
      </c>
      <c r="C201" s="823"/>
      <c r="D201" s="832" t="s">
        <v>241</v>
      </c>
      <c r="E201" s="823" t="s">
        <v>152</v>
      </c>
      <c r="F201" s="823"/>
      <c r="G201" s="823"/>
      <c r="H201" s="802" t="s">
        <v>153</v>
      </c>
      <c r="I201" s="802" t="s">
        <v>159</v>
      </c>
      <c r="J201" s="804" t="s">
        <v>73</v>
      </c>
      <c r="K201" s="216" t="s">
        <v>154</v>
      </c>
      <c r="L201" s="123"/>
      <c r="M201" s="124"/>
      <c r="N201" s="124"/>
      <c r="O201" s="124"/>
      <c r="P201" s="124"/>
      <c r="Q201" s="125"/>
    </row>
    <row r="202" spans="1:17" s="130" customFormat="1" x14ac:dyDescent="0.15">
      <c r="A202" s="822"/>
      <c r="B202" s="823"/>
      <c r="C202" s="823"/>
      <c r="D202" s="833"/>
      <c r="E202" s="217" t="s">
        <v>155</v>
      </c>
      <c r="F202" s="217" t="s">
        <v>156</v>
      </c>
      <c r="G202" s="217" t="s">
        <v>157</v>
      </c>
      <c r="H202" s="803"/>
      <c r="I202" s="803"/>
      <c r="J202" s="805"/>
      <c r="K202" s="216" t="s">
        <v>158</v>
      </c>
      <c r="L202" s="127"/>
      <c r="M202" s="128"/>
      <c r="N202" s="128"/>
      <c r="O202" s="128"/>
      <c r="P202" s="128"/>
      <c r="Q202" s="129"/>
    </row>
    <row r="203" spans="1:17" ht="29.25" customHeight="1" x14ac:dyDescent="0.15">
      <c r="A203" s="148"/>
      <c r="B203" s="788" t="s">
        <v>1028</v>
      </c>
      <c r="C203" s="789"/>
      <c r="D203" s="143">
        <f>++D69+120.1+468.46</f>
        <v>588.55999999999995</v>
      </c>
      <c r="E203" s="143">
        <v>0</v>
      </c>
      <c r="F203" s="143">
        <v>0</v>
      </c>
      <c r="G203" s="143">
        <v>0</v>
      </c>
      <c r="H203" s="143">
        <v>1</v>
      </c>
      <c r="I203" s="143">
        <f>D203</f>
        <v>588.55999999999995</v>
      </c>
      <c r="J203" s="133" t="s">
        <v>5</v>
      </c>
      <c r="K203" s="143">
        <f>I203*H203</f>
        <v>588.55999999999995</v>
      </c>
      <c r="L203" s="127"/>
      <c r="M203" s="128"/>
      <c r="N203" s="128"/>
      <c r="O203" s="128"/>
      <c r="P203" s="128"/>
      <c r="Q203" s="129"/>
    </row>
    <row r="204" spans="1:17" ht="14" x14ac:dyDescent="0.15">
      <c r="A204" s="795" t="s">
        <v>149</v>
      </c>
      <c r="B204" s="817"/>
      <c r="C204" s="817"/>
      <c r="D204" s="817"/>
      <c r="E204" s="817"/>
      <c r="F204" s="817"/>
      <c r="G204" s="817"/>
      <c r="H204" s="817"/>
      <c r="I204" s="817"/>
      <c r="J204" s="796"/>
      <c r="K204" s="416">
        <f>SUM(K203:K203)</f>
        <v>588.55999999999995</v>
      </c>
      <c r="L204" s="134"/>
      <c r="M204" s="135"/>
      <c r="N204" s="135"/>
      <c r="O204" s="135"/>
      <c r="P204" s="135"/>
      <c r="Q204" s="136"/>
    </row>
    <row r="205" spans="1:17" x14ac:dyDescent="0.15">
      <c r="A205" s="790"/>
      <c r="B205" s="791"/>
      <c r="C205" s="791"/>
      <c r="D205" s="791"/>
      <c r="E205" s="791"/>
      <c r="F205" s="791"/>
      <c r="G205" s="791"/>
      <c r="H205" s="791"/>
      <c r="I205" s="791"/>
      <c r="J205" s="791"/>
      <c r="K205" s="791"/>
      <c r="L205" s="791"/>
      <c r="M205" s="791"/>
      <c r="N205" s="791"/>
      <c r="O205" s="791"/>
      <c r="P205" s="791"/>
      <c r="Q205" s="792"/>
    </row>
    <row r="206" spans="1:17" s="121" customFormat="1" ht="18" customHeight="1" x14ac:dyDescent="0.15">
      <c r="A206" s="218" t="s">
        <v>0</v>
      </c>
      <c r="B206" s="838" t="s">
        <v>1030</v>
      </c>
      <c r="C206" s="839"/>
      <c r="D206" s="839"/>
      <c r="E206" s="839"/>
      <c r="F206" s="839"/>
      <c r="G206" s="839"/>
      <c r="H206" s="839"/>
      <c r="I206" s="839"/>
      <c r="J206" s="839"/>
      <c r="K206" s="839"/>
      <c r="L206" s="839"/>
      <c r="M206" s="839"/>
      <c r="N206" s="839"/>
      <c r="O206" s="216" t="s">
        <v>73</v>
      </c>
      <c r="P206" s="795" t="s">
        <v>193</v>
      </c>
      <c r="Q206" s="796"/>
    </row>
    <row r="207" spans="1:17" x14ac:dyDescent="0.15">
      <c r="A207" s="790"/>
      <c r="B207" s="791"/>
      <c r="C207" s="791"/>
      <c r="D207" s="791"/>
      <c r="E207" s="791"/>
      <c r="F207" s="791"/>
      <c r="G207" s="791"/>
      <c r="H207" s="791"/>
      <c r="I207" s="791"/>
      <c r="J207" s="791"/>
      <c r="K207" s="791"/>
      <c r="L207" s="791"/>
      <c r="M207" s="791"/>
      <c r="N207" s="791"/>
      <c r="O207" s="791"/>
      <c r="P207" s="791"/>
      <c r="Q207" s="792"/>
    </row>
    <row r="208" spans="1:17" s="126" customFormat="1" x14ac:dyDescent="0.15">
      <c r="A208" s="822" t="s">
        <v>150</v>
      </c>
      <c r="B208" s="823" t="s">
        <v>151</v>
      </c>
      <c r="C208" s="823"/>
      <c r="D208" s="832" t="s">
        <v>246</v>
      </c>
      <c r="E208" s="823" t="s">
        <v>152</v>
      </c>
      <c r="F208" s="823"/>
      <c r="G208" s="823"/>
      <c r="H208" s="802" t="s">
        <v>153</v>
      </c>
      <c r="I208" s="802" t="s">
        <v>242</v>
      </c>
      <c r="J208" s="804" t="s">
        <v>73</v>
      </c>
      <c r="K208" s="216" t="s">
        <v>154</v>
      </c>
      <c r="L208" s="123"/>
      <c r="M208" s="124"/>
      <c r="N208" s="124"/>
      <c r="O208" s="124"/>
      <c r="P208" s="124"/>
      <c r="Q208" s="125"/>
    </row>
    <row r="209" spans="1:17" s="130" customFormat="1" x14ac:dyDescent="0.15">
      <c r="A209" s="822"/>
      <c r="B209" s="823"/>
      <c r="C209" s="823"/>
      <c r="D209" s="833"/>
      <c r="E209" s="217" t="s">
        <v>155</v>
      </c>
      <c r="F209" s="217" t="s">
        <v>156</v>
      </c>
      <c r="G209" s="217" t="s">
        <v>157</v>
      </c>
      <c r="H209" s="803"/>
      <c r="I209" s="803"/>
      <c r="J209" s="805"/>
      <c r="K209" s="216" t="s">
        <v>158</v>
      </c>
      <c r="L209" s="127"/>
      <c r="M209" s="128"/>
      <c r="N209" s="128"/>
      <c r="O209" s="128"/>
      <c r="P209" s="128"/>
      <c r="Q209" s="129"/>
    </row>
    <row r="210" spans="1:17" ht="27" customHeight="1" x14ac:dyDescent="0.15">
      <c r="A210" s="148"/>
      <c r="B210" s="788" t="s">
        <v>1028</v>
      </c>
      <c r="C210" s="789"/>
      <c r="D210" s="149"/>
      <c r="E210" s="143">
        <v>83.31</v>
      </c>
      <c r="F210" s="672">
        <v>0</v>
      </c>
      <c r="G210" s="143">
        <v>0.2</v>
      </c>
      <c r="H210" s="143">
        <v>1</v>
      </c>
      <c r="I210" s="143">
        <f t="shared" ref="I210" si="27">E210</f>
        <v>83.31</v>
      </c>
      <c r="J210" s="133" t="s">
        <v>7</v>
      </c>
      <c r="K210" s="143">
        <f>I210*H210</f>
        <v>83.31</v>
      </c>
      <c r="L210" s="127"/>
      <c r="M210" s="128"/>
      <c r="N210" s="128"/>
      <c r="O210" s="128"/>
      <c r="P210" s="128"/>
      <c r="Q210" s="129"/>
    </row>
    <row r="211" spans="1:17" ht="14" x14ac:dyDescent="0.15">
      <c r="A211" s="795" t="s">
        <v>149</v>
      </c>
      <c r="B211" s="817"/>
      <c r="C211" s="817"/>
      <c r="D211" s="817"/>
      <c r="E211" s="817"/>
      <c r="F211" s="817"/>
      <c r="G211" s="817"/>
      <c r="H211" s="817"/>
      <c r="I211" s="817"/>
      <c r="J211" s="796"/>
      <c r="K211" s="416">
        <f>SUM(K210:K210)</f>
        <v>83.31</v>
      </c>
      <c r="L211" s="134"/>
      <c r="M211" s="135"/>
      <c r="N211" s="135"/>
      <c r="O211" s="135"/>
      <c r="P211" s="135"/>
      <c r="Q211" s="136"/>
    </row>
    <row r="212" spans="1:17" x14ac:dyDescent="0.15">
      <c r="A212" s="790"/>
      <c r="B212" s="791"/>
      <c r="C212" s="791"/>
      <c r="D212" s="791"/>
      <c r="E212" s="791"/>
      <c r="F212" s="791"/>
      <c r="G212" s="791"/>
      <c r="H212" s="791"/>
      <c r="I212" s="791"/>
      <c r="J212" s="791"/>
      <c r="K212" s="791"/>
      <c r="L212" s="791"/>
      <c r="M212" s="791"/>
      <c r="N212" s="791"/>
      <c r="O212" s="791"/>
      <c r="P212" s="791"/>
      <c r="Q212" s="792"/>
    </row>
    <row r="213" spans="1:17" s="121" customFormat="1" ht="18" customHeight="1" x14ac:dyDescent="0.15">
      <c r="A213" s="218" t="s">
        <v>0</v>
      </c>
      <c r="B213" s="838" t="s">
        <v>1031</v>
      </c>
      <c r="C213" s="839"/>
      <c r="D213" s="839"/>
      <c r="E213" s="839"/>
      <c r="F213" s="839"/>
      <c r="G213" s="839"/>
      <c r="H213" s="839"/>
      <c r="I213" s="839"/>
      <c r="J213" s="839"/>
      <c r="K213" s="839"/>
      <c r="L213" s="839"/>
      <c r="M213" s="839"/>
      <c r="N213" s="839"/>
      <c r="O213" s="216" t="s">
        <v>73</v>
      </c>
      <c r="P213" s="795" t="s">
        <v>5</v>
      </c>
      <c r="Q213" s="796"/>
    </row>
    <row r="214" spans="1:17" x14ac:dyDescent="0.15">
      <c r="A214" s="790"/>
      <c r="B214" s="791"/>
      <c r="C214" s="791"/>
      <c r="D214" s="791"/>
      <c r="E214" s="791"/>
      <c r="F214" s="791"/>
      <c r="G214" s="791"/>
      <c r="H214" s="791"/>
      <c r="I214" s="791"/>
      <c r="J214" s="791"/>
      <c r="K214" s="791"/>
      <c r="L214" s="791"/>
      <c r="M214" s="791"/>
      <c r="N214" s="791"/>
      <c r="O214" s="791"/>
      <c r="P214" s="791"/>
      <c r="Q214" s="792"/>
    </row>
    <row r="215" spans="1:17" s="126" customFormat="1" ht="12.75" customHeight="1" x14ac:dyDescent="0.15">
      <c r="A215" s="822" t="s">
        <v>150</v>
      </c>
      <c r="B215" s="823" t="s">
        <v>151</v>
      </c>
      <c r="C215" s="823"/>
      <c r="D215" s="832" t="s">
        <v>241</v>
      </c>
      <c r="E215" s="823" t="s">
        <v>152</v>
      </c>
      <c r="F215" s="823"/>
      <c r="G215" s="823"/>
      <c r="H215" s="802" t="s">
        <v>153</v>
      </c>
      <c r="I215" s="802" t="s">
        <v>159</v>
      </c>
      <c r="J215" s="804" t="s">
        <v>73</v>
      </c>
      <c r="K215" s="216" t="s">
        <v>154</v>
      </c>
      <c r="L215" s="123"/>
      <c r="M215" s="124"/>
      <c r="N215" s="124"/>
      <c r="O215" s="124"/>
      <c r="P215" s="124"/>
      <c r="Q215" s="125"/>
    </row>
    <row r="216" spans="1:17" s="130" customFormat="1" x14ac:dyDescent="0.15">
      <c r="A216" s="822"/>
      <c r="B216" s="823"/>
      <c r="C216" s="823"/>
      <c r="D216" s="833"/>
      <c r="E216" s="217" t="s">
        <v>155</v>
      </c>
      <c r="F216" s="217" t="s">
        <v>156</v>
      </c>
      <c r="G216" s="217" t="s">
        <v>157</v>
      </c>
      <c r="H216" s="803"/>
      <c r="I216" s="803"/>
      <c r="J216" s="805"/>
      <c r="K216" s="216" t="s">
        <v>158</v>
      </c>
      <c r="L216" s="127"/>
      <c r="M216" s="128"/>
      <c r="N216" s="128"/>
      <c r="O216" s="128"/>
      <c r="P216" s="128"/>
      <c r="Q216" s="129"/>
    </row>
    <row r="217" spans="1:17" ht="29.25" customHeight="1" x14ac:dyDescent="0.15">
      <c r="A217" s="148"/>
      <c r="B217" s="788" t="s">
        <v>1028</v>
      </c>
      <c r="C217" s="789"/>
      <c r="D217" s="143">
        <f>99.86+5</f>
        <v>104.86</v>
      </c>
      <c r="E217" s="143">
        <v>0</v>
      </c>
      <c r="F217" s="143">
        <v>0</v>
      </c>
      <c r="G217" s="143">
        <v>0</v>
      </c>
      <c r="H217" s="143">
        <v>1</v>
      </c>
      <c r="I217" s="143">
        <f>D217</f>
        <v>104.86</v>
      </c>
      <c r="J217" s="133" t="s">
        <v>5</v>
      </c>
      <c r="K217" s="143">
        <f>I217*H217</f>
        <v>104.86</v>
      </c>
      <c r="L217" s="127"/>
      <c r="M217" s="128"/>
      <c r="N217" s="128"/>
      <c r="O217" s="128"/>
      <c r="P217" s="128"/>
      <c r="Q217" s="129"/>
    </row>
    <row r="218" spans="1:17" ht="14" x14ac:dyDescent="0.15">
      <c r="A218" s="795" t="s">
        <v>149</v>
      </c>
      <c r="B218" s="817"/>
      <c r="C218" s="817"/>
      <c r="D218" s="817"/>
      <c r="E218" s="817"/>
      <c r="F218" s="817"/>
      <c r="G218" s="817"/>
      <c r="H218" s="817"/>
      <c r="I218" s="817"/>
      <c r="J218" s="796"/>
      <c r="K218" s="416">
        <f>SUM(K217:K217)</f>
        <v>104.86</v>
      </c>
      <c r="L218" s="134"/>
      <c r="M218" s="135"/>
      <c r="N218" s="135"/>
      <c r="O218" s="135"/>
      <c r="P218" s="135"/>
      <c r="Q218" s="136"/>
    </row>
    <row r="219" spans="1:17" x14ac:dyDescent="0.15">
      <c r="A219" s="790"/>
      <c r="B219" s="791"/>
      <c r="C219" s="791"/>
      <c r="D219" s="791"/>
      <c r="E219" s="791"/>
      <c r="F219" s="791"/>
      <c r="G219" s="791"/>
      <c r="H219" s="791"/>
      <c r="I219" s="791"/>
      <c r="J219" s="791"/>
      <c r="K219" s="791"/>
      <c r="L219" s="791"/>
      <c r="M219" s="791"/>
      <c r="N219" s="791"/>
      <c r="O219" s="791"/>
      <c r="P219" s="791"/>
      <c r="Q219" s="792"/>
    </row>
    <row r="220" spans="1:17" s="121" customFormat="1" ht="18" customHeight="1" x14ac:dyDescent="0.15">
      <c r="A220" s="218" t="s">
        <v>0</v>
      </c>
      <c r="B220" s="838" t="s">
        <v>1033</v>
      </c>
      <c r="C220" s="839"/>
      <c r="D220" s="839"/>
      <c r="E220" s="839"/>
      <c r="F220" s="839"/>
      <c r="G220" s="839"/>
      <c r="H220" s="839"/>
      <c r="I220" s="839"/>
      <c r="J220" s="839"/>
      <c r="K220" s="839"/>
      <c r="L220" s="839"/>
      <c r="M220" s="839"/>
      <c r="N220" s="839"/>
      <c r="O220" s="216" t="s">
        <v>73</v>
      </c>
      <c r="P220" s="795" t="s">
        <v>5</v>
      </c>
      <c r="Q220" s="796"/>
    </row>
    <row r="221" spans="1:17" x14ac:dyDescent="0.15">
      <c r="A221" s="790"/>
      <c r="B221" s="791"/>
      <c r="C221" s="791"/>
      <c r="D221" s="791"/>
      <c r="E221" s="791"/>
      <c r="F221" s="791"/>
      <c r="G221" s="791"/>
      <c r="H221" s="791"/>
      <c r="I221" s="791"/>
      <c r="J221" s="791"/>
      <c r="K221" s="791"/>
      <c r="L221" s="791"/>
      <c r="M221" s="791"/>
      <c r="N221" s="791"/>
      <c r="O221" s="791"/>
      <c r="P221" s="791"/>
      <c r="Q221" s="792"/>
    </row>
    <row r="222" spans="1:17" s="126" customFormat="1" x14ac:dyDescent="0.15">
      <c r="A222" s="822" t="s">
        <v>150</v>
      </c>
      <c r="B222" s="823" t="s">
        <v>151</v>
      </c>
      <c r="C222" s="823"/>
      <c r="D222" s="832" t="s">
        <v>264</v>
      </c>
      <c r="E222" s="823" t="s">
        <v>152</v>
      </c>
      <c r="F222" s="823"/>
      <c r="G222" s="823"/>
      <c r="H222" s="802" t="s">
        <v>153</v>
      </c>
      <c r="I222" s="802" t="s">
        <v>159</v>
      </c>
      <c r="J222" s="804" t="s">
        <v>73</v>
      </c>
      <c r="K222" s="216" t="s">
        <v>154</v>
      </c>
      <c r="L222" s="123"/>
      <c r="M222" s="124"/>
      <c r="N222" s="124"/>
      <c r="O222" s="124"/>
      <c r="P222" s="124"/>
      <c r="Q222" s="125"/>
    </row>
    <row r="223" spans="1:17" s="130" customFormat="1" x14ac:dyDescent="0.15">
      <c r="A223" s="822"/>
      <c r="B223" s="823"/>
      <c r="C223" s="823"/>
      <c r="D223" s="833"/>
      <c r="E223" s="217" t="s">
        <v>155</v>
      </c>
      <c r="F223" s="217" t="s">
        <v>156</v>
      </c>
      <c r="G223" s="217" t="s">
        <v>157</v>
      </c>
      <c r="H223" s="803"/>
      <c r="I223" s="803"/>
      <c r="J223" s="805"/>
      <c r="K223" s="216" t="s">
        <v>158</v>
      </c>
      <c r="L223" s="127"/>
      <c r="M223" s="128"/>
      <c r="N223" s="128"/>
      <c r="O223" s="128"/>
      <c r="P223" s="128"/>
      <c r="Q223" s="129"/>
    </row>
    <row r="224" spans="1:17" ht="19.5" customHeight="1" x14ac:dyDescent="0.15">
      <c r="A224" s="148"/>
      <c r="B224" s="788" t="s">
        <v>1149</v>
      </c>
      <c r="C224" s="789"/>
      <c r="D224" s="143">
        <v>0</v>
      </c>
      <c r="E224" s="143">
        <v>11.03</v>
      </c>
      <c r="F224" s="143">
        <v>1</v>
      </c>
      <c r="G224" s="143">
        <v>0</v>
      </c>
      <c r="H224" s="143">
        <v>1</v>
      </c>
      <c r="I224" s="143">
        <f>F224*E224</f>
        <v>11.03</v>
      </c>
      <c r="J224" s="133" t="s">
        <v>5</v>
      </c>
      <c r="K224" s="143">
        <f t="shared" ref="K224" si="28">(I224*H224)-D224</f>
        <v>11.03</v>
      </c>
      <c r="L224" s="127"/>
      <c r="M224" s="128"/>
      <c r="N224" s="128"/>
      <c r="O224" s="128"/>
      <c r="P224" s="128"/>
      <c r="Q224" s="129"/>
    </row>
    <row r="225" spans="1:17" ht="19.5" customHeight="1" x14ac:dyDescent="0.15">
      <c r="A225" s="148"/>
      <c r="B225" s="788" t="s">
        <v>1150</v>
      </c>
      <c r="C225" s="789"/>
      <c r="D225" s="143">
        <v>0</v>
      </c>
      <c r="E225" s="143">
        <v>4.12</v>
      </c>
      <c r="F225" s="143">
        <v>1.47</v>
      </c>
      <c r="G225" s="143">
        <v>0</v>
      </c>
      <c r="H225" s="143">
        <v>1</v>
      </c>
      <c r="I225" s="143">
        <f>F225*E225</f>
        <v>6.0564</v>
      </c>
      <c r="J225" s="133" t="s">
        <v>5</v>
      </c>
      <c r="K225" s="143">
        <f t="shared" ref="K225" si="29">(I225*H225)-D225</f>
        <v>6.0564</v>
      </c>
      <c r="L225" s="127"/>
      <c r="M225" s="128"/>
      <c r="N225" s="128"/>
      <c r="O225" s="128"/>
      <c r="P225" s="128"/>
      <c r="Q225" s="129"/>
    </row>
    <row r="226" spans="1:17" ht="14" x14ac:dyDescent="0.15">
      <c r="A226" s="795" t="s">
        <v>149</v>
      </c>
      <c r="B226" s="817"/>
      <c r="C226" s="817"/>
      <c r="D226" s="817"/>
      <c r="E226" s="817"/>
      <c r="F226" s="817"/>
      <c r="G226" s="817"/>
      <c r="H226" s="817"/>
      <c r="I226" s="817"/>
      <c r="J226" s="796"/>
      <c r="K226" s="416">
        <f>SUM(K224:K225)</f>
        <v>17.086399999999998</v>
      </c>
      <c r="L226" s="134"/>
      <c r="M226" s="135"/>
      <c r="N226" s="135"/>
      <c r="O226" s="135"/>
      <c r="P226" s="135"/>
      <c r="Q226" s="136"/>
    </row>
    <row r="227" spans="1:17" x14ac:dyDescent="0.15">
      <c r="A227" s="790"/>
      <c r="B227" s="791"/>
      <c r="C227" s="791"/>
      <c r="D227" s="791"/>
      <c r="E227" s="791"/>
      <c r="F227" s="791"/>
      <c r="G227" s="791"/>
      <c r="H227" s="791"/>
      <c r="I227" s="791"/>
      <c r="J227" s="791"/>
      <c r="K227" s="791"/>
      <c r="L227" s="791"/>
      <c r="M227" s="791"/>
      <c r="N227" s="791"/>
      <c r="O227" s="791"/>
      <c r="P227" s="791"/>
      <c r="Q227" s="792"/>
    </row>
    <row r="228" spans="1:17" s="121" customFormat="1" ht="18" customHeight="1" x14ac:dyDescent="0.15">
      <c r="A228" s="218" t="s">
        <v>0</v>
      </c>
      <c r="B228" s="838" t="s">
        <v>1151</v>
      </c>
      <c r="C228" s="839"/>
      <c r="D228" s="839"/>
      <c r="E228" s="839"/>
      <c r="F228" s="839"/>
      <c r="G228" s="839"/>
      <c r="H228" s="839"/>
      <c r="I228" s="839"/>
      <c r="J228" s="839"/>
      <c r="K228" s="839"/>
      <c r="L228" s="839"/>
      <c r="M228" s="839"/>
      <c r="N228" s="839"/>
      <c r="O228" s="216" t="s">
        <v>73</v>
      </c>
      <c r="P228" s="795" t="s">
        <v>193</v>
      </c>
      <c r="Q228" s="796"/>
    </row>
    <row r="229" spans="1:17" x14ac:dyDescent="0.15">
      <c r="A229" s="790"/>
      <c r="B229" s="791"/>
      <c r="C229" s="791"/>
      <c r="D229" s="791"/>
      <c r="E229" s="791"/>
      <c r="F229" s="791"/>
      <c r="G229" s="791"/>
      <c r="H229" s="791"/>
      <c r="I229" s="791"/>
      <c r="J229" s="791"/>
      <c r="K229" s="791"/>
      <c r="L229" s="791"/>
      <c r="M229" s="791"/>
      <c r="N229" s="791"/>
      <c r="O229" s="791"/>
      <c r="P229" s="791"/>
      <c r="Q229" s="792"/>
    </row>
    <row r="230" spans="1:17" s="126" customFormat="1" x14ac:dyDescent="0.15">
      <c r="A230" s="822" t="s">
        <v>150</v>
      </c>
      <c r="B230" s="823" t="s">
        <v>151</v>
      </c>
      <c r="C230" s="823"/>
      <c r="D230" s="832" t="s">
        <v>264</v>
      </c>
      <c r="E230" s="823" t="s">
        <v>152</v>
      </c>
      <c r="F230" s="823"/>
      <c r="G230" s="823"/>
      <c r="H230" s="802" t="s">
        <v>153</v>
      </c>
      <c r="I230" s="802" t="s">
        <v>242</v>
      </c>
      <c r="J230" s="804" t="s">
        <v>73</v>
      </c>
      <c r="K230" s="216" t="s">
        <v>154</v>
      </c>
      <c r="L230" s="123"/>
      <c r="M230" s="124"/>
      <c r="N230" s="124"/>
      <c r="O230" s="124"/>
      <c r="P230" s="124"/>
      <c r="Q230" s="125"/>
    </row>
    <row r="231" spans="1:17" s="130" customFormat="1" x14ac:dyDescent="0.15">
      <c r="A231" s="822"/>
      <c r="B231" s="823"/>
      <c r="C231" s="823"/>
      <c r="D231" s="833"/>
      <c r="E231" s="217" t="s">
        <v>155</v>
      </c>
      <c r="F231" s="217" t="s">
        <v>156</v>
      </c>
      <c r="G231" s="217" t="s">
        <v>157</v>
      </c>
      <c r="H231" s="803"/>
      <c r="I231" s="803"/>
      <c r="J231" s="805"/>
      <c r="K231" s="216" t="s">
        <v>158</v>
      </c>
      <c r="L231" s="127"/>
      <c r="M231" s="128"/>
      <c r="N231" s="128"/>
      <c r="O231" s="128"/>
      <c r="P231" s="128"/>
      <c r="Q231" s="129"/>
    </row>
    <row r="232" spans="1:17" ht="19.5" customHeight="1" x14ac:dyDescent="0.15">
      <c r="A232" s="148"/>
      <c r="B232" s="788" t="s">
        <v>1152</v>
      </c>
      <c r="C232" s="789"/>
      <c r="D232" s="143">
        <v>0</v>
      </c>
      <c r="E232" s="143">
        <v>13</v>
      </c>
      <c r="F232" s="143">
        <v>0</v>
      </c>
      <c r="G232" s="143">
        <v>0.1</v>
      </c>
      <c r="H232" s="143">
        <v>1</v>
      </c>
      <c r="I232" s="143">
        <f>E232</f>
        <v>13</v>
      </c>
      <c r="J232" s="133" t="s">
        <v>193</v>
      </c>
      <c r="K232" s="143">
        <f t="shared" ref="K232" si="30">(I232*H232)-D232</f>
        <v>13</v>
      </c>
      <c r="L232" s="127"/>
      <c r="M232" s="128"/>
      <c r="N232" s="128"/>
      <c r="O232" s="128"/>
      <c r="P232" s="128"/>
      <c r="Q232" s="129"/>
    </row>
    <row r="233" spans="1:17" ht="14" x14ac:dyDescent="0.15">
      <c r="A233" s="795" t="s">
        <v>149</v>
      </c>
      <c r="B233" s="817"/>
      <c r="C233" s="817"/>
      <c r="D233" s="817"/>
      <c r="E233" s="817"/>
      <c r="F233" s="817"/>
      <c r="G233" s="817"/>
      <c r="H233" s="817"/>
      <c r="I233" s="817"/>
      <c r="J233" s="796"/>
      <c r="K233" s="416">
        <f>SUM(K232:K232)</f>
        <v>13</v>
      </c>
      <c r="L233" s="134"/>
      <c r="M233" s="135"/>
      <c r="N233" s="135"/>
      <c r="O233" s="135"/>
      <c r="P233" s="135"/>
      <c r="Q233" s="136"/>
    </row>
    <row r="234" spans="1:17" x14ac:dyDescent="0.15">
      <c r="A234" s="790"/>
      <c r="B234" s="791"/>
      <c r="C234" s="791"/>
      <c r="D234" s="791"/>
      <c r="E234" s="791"/>
      <c r="F234" s="791"/>
      <c r="G234" s="791"/>
      <c r="H234" s="791"/>
      <c r="I234" s="791"/>
      <c r="J234" s="791"/>
      <c r="K234" s="791"/>
      <c r="L234" s="791"/>
      <c r="M234" s="791"/>
      <c r="N234" s="791"/>
      <c r="O234" s="791"/>
      <c r="P234" s="791"/>
      <c r="Q234" s="792"/>
    </row>
    <row r="235" spans="1:17" s="121" customFormat="1" ht="18" customHeight="1" x14ac:dyDescent="0.15">
      <c r="A235" s="218" t="s">
        <v>0</v>
      </c>
      <c r="B235" s="859" t="s">
        <v>1104</v>
      </c>
      <c r="C235" s="860"/>
      <c r="D235" s="860"/>
      <c r="E235" s="860"/>
      <c r="F235" s="860"/>
      <c r="G235" s="860"/>
      <c r="H235" s="860"/>
      <c r="I235" s="860"/>
      <c r="J235" s="860"/>
      <c r="K235" s="860"/>
      <c r="L235" s="860"/>
      <c r="M235" s="860"/>
      <c r="N235" s="860"/>
      <c r="O235" s="216" t="s">
        <v>73</v>
      </c>
      <c r="P235" s="795" t="s">
        <v>5</v>
      </c>
      <c r="Q235" s="796"/>
    </row>
    <row r="236" spans="1:17" x14ac:dyDescent="0.15">
      <c r="A236" s="790"/>
      <c r="B236" s="791"/>
      <c r="C236" s="791"/>
      <c r="D236" s="791"/>
      <c r="E236" s="791"/>
      <c r="F236" s="791"/>
      <c r="G236" s="791"/>
      <c r="H236" s="791"/>
      <c r="I236" s="791"/>
      <c r="J236" s="791"/>
      <c r="K236" s="791"/>
      <c r="L236" s="791"/>
      <c r="M236" s="791"/>
      <c r="N236" s="791"/>
      <c r="O236" s="791"/>
      <c r="P236" s="791"/>
      <c r="Q236" s="792"/>
    </row>
    <row r="237" spans="1:17" s="126" customFormat="1" ht="12.75" customHeight="1" x14ac:dyDescent="0.15">
      <c r="A237" s="822" t="s">
        <v>150</v>
      </c>
      <c r="B237" s="823" t="s">
        <v>151</v>
      </c>
      <c r="C237" s="823"/>
      <c r="D237" s="832" t="s">
        <v>241</v>
      </c>
      <c r="E237" s="823" t="s">
        <v>152</v>
      </c>
      <c r="F237" s="823"/>
      <c r="G237" s="823"/>
      <c r="H237" s="802" t="s">
        <v>153</v>
      </c>
      <c r="I237" s="802" t="s">
        <v>159</v>
      </c>
      <c r="J237" s="804" t="s">
        <v>73</v>
      </c>
      <c r="K237" s="216" t="s">
        <v>154</v>
      </c>
      <c r="L237" s="123"/>
      <c r="M237" s="124"/>
      <c r="N237" s="124"/>
      <c r="O237" s="124"/>
      <c r="P237" s="124"/>
      <c r="Q237" s="125"/>
    </row>
    <row r="238" spans="1:17" s="130" customFormat="1" x14ac:dyDescent="0.15">
      <c r="A238" s="822"/>
      <c r="B238" s="823"/>
      <c r="C238" s="823"/>
      <c r="D238" s="833"/>
      <c r="E238" s="217" t="s">
        <v>155</v>
      </c>
      <c r="F238" s="217" t="s">
        <v>206</v>
      </c>
      <c r="G238" s="217" t="s">
        <v>1093</v>
      </c>
      <c r="H238" s="803"/>
      <c r="I238" s="803"/>
      <c r="J238" s="805"/>
      <c r="K238" s="216" t="s">
        <v>158</v>
      </c>
      <c r="L238" s="127"/>
      <c r="M238" s="128"/>
      <c r="N238" s="128"/>
      <c r="O238" s="128"/>
      <c r="P238" s="128"/>
      <c r="Q238" s="129"/>
    </row>
    <row r="239" spans="1:17" ht="20.25" customHeight="1" x14ac:dyDescent="0.15">
      <c r="A239" s="148"/>
      <c r="B239" s="815" t="s">
        <v>1083</v>
      </c>
      <c r="C239" s="816"/>
      <c r="D239" s="143">
        <v>0</v>
      </c>
      <c r="E239" s="143">
        <v>21.21</v>
      </c>
      <c r="F239" s="143">
        <v>0</v>
      </c>
      <c r="G239" s="143">
        <v>2</v>
      </c>
      <c r="H239" s="143">
        <v>2</v>
      </c>
      <c r="I239" s="143">
        <f t="shared" ref="I239:I243" si="31">G239*E239</f>
        <v>42.42</v>
      </c>
      <c r="J239" s="133" t="s">
        <v>5</v>
      </c>
      <c r="K239" s="143">
        <f t="shared" ref="K239:K243" si="32">(I239*H239)-D239</f>
        <v>84.84</v>
      </c>
      <c r="L239" s="127"/>
      <c r="M239" s="128"/>
      <c r="N239" s="128"/>
      <c r="O239" s="128"/>
      <c r="P239" s="128"/>
      <c r="Q239" s="129"/>
    </row>
    <row r="240" spans="1:17" ht="20.25" customHeight="1" x14ac:dyDescent="0.15">
      <c r="A240" s="148"/>
      <c r="B240" s="788" t="s">
        <v>988</v>
      </c>
      <c r="C240" s="789"/>
      <c r="D240" s="143">
        <v>0</v>
      </c>
      <c r="E240" s="143">
        <v>0.2</v>
      </c>
      <c r="F240" s="143">
        <v>0</v>
      </c>
      <c r="G240" s="143">
        <v>2</v>
      </c>
      <c r="H240" s="143">
        <v>16</v>
      </c>
      <c r="I240" s="143">
        <f t="shared" si="31"/>
        <v>0.4</v>
      </c>
      <c r="J240" s="133" t="s">
        <v>5</v>
      </c>
      <c r="K240" s="143">
        <f t="shared" si="32"/>
        <v>6.4</v>
      </c>
      <c r="L240" s="127"/>
      <c r="M240" s="128"/>
      <c r="N240" s="128"/>
      <c r="O240" s="128"/>
      <c r="P240" s="128"/>
      <c r="Q240" s="129"/>
    </row>
    <row r="241" spans="1:17" ht="20.25" customHeight="1" x14ac:dyDescent="0.15">
      <c r="A241" s="148"/>
      <c r="B241" s="788" t="s">
        <v>1092</v>
      </c>
      <c r="C241" s="789"/>
      <c r="D241" s="143">
        <v>0</v>
      </c>
      <c r="E241" s="143">
        <v>23.21</v>
      </c>
      <c r="F241" s="143">
        <v>0</v>
      </c>
      <c r="G241" s="143">
        <v>0.6</v>
      </c>
      <c r="H241" s="143">
        <v>1</v>
      </c>
      <c r="I241" s="143">
        <f t="shared" si="31"/>
        <v>13.926</v>
      </c>
      <c r="J241" s="133" t="s">
        <v>5</v>
      </c>
      <c r="K241" s="143">
        <f t="shared" si="32"/>
        <v>13.926</v>
      </c>
      <c r="L241" s="127"/>
      <c r="M241" s="128"/>
      <c r="N241" s="128"/>
      <c r="O241" s="128"/>
      <c r="P241" s="128"/>
      <c r="Q241" s="129"/>
    </row>
    <row r="242" spans="1:17" ht="20.25" customHeight="1" x14ac:dyDescent="0.15">
      <c r="A242" s="148"/>
      <c r="B242" s="788" t="s">
        <v>1094</v>
      </c>
      <c r="C242" s="789"/>
      <c r="D242" s="143">
        <v>0</v>
      </c>
      <c r="E242" s="143">
        <v>23.21</v>
      </c>
      <c r="F242" s="143">
        <v>0</v>
      </c>
      <c r="G242" s="143">
        <v>0.1</v>
      </c>
      <c r="H242" s="143">
        <v>2</v>
      </c>
      <c r="I242" s="143">
        <f t="shared" si="31"/>
        <v>2.3210000000000002</v>
      </c>
      <c r="J242" s="133" t="s">
        <v>5</v>
      </c>
      <c r="K242" s="143">
        <f t="shared" si="32"/>
        <v>4.6420000000000003</v>
      </c>
      <c r="L242" s="127"/>
      <c r="M242" s="128"/>
      <c r="N242" s="128"/>
      <c r="O242" s="128"/>
      <c r="P242" s="128"/>
      <c r="Q242" s="129"/>
    </row>
    <row r="243" spans="1:17" ht="30.75" customHeight="1" x14ac:dyDescent="0.15">
      <c r="A243" s="148"/>
      <c r="B243" s="815" t="s">
        <v>1097</v>
      </c>
      <c r="C243" s="816"/>
      <c r="D243" s="143">
        <v>0</v>
      </c>
      <c r="E243" s="143">
        <v>11.06</v>
      </c>
      <c r="F243" s="143">
        <v>0</v>
      </c>
      <c r="G243" s="143">
        <v>7.0000000000000007E-2</v>
      </c>
      <c r="H243" s="143">
        <v>7</v>
      </c>
      <c r="I243" s="143">
        <f t="shared" si="31"/>
        <v>0.77420000000000011</v>
      </c>
      <c r="J243" s="133" t="s">
        <v>5</v>
      </c>
      <c r="K243" s="143">
        <f t="shared" si="32"/>
        <v>5.4194000000000004</v>
      </c>
      <c r="L243" s="127"/>
      <c r="M243" s="128"/>
      <c r="N243" s="128"/>
      <c r="O243" s="128"/>
      <c r="P243" s="128"/>
      <c r="Q243" s="129"/>
    </row>
    <row r="244" spans="1:17" ht="14" x14ac:dyDescent="0.15">
      <c r="A244" s="795" t="s">
        <v>149</v>
      </c>
      <c r="B244" s="817"/>
      <c r="C244" s="817"/>
      <c r="D244" s="817"/>
      <c r="E244" s="817"/>
      <c r="F244" s="817"/>
      <c r="G244" s="817"/>
      <c r="H244" s="817"/>
      <c r="I244" s="817"/>
      <c r="J244" s="796"/>
      <c r="K244" s="416">
        <f>SUM(K239:K243)</f>
        <v>115.2274</v>
      </c>
      <c r="L244" s="134"/>
      <c r="M244" s="135"/>
      <c r="N244" s="135"/>
      <c r="O244" s="135"/>
      <c r="P244" s="135"/>
      <c r="Q244" s="136"/>
    </row>
    <row r="245" spans="1:17" x14ac:dyDescent="0.15">
      <c r="A245" s="790"/>
      <c r="B245" s="791"/>
      <c r="C245" s="791"/>
      <c r="D245" s="791"/>
      <c r="E245" s="791"/>
      <c r="F245" s="791"/>
      <c r="G245" s="791"/>
      <c r="H245" s="791"/>
      <c r="I245" s="791"/>
      <c r="J245" s="791"/>
      <c r="K245" s="791"/>
      <c r="L245" s="791"/>
      <c r="M245" s="791"/>
      <c r="N245" s="791"/>
      <c r="O245" s="791"/>
      <c r="P245" s="791"/>
      <c r="Q245" s="792"/>
    </row>
    <row r="246" spans="1:17" s="121" customFormat="1" ht="18" customHeight="1" x14ac:dyDescent="0.15">
      <c r="A246" s="218" t="s">
        <v>0</v>
      </c>
      <c r="B246" s="843" t="s">
        <v>1035</v>
      </c>
      <c r="C246" s="844"/>
      <c r="D246" s="844"/>
      <c r="E246" s="844"/>
      <c r="F246" s="844"/>
      <c r="G246" s="844"/>
      <c r="H246" s="844"/>
      <c r="I246" s="844"/>
      <c r="J246" s="844"/>
      <c r="K246" s="844"/>
      <c r="L246" s="844"/>
      <c r="M246" s="844"/>
      <c r="N246" s="844"/>
      <c r="O246" s="216" t="s">
        <v>73</v>
      </c>
      <c r="P246" s="795" t="s">
        <v>19</v>
      </c>
      <c r="Q246" s="796"/>
    </row>
    <row r="247" spans="1:17" x14ac:dyDescent="0.15">
      <c r="A247" s="790"/>
      <c r="B247" s="791"/>
      <c r="C247" s="791"/>
      <c r="D247" s="791"/>
      <c r="E247" s="791"/>
      <c r="F247" s="791"/>
      <c r="G247" s="791"/>
      <c r="H247" s="791"/>
      <c r="I247" s="791"/>
      <c r="J247" s="791"/>
      <c r="K247" s="791"/>
      <c r="L247" s="791"/>
      <c r="M247" s="791"/>
      <c r="N247" s="791"/>
      <c r="O247" s="791"/>
      <c r="P247" s="791"/>
      <c r="Q247" s="792"/>
    </row>
    <row r="248" spans="1:17" s="126" customFormat="1" x14ac:dyDescent="0.15">
      <c r="A248" s="822" t="s">
        <v>150</v>
      </c>
      <c r="B248" s="823" t="s">
        <v>151</v>
      </c>
      <c r="C248" s="823"/>
      <c r="D248" s="802" t="s">
        <v>165</v>
      </c>
      <c r="E248" s="823" t="s">
        <v>152</v>
      </c>
      <c r="F248" s="823"/>
      <c r="G248" s="823"/>
      <c r="H248" s="802" t="s">
        <v>153</v>
      </c>
      <c r="I248" s="802" t="s">
        <v>479</v>
      </c>
      <c r="J248" s="804" t="s">
        <v>73</v>
      </c>
      <c r="K248" s="216" t="s">
        <v>154</v>
      </c>
      <c r="L248" s="123"/>
      <c r="M248" s="124"/>
      <c r="N248" s="124"/>
      <c r="O248" s="124"/>
      <c r="P248" s="124"/>
      <c r="Q248" s="125"/>
    </row>
    <row r="249" spans="1:17" s="130" customFormat="1" x14ac:dyDescent="0.15">
      <c r="A249" s="822"/>
      <c r="B249" s="823"/>
      <c r="C249" s="823"/>
      <c r="D249" s="803"/>
      <c r="E249" s="217" t="s">
        <v>155</v>
      </c>
      <c r="F249" s="217" t="s">
        <v>156</v>
      </c>
      <c r="G249" s="217" t="s">
        <v>157</v>
      </c>
      <c r="H249" s="803"/>
      <c r="I249" s="803"/>
      <c r="J249" s="805"/>
      <c r="K249" s="216" t="s">
        <v>158</v>
      </c>
      <c r="L249" s="127"/>
      <c r="M249" s="128"/>
      <c r="N249" s="128"/>
      <c r="O249" s="128"/>
      <c r="P249" s="128"/>
      <c r="Q249" s="129"/>
    </row>
    <row r="250" spans="1:17" ht="27.75" customHeight="1" x14ac:dyDescent="0.15">
      <c r="A250" s="148"/>
      <c r="B250" s="788" t="s">
        <v>1028</v>
      </c>
      <c r="C250" s="789"/>
      <c r="D250" s="143" t="s">
        <v>19</v>
      </c>
      <c r="E250" s="143">
        <v>0</v>
      </c>
      <c r="F250" s="143">
        <v>0</v>
      </c>
      <c r="G250" s="143">
        <v>0</v>
      </c>
      <c r="H250" s="143">
        <v>1</v>
      </c>
      <c r="I250" s="143">
        <v>1</v>
      </c>
      <c r="J250" s="133" t="s">
        <v>19</v>
      </c>
      <c r="K250" s="143">
        <f>I250*H250</f>
        <v>1</v>
      </c>
      <c r="L250" s="127"/>
      <c r="M250" s="128"/>
      <c r="N250" s="128"/>
      <c r="O250" s="128"/>
      <c r="P250" s="128"/>
      <c r="Q250" s="129"/>
    </row>
    <row r="251" spans="1:17" ht="14" x14ac:dyDescent="0.15">
      <c r="A251" s="795" t="s">
        <v>149</v>
      </c>
      <c r="B251" s="817"/>
      <c r="C251" s="817"/>
      <c r="D251" s="817"/>
      <c r="E251" s="817"/>
      <c r="F251" s="817"/>
      <c r="G251" s="817"/>
      <c r="H251" s="817"/>
      <c r="I251" s="817"/>
      <c r="J251" s="796"/>
      <c r="K251" s="416">
        <f>SUM(K250:K250)</f>
        <v>1</v>
      </c>
      <c r="L251" s="134"/>
      <c r="M251" s="135"/>
      <c r="N251" s="135"/>
      <c r="O251" s="135"/>
      <c r="P251" s="135"/>
      <c r="Q251" s="136"/>
    </row>
    <row r="252" spans="1:17" x14ac:dyDescent="0.15">
      <c r="A252" s="790"/>
      <c r="B252" s="791"/>
      <c r="C252" s="791"/>
      <c r="D252" s="791"/>
      <c r="E252" s="791"/>
      <c r="F252" s="791"/>
      <c r="G252" s="791"/>
      <c r="H252" s="791"/>
      <c r="I252" s="791"/>
      <c r="J252" s="791"/>
      <c r="K252" s="791"/>
      <c r="L252" s="791"/>
      <c r="M252" s="791"/>
      <c r="N252" s="791"/>
      <c r="O252" s="791"/>
      <c r="P252" s="791"/>
      <c r="Q252" s="792"/>
    </row>
    <row r="253" spans="1:17" s="121" customFormat="1" ht="18" customHeight="1" x14ac:dyDescent="0.15">
      <c r="A253" s="218" t="s">
        <v>0</v>
      </c>
      <c r="B253" s="843" t="s">
        <v>1036</v>
      </c>
      <c r="C253" s="844"/>
      <c r="D253" s="844"/>
      <c r="E253" s="844"/>
      <c r="F253" s="844"/>
      <c r="G253" s="844"/>
      <c r="H253" s="844"/>
      <c r="I253" s="844"/>
      <c r="J253" s="844"/>
      <c r="K253" s="844"/>
      <c r="L253" s="844"/>
      <c r="M253" s="844"/>
      <c r="N253" s="844"/>
      <c r="O253" s="216" t="s">
        <v>73</v>
      </c>
      <c r="P253" s="795" t="s">
        <v>319</v>
      </c>
      <c r="Q253" s="796"/>
    </row>
    <row r="254" spans="1:17" x14ac:dyDescent="0.15">
      <c r="A254" s="790"/>
      <c r="B254" s="791"/>
      <c r="C254" s="791"/>
      <c r="D254" s="791"/>
      <c r="E254" s="791"/>
      <c r="F254" s="791"/>
      <c r="G254" s="791"/>
      <c r="H254" s="791"/>
      <c r="I254" s="791"/>
      <c r="J254" s="791"/>
      <c r="K254" s="791"/>
      <c r="L254" s="791"/>
      <c r="M254" s="791"/>
      <c r="N254" s="791"/>
      <c r="O254" s="791"/>
      <c r="P254" s="791"/>
      <c r="Q254" s="792"/>
    </row>
    <row r="255" spans="1:17" s="126" customFormat="1" ht="12.75" customHeight="1" x14ac:dyDescent="0.15">
      <c r="A255" s="822" t="s">
        <v>150</v>
      </c>
      <c r="B255" s="823" t="s">
        <v>151</v>
      </c>
      <c r="C255" s="823"/>
      <c r="D255" s="802"/>
      <c r="E255" s="823" t="s">
        <v>152</v>
      </c>
      <c r="F255" s="823"/>
      <c r="G255" s="823"/>
      <c r="H255" s="802" t="s">
        <v>153</v>
      </c>
      <c r="I255" s="802" t="s">
        <v>479</v>
      </c>
      <c r="J255" s="804" t="s">
        <v>73</v>
      </c>
      <c r="K255" s="216" t="s">
        <v>154</v>
      </c>
      <c r="L255" s="123"/>
      <c r="M255" s="124"/>
      <c r="N255" s="124"/>
      <c r="O255" s="124"/>
      <c r="P255" s="124"/>
      <c r="Q255" s="125"/>
    </row>
    <row r="256" spans="1:17" s="130" customFormat="1" x14ac:dyDescent="0.15">
      <c r="A256" s="822"/>
      <c r="B256" s="823"/>
      <c r="C256" s="823"/>
      <c r="D256" s="803"/>
      <c r="E256" s="217" t="s">
        <v>155</v>
      </c>
      <c r="F256" s="217" t="s">
        <v>156</v>
      </c>
      <c r="G256" s="217" t="s">
        <v>157</v>
      </c>
      <c r="H256" s="803"/>
      <c r="I256" s="803"/>
      <c r="J256" s="805"/>
      <c r="K256" s="216" t="s">
        <v>158</v>
      </c>
      <c r="L256" s="127"/>
      <c r="M256" s="128"/>
      <c r="N256" s="128"/>
      <c r="O256" s="128"/>
      <c r="P256" s="128"/>
      <c r="Q256" s="129"/>
    </row>
    <row r="257" spans="1:17" ht="21" customHeight="1" x14ac:dyDescent="0.15">
      <c r="A257" s="148"/>
      <c r="B257" s="788" t="s">
        <v>1037</v>
      </c>
      <c r="C257" s="789"/>
      <c r="D257" s="143"/>
      <c r="E257" s="143">
        <v>0</v>
      </c>
      <c r="F257" s="143">
        <v>0</v>
      </c>
      <c r="G257" s="143">
        <v>0</v>
      </c>
      <c r="H257" s="143">
        <v>1</v>
      </c>
      <c r="I257" s="143">
        <v>1</v>
      </c>
      <c r="J257" s="133" t="s">
        <v>319</v>
      </c>
      <c r="K257" s="143">
        <f>I257*H257</f>
        <v>1</v>
      </c>
      <c r="L257" s="127"/>
      <c r="M257" s="128"/>
      <c r="N257" s="128"/>
      <c r="O257" s="128"/>
      <c r="P257" s="128"/>
      <c r="Q257" s="129"/>
    </row>
    <row r="258" spans="1:17" ht="14" x14ac:dyDescent="0.15">
      <c r="A258" s="795" t="s">
        <v>149</v>
      </c>
      <c r="B258" s="817"/>
      <c r="C258" s="817"/>
      <c r="D258" s="817"/>
      <c r="E258" s="817"/>
      <c r="F258" s="817"/>
      <c r="G258" s="817"/>
      <c r="H258" s="817"/>
      <c r="I258" s="817"/>
      <c r="J258" s="796"/>
      <c r="K258" s="416">
        <f>SUM(K257:K257)</f>
        <v>1</v>
      </c>
      <c r="L258" s="134"/>
      <c r="M258" s="135"/>
      <c r="N258" s="135"/>
      <c r="O258" s="135"/>
      <c r="P258" s="135"/>
      <c r="Q258" s="136"/>
    </row>
    <row r="259" spans="1:17" x14ac:dyDescent="0.15">
      <c r="A259" s="790"/>
      <c r="B259" s="791"/>
      <c r="C259" s="791"/>
      <c r="D259" s="791"/>
      <c r="E259" s="791"/>
      <c r="F259" s="791"/>
      <c r="G259" s="791"/>
      <c r="H259" s="791"/>
      <c r="I259" s="791"/>
      <c r="J259" s="791"/>
      <c r="K259" s="791"/>
      <c r="L259" s="791"/>
      <c r="M259" s="791"/>
      <c r="N259" s="791"/>
      <c r="O259" s="791"/>
      <c r="P259" s="791"/>
      <c r="Q259" s="792"/>
    </row>
    <row r="260" spans="1:17" s="121" customFormat="1" ht="18" customHeight="1" x14ac:dyDescent="0.15">
      <c r="A260" s="218" t="s">
        <v>0</v>
      </c>
      <c r="B260" s="843" t="s">
        <v>1039</v>
      </c>
      <c r="C260" s="844"/>
      <c r="D260" s="844"/>
      <c r="E260" s="844"/>
      <c r="F260" s="844"/>
      <c r="G260" s="844"/>
      <c r="H260" s="844"/>
      <c r="I260" s="844"/>
      <c r="J260" s="844"/>
      <c r="K260" s="844"/>
      <c r="L260" s="844"/>
      <c r="M260" s="844"/>
      <c r="N260" s="844"/>
      <c r="O260" s="216" t="s">
        <v>73</v>
      </c>
      <c r="P260" s="795" t="s">
        <v>319</v>
      </c>
      <c r="Q260" s="796"/>
    </row>
    <row r="261" spans="1:17" x14ac:dyDescent="0.15">
      <c r="A261" s="790"/>
      <c r="B261" s="791"/>
      <c r="C261" s="791"/>
      <c r="D261" s="791"/>
      <c r="E261" s="791"/>
      <c r="F261" s="791"/>
      <c r="G261" s="791"/>
      <c r="H261" s="791"/>
      <c r="I261" s="791"/>
      <c r="J261" s="791"/>
      <c r="K261" s="791"/>
      <c r="L261" s="791"/>
      <c r="M261" s="791"/>
      <c r="N261" s="791"/>
      <c r="O261" s="791"/>
      <c r="P261" s="791"/>
      <c r="Q261" s="792"/>
    </row>
    <row r="262" spans="1:17" s="126" customFormat="1" ht="12.75" customHeight="1" x14ac:dyDescent="0.15">
      <c r="A262" s="822" t="s">
        <v>150</v>
      </c>
      <c r="B262" s="823" t="s">
        <v>151</v>
      </c>
      <c r="C262" s="823"/>
      <c r="D262" s="802"/>
      <c r="E262" s="823" t="s">
        <v>152</v>
      </c>
      <c r="F262" s="823"/>
      <c r="G262" s="823"/>
      <c r="H262" s="802" t="s">
        <v>153</v>
      </c>
      <c r="I262" s="802" t="s">
        <v>479</v>
      </c>
      <c r="J262" s="804" t="s">
        <v>73</v>
      </c>
      <c r="K262" s="216" t="s">
        <v>154</v>
      </c>
      <c r="L262" s="123"/>
      <c r="M262" s="124"/>
      <c r="N262" s="124"/>
      <c r="O262" s="124"/>
      <c r="P262" s="124"/>
      <c r="Q262" s="125"/>
    </row>
    <row r="263" spans="1:17" s="130" customFormat="1" x14ac:dyDescent="0.15">
      <c r="A263" s="822"/>
      <c r="B263" s="823"/>
      <c r="C263" s="823"/>
      <c r="D263" s="803"/>
      <c r="E263" s="217" t="s">
        <v>155</v>
      </c>
      <c r="F263" s="217" t="s">
        <v>156</v>
      </c>
      <c r="G263" s="217" t="s">
        <v>157</v>
      </c>
      <c r="H263" s="803"/>
      <c r="I263" s="803"/>
      <c r="J263" s="805"/>
      <c r="K263" s="216" t="s">
        <v>158</v>
      </c>
      <c r="L263" s="127"/>
      <c r="M263" s="128"/>
      <c r="N263" s="128"/>
      <c r="O263" s="128"/>
      <c r="P263" s="128"/>
      <c r="Q263" s="129"/>
    </row>
    <row r="264" spans="1:17" ht="21" customHeight="1" x14ac:dyDescent="0.15">
      <c r="A264" s="148"/>
      <c r="B264" s="788" t="s">
        <v>1038</v>
      </c>
      <c r="C264" s="789"/>
      <c r="D264" s="143"/>
      <c r="E264" s="143">
        <v>0</v>
      </c>
      <c r="F264" s="143">
        <v>0</v>
      </c>
      <c r="G264" s="143">
        <v>0</v>
      </c>
      <c r="H264" s="143">
        <v>1</v>
      </c>
      <c r="I264" s="143">
        <v>1</v>
      </c>
      <c r="J264" s="133" t="s">
        <v>319</v>
      </c>
      <c r="K264" s="143">
        <f>I264*H264</f>
        <v>1</v>
      </c>
      <c r="L264" s="127"/>
      <c r="M264" s="128"/>
      <c r="N264" s="128"/>
      <c r="O264" s="128"/>
      <c r="P264" s="128"/>
      <c r="Q264" s="129"/>
    </row>
    <row r="265" spans="1:17" ht="14" x14ac:dyDescent="0.15">
      <c r="A265" s="795" t="s">
        <v>149</v>
      </c>
      <c r="B265" s="817"/>
      <c r="C265" s="817"/>
      <c r="D265" s="817"/>
      <c r="E265" s="817"/>
      <c r="F265" s="817"/>
      <c r="G265" s="817"/>
      <c r="H265" s="817"/>
      <c r="I265" s="817"/>
      <c r="J265" s="796"/>
      <c r="K265" s="416">
        <f>SUM(K264:K264)</f>
        <v>1</v>
      </c>
      <c r="L265" s="134"/>
      <c r="M265" s="135"/>
      <c r="N265" s="135"/>
      <c r="O265" s="135"/>
      <c r="P265" s="135"/>
      <c r="Q265" s="136"/>
    </row>
    <row r="266" spans="1:17" x14ac:dyDescent="0.15">
      <c r="A266" s="790"/>
      <c r="B266" s="791"/>
      <c r="C266" s="791"/>
      <c r="D266" s="791"/>
      <c r="E266" s="791"/>
      <c r="F266" s="791"/>
      <c r="G266" s="791"/>
      <c r="H266" s="791"/>
      <c r="I266" s="791"/>
      <c r="J266" s="791"/>
      <c r="K266" s="791"/>
      <c r="L266" s="791"/>
      <c r="M266" s="791"/>
      <c r="N266" s="791"/>
      <c r="O266" s="791"/>
      <c r="P266" s="791"/>
      <c r="Q266" s="792"/>
    </row>
    <row r="267" spans="1:17" s="121" customFormat="1" ht="18" customHeight="1" x14ac:dyDescent="0.15">
      <c r="A267" s="218" t="s">
        <v>0</v>
      </c>
      <c r="B267" s="841" t="s">
        <v>1040</v>
      </c>
      <c r="C267" s="842"/>
      <c r="D267" s="842"/>
      <c r="E267" s="842"/>
      <c r="F267" s="842"/>
      <c r="G267" s="842"/>
      <c r="H267" s="842"/>
      <c r="I267" s="842"/>
      <c r="J267" s="842"/>
      <c r="K267" s="842"/>
      <c r="L267" s="842"/>
      <c r="M267" s="842"/>
      <c r="N267" s="842"/>
      <c r="O267" s="216" t="s">
        <v>73</v>
      </c>
      <c r="P267" s="795" t="s">
        <v>19</v>
      </c>
      <c r="Q267" s="796"/>
    </row>
    <row r="268" spans="1:17" x14ac:dyDescent="0.15">
      <c r="A268" s="790"/>
      <c r="B268" s="791"/>
      <c r="C268" s="791"/>
      <c r="D268" s="791"/>
      <c r="E268" s="791"/>
      <c r="F268" s="791"/>
      <c r="G268" s="791"/>
      <c r="H268" s="791"/>
      <c r="I268" s="791"/>
      <c r="J268" s="791"/>
      <c r="K268" s="791"/>
      <c r="L268" s="791"/>
      <c r="M268" s="791"/>
      <c r="N268" s="791"/>
      <c r="O268" s="791"/>
      <c r="P268" s="791"/>
      <c r="Q268" s="792"/>
    </row>
    <row r="269" spans="1:17" s="126" customFormat="1" x14ac:dyDescent="0.15">
      <c r="A269" s="822" t="s">
        <v>150</v>
      </c>
      <c r="B269" s="823" t="s">
        <v>151</v>
      </c>
      <c r="C269" s="823"/>
      <c r="D269" s="802" t="s">
        <v>165</v>
      </c>
      <c r="E269" s="823" t="s">
        <v>152</v>
      </c>
      <c r="F269" s="823"/>
      <c r="G269" s="823"/>
      <c r="H269" s="802" t="s">
        <v>153</v>
      </c>
      <c r="I269" s="802" t="s">
        <v>479</v>
      </c>
      <c r="J269" s="804" t="s">
        <v>73</v>
      </c>
      <c r="K269" s="216" t="s">
        <v>154</v>
      </c>
      <c r="L269" s="123"/>
      <c r="M269" s="124"/>
      <c r="N269" s="124"/>
      <c r="O269" s="124"/>
      <c r="P269" s="124"/>
      <c r="Q269" s="125"/>
    </row>
    <row r="270" spans="1:17" s="130" customFormat="1" x14ac:dyDescent="0.15">
      <c r="A270" s="822"/>
      <c r="B270" s="823"/>
      <c r="C270" s="823"/>
      <c r="D270" s="803"/>
      <c r="E270" s="217" t="s">
        <v>155</v>
      </c>
      <c r="F270" s="217" t="s">
        <v>156</v>
      </c>
      <c r="G270" s="217" t="s">
        <v>157</v>
      </c>
      <c r="H270" s="803"/>
      <c r="I270" s="803"/>
      <c r="J270" s="805"/>
      <c r="K270" s="216" t="s">
        <v>158</v>
      </c>
      <c r="L270" s="127"/>
      <c r="M270" s="128"/>
      <c r="N270" s="128"/>
      <c r="O270" s="128"/>
      <c r="P270" s="128"/>
      <c r="Q270" s="129"/>
    </row>
    <row r="271" spans="1:17" ht="27.75" customHeight="1" x14ac:dyDescent="0.15">
      <c r="A271" s="148"/>
      <c r="B271" s="788" t="s">
        <v>1028</v>
      </c>
      <c r="C271" s="789"/>
      <c r="D271" s="143" t="s">
        <v>19</v>
      </c>
      <c r="E271" s="143">
        <v>0</v>
      </c>
      <c r="F271" s="143">
        <v>0</v>
      </c>
      <c r="G271" s="143">
        <v>0</v>
      </c>
      <c r="H271" s="143">
        <v>1</v>
      </c>
      <c r="I271" s="143">
        <v>1</v>
      </c>
      <c r="J271" s="133" t="s">
        <v>19</v>
      </c>
      <c r="K271" s="143">
        <f>I271*H271</f>
        <v>1</v>
      </c>
      <c r="L271" s="127"/>
      <c r="M271" s="128"/>
      <c r="N271" s="128"/>
      <c r="O271" s="128"/>
      <c r="P271" s="128"/>
      <c r="Q271" s="129"/>
    </row>
    <row r="272" spans="1:17" ht="14" x14ac:dyDescent="0.15">
      <c r="A272" s="795" t="s">
        <v>149</v>
      </c>
      <c r="B272" s="817"/>
      <c r="C272" s="817"/>
      <c r="D272" s="817"/>
      <c r="E272" s="817"/>
      <c r="F272" s="817"/>
      <c r="G272" s="817"/>
      <c r="H272" s="817"/>
      <c r="I272" s="817"/>
      <c r="J272" s="796"/>
      <c r="K272" s="416">
        <f>SUM(K271:K271)</f>
        <v>1</v>
      </c>
      <c r="L272" s="134"/>
      <c r="M272" s="135"/>
      <c r="N272" s="135"/>
      <c r="O272" s="135"/>
      <c r="P272" s="135"/>
      <c r="Q272" s="136"/>
    </row>
    <row r="273" spans="1:17" x14ac:dyDescent="0.15">
      <c r="A273" s="790"/>
      <c r="B273" s="791"/>
      <c r="C273" s="791"/>
      <c r="D273" s="791"/>
      <c r="E273" s="791"/>
      <c r="F273" s="791"/>
      <c r="G273" s="791"/>
      <c r="H273" s="791"/>
      <c r="I273" s="791"/>
      <c r="J273" s="791"/>
      <c r="K273" s="791"/>
      <c r="L273" s="791"/>
      <c r="M273" s="791"/>
      <c r="N273" s="791"/>
      <c r="O273" s="791"/>
      <c r="P273" s="791"/>
      <c r="Q273" s="792"/>
    </row>
    <row r="274" spans="1:17" s="121" customFormat="1" ht="18" customHeight="1" x14ac:dyDescent="0.15">
      <c r="A274" s="218" t="s">
        <v>0</v>
      </c>
      <c r="B274" s="841" t="s">
        <v>1041</v>
      </c>
      <c r="C274" s="842"/>
      <c r="D274" s="842"/>
      <c r="E274" s="842"/>
      <c r="F274" s="842"/>
      <c r="G274" s="842"/>
      <c r="H274" s="842"/>
      <c r="I274" s="842"/>
      <c r="J274" s="842"/>
      <c r="K274" s="842"/>
      <c r="L274" s="842"/>
      <c r="M274" s="842"/>
      <c r="N274" s="842"/>
      <c r="O274" s="216" t="s">
        <v>73</v>
      </c>
      <c r="P274" s="795" t="s">
        <v>319</v>
      </c>
      <c r="Q274" s="796"/>
    </row>
    <row r="275" spans="1:17" x14ac:dyDescent="0.15">
      <c r="A275" s="790"/>
      <c r="B275" s="791"/>
      <c r="C275" s="791"/>
      <c r="D275" s="791"/>
      <c r="E275" s="791"/>
      <c r="F275" s="791"/>
      <c r="G275" s="791"/>
      <c r="H275" s="791"/>
      <c r="I275" s="791"/>
      <c r="J275" s="791"/>
      <c r="K275" s="791"/>
      <c r="L275" s="791"/>
      <c r="M275" s="791"/>
      <c r="N275" s="791"/>
      <c r="O275" s="791"/>
      <c r="P275" s="791"/>
      <c r="Q275" s="792"/>
    </row>
    <row r="276" spans="1:17" s="126" customFormat="1" ht="12.75" customHeight="1" x14ac:dyDescent="0.15">
      <c r="A276" s="822" t="s">
        <v>150</v>
      </c>
      <c r="B276" s="823" t="s">
        <v>151</v>
      </c>
      <c r="C276" s="823"/>
      <c r="D276" s="802"/>
      <c r="E276" s="823" t="s">
        <v>152</v>
      </c>
      <c r="F276" s="823"/>
      <c r="G276" s="823"/>
      <c r="H276" s="802" t="s">
        <v>153</v>
      </c>
      <c r="I276" s="802" t="s">
        <v>479</v>
      </c>
      <c r="J276" s="804" t="s">
        <v>73</v>
      </c>
      <c r="K276" s="216" t="s">
        <v>154</v>
      </c>
      <c r="L276" s="123"/>
      <c r="M276" s="124"/>
      <c r="N276" s="124"/>
      <c r="O276" s="124"/>
      <c r="P276" s="124"/>
      <c r="Q276" s="125"/>
    </row>
    <row r="277" spans="1:17" s="130" customFormat="1" x14ac:dyDescent="0.15">
      <c r="A277" s="822"/>
      <c r="B277" s="823"/>
      <c r="C277" s="823"/>
      <c r="D277" s="803"/>
      <c r="E277" s="217" t="s">
        <v>155</v>
      </c>
      <c r="F277" s="217" t="s">
        <v>156</v>
      </c>
      <c r="G277" s="217" t="s">
        <v>157</v>
      </c>
      <c r="H277" s="803"/>
      <c r="I277" s="803"/>
      <c r="J277" s="805"/>
      <c r="K277" s="216" t="s">
        <v>158</v>
      </c>
      <c r="L277" s="127"/>
      <c r="M277" s="128"/>
      <c r="N277" s="128"/>
      <c r="O277" s="128"/>
      <c r="P277" s="128"/>
      <c r="Q277" s="129"/>
    </row>
    <row r="278" spans="1:17" ht="28.5" customHeight="1" x14ac:dyDescent="0.15">
      <c r="A278" s="148"/>
      <c r="B278" s="788" t="s">
        <v>1042</v>
      </c>
      <c r="C278" s="789"/>
      <c r="D278" s="143"/>
      <c r="E278" s="143">
        <v>0</v>
      </c>
      <c r="F278" s="143">
        <v>0</v>
      </c>
      <c r="G278" s="143">
        <v>0</v>
      </c>
      <c r="H278" s="143">
        <v>1</v>
      </c>
      <c r="I278" s="143">
        <v>1</v>
      </c>
      <c r="J278" s="133" t="s">
        <v>319</v>
      </c>
      <c r="K278" s="143">
        <f>I278*H278</f>
        <v>1</v>
      </c>
      <c r="L278" s="127"/>
      <c r="M278" s="128"/>
      <c r="N278" s="128"/>
      <c r="O278" s="128"/>
      <c r="P278" s="128"/>
      <c r="Q278" s="129"/>
    </row>
    <row r="279" spans="1:17" ht="14" x14ac:dyDescent="0.15">
      <c r="A279" s="795" t="s">
        <v>149</v>
      </c>
      <c r="B279" s="817"/>
      <c r="C279" s="817"/>
      <c r="D279" s="817"/>
      <c r="E279" s="817"/>
      <c r="F279" s="817"/>
      <c r="G279" s="817"/>
      <c r="H279" s="817"/>
      <c r="I279" s="817"/>
      <c r="J279" s="796"/>
      <c r="K279" s="416">
        <f>SUM(K278:K278)</f>
        <v>1</v>
      </c>
      <c r="L279" s="134"/>
      <c r="M279" s="135"/>
      <c r="N279" s="135"/>
      <c r="O279" s="135"/>
      <c r="P279" s="135"/>
      <c r="Q279" s="136"/>
    </row>
    <row r="280" spans="1:17" x14ac:dyDescent="0.15">
      <c r="A280" s="790"/>
      <c r="B280" s="791"/>
      <c r="C280" s="791"/>
      <c r="D280" s="791"/>
      <c r="E280" s="791"/>
      <c r="F280" s="791"/>
      <c r="G280" s="791"/>
      <c r="H280" s="791"/>
      <c r="I280" s="791"/>
      <c r="J280" s="791"/>
      <c r="K280" s="791"/>
      <c r="L280" s="791"/>
      <c r="M280" s="791"/>
      <c r="N280" s="791"/>
      <c r="O280" s="791"/>
      <c r="P280" s="791"/>
      <c r="Q280" s="792"/>
    </row>
    <row r="281" spans="1:17" s="121" customFormat="1" ht="18" customHeight="1" x14ac:dyDescent="0.15">
      <c r="A281" s="218" t="s">
        <v>0</v>
      </c>
      <c r="B281" s="841" t="s">
        <v>1153</v>
      </c>
      <c r="C281" s="842"/>
      <c r="D281" s="842"/>
      <c r="E281" s="842"/>
      <c r="F281" s="842"/>
      <c r="G281" s="842"/>
      <c r="H281" s="842"/>
      <c r="I281" s="842"/>
      <c r="J281" s="842"/>
      <c r="K281" s="842"/>
      <c r="L281" s="842"/>
      <c r="M281" s="842"/>
      <c r="N281" s="842"/>
      <c r="O281" s="216" t="s">
        <v>73</v>
      </c>
      <c r="P281" s="795" t="s">
        <v>319</v>
      </c>
      <c r="Q281" s="796"/>
    </row>
    <row r="282" spans="1:17" x14ac:dyDescent="0.15">
      <c r="A282" s="790"/>
      <c r="B282" s="791"/>
      <c r="C282" s="791"/>
      <c r="D282" s="791"/>
      <c r="E282" s="791"/>
      <c r="F282" s="791"/>
      <c r="G282" s="791"/>
      <c r="H282" s="791"/>
      <c r="I282" s="791"/>
      <c r="J282" s="791"/>
      <c r="K282" s="791"/>
      <c r="L282" s="791"/>
      <c r="M282" s="791"/>
      <c r="N282" s="791"/>
      <c r="O282" s="791"/>
      <c r="P282" s="791"/>
      <c r="Q282" s="792"/>
    </row>
    <row r="283" spans="1:17" s="126" customFormat="1" ht="12.75" customHeight="1" x14ac:dyDescent="0.15">
      <c r="A283" s="822" t="s">
        <v>150</v>
      </c>
      <c r="B283" s="823" t="s">
        <v>151</v>
      </c>
      <c r="C283" s="823"/>
      <c r="D283" s="802"/>
      <c r="E283" s="823" t="s">
        <v>152</v>
      </c>
      <c r="F283" s="823"/>
      <c r="G283" s="823"/>
      <c r="H283" s="802" t="s">
        <v>153</v>
      </c>
      <c r="I283" s="802" t="s">
        <v>479</v>
      </c>
      <c r="J283" s="804" t="s">
        <v>73</v>
      </c>
      <c r="K283" s="216" t="s">
        <v>154</v>
      </c>
      <c r="L283" s="123"/>
      <c r="M283" s="124"/>
      <c r="N283" s="124"/>
      <c r="O283" s="124"/>
      <c r="P283" s="124"/>
      <c r="Q283" s="125"/>
    </row>
    <row r="284" spans="1:17" s="130" customFormat="1" x14ac:dyDescent="0.15">
      <c r="A284" s="822"/>
      <c r="B284" s="823"/>
      <c r="C284" s="823"/>
      <c r="D284" s="803"/>
      <c r="E284" s="217" t="s">
        <v>155</v>
      </c>
      <c r="F284" s="217" t="s">
        <v>156</v>
      </c>
      <c r="G284" s="217" t="s">
        <v>157</v>
      </c>
      <c r="H284" s="803"/>
      <c r="I284" s="803"/>
      <c r="J284" s="805"/>
      <c r="K284" s="216" t="s">
        <v>158</v>
      </c>
      <c r="L284" s="127"/>
      <c r="M284" s="128"/>
      <c r="N284" s="128"/>
      <c r="O284" s="128"/>
      <c r="P284" s="128"/>
      <c r="Q284" s="129"/>
    </row>
    <row r="285" spans="1:17" ht="21" customHeight="1" x14ac:dyDescent="0.15">
      <c r="A285" s="148"/>
      <c r="B285" s="788" t="s">
        <v>254</v>
      </c>
      <c r="C285" s="789"/>
      <c r="D285" s="143"/>
      <c r="E285" s="143">
        <v>0.6</v>
      </c>
      <c r="F285" s="143">
        <v>0.4</v>
      </c>
      <c r="G285" s="143">
        <v>0.15</v>
      </c>
      <c r="H285" s="143">
        <v>1</v>
      </c>
      <c r="I285" s="143">
        <v>1</v>
      </c>
      <c r="J285" s="133" t="s">
        <v>319</v>
      </c>
      <c r="K285" s="143">
        <f>I285*H285</f>
        <v>1</v>
      </c>
      <c r="L285" s="127"/>
      <c r="M285" s="128"/>
      <c r="N285" s="128"/>
      <c r="O285" s="128"/>
      <c r="P285" s="128"/>
      <c r="Q285" s="129"/>
    </row>
    <row r="286" spans="1:17" ht="14" x14ac:dyDescent="0.15">
      <c r="A286" s="795" t="s">
        <v>149</v>
      </c>
      <c r="B286" s="817"/>
      <c r="C286" s="817"/>
      <c r="D286" s="817"/>
      <c r="E286" s="817"/>
      <c r="F286" s="817"/>
      <c r="G286" s="817"/>
      <c r="H286" s="817"/>
      <c r="I286" s="817"/>
      <c r="J286" s="796"/>
      <c r="K286" s="416">
        <f>SUM(K285:K285)</f>
        <v>1</v>
      </c>
      <c r="L286" s="134"/>
      <c r="M286" s="135"/>
      <c r="N286" s="135"/>
      <c r="O286" s="135"/>
      <c r="P286" s="135"/>
      <c r="Q286" s="136"/>
    </row>
    <row r="287" spans="1:17" x14ac:dyDescent="0.15">
      <c r="A287" s="790"/>
      <c r="B287" s="791"/>
      <c r="C287" s="791"/>
      <c r="D287" s="791"/>
      <c r="E287" s="791"/>
      <c r="F287" s="791"/>
      <c r="G287" s="791"/>
      <c r="H287" s="791"/>
      <c r="I287" s="791"/>
      <c r="J287" s="791"/>
      <c r="K287" s="791"/>
      <c r="L287" s="791"/>
      <c r="M287" s="791"/>
      <c r="N287" s="791"/>
      <c r="O287" s="791"/>
      <c r="P287" s="791"/>
      <c r="Q287" s="792"/>
    </row>
    <row r="288" spans="1:17" s="121" customFormat="1" ht="21.75" customHeight="1" x14ac:dyDescent="0.15">
      <c r="A288" s="218" t="s">
        <v>0</v>
      </c>
      <c r="B288" s="845" t="s">
        <v>1045</v>
      </c>
      <c r="C288" s="846"/>
      <c r="D288" s="846"/>
      <c r="E288" s="846"/>
      <c r="F288" s="846"/>
      <c r="G288" s="846"/>
      <c r="H288" s="846"/>
      <c r="I288" s="846"/>
      <c r="J288" s="846"/>
      <c r="K288" s="846"/>
      <c r="L288" s="846"/>
      <c r="M288" s="846"/>
      <c r="N288" s="847"/>
      <c r="O288" s="216" t="s">
        <v>73</v>
      </c>
      <c r="P288" s="795" t="s">
        <v>193</v>
      </c>
      <c r="Q288" s="796"/>
    </row>
    <row r="289" spans="1:17" x14ac:dyDescent="0.15">
      <c r="A289" s="790"/>
      <c r="B289" s="791"/>
      <c r="C289" s="791"/>
      <c r="D289" s="791"/>
      <c r="E289" s="791"/>
      <c r="F289" s="791"/>
      <c r="G289" s="791"/>
      <c r="H289" s="791"/>
      <c r="I289" s="791"/>
      <c r="J289" s="791"/>
      <c r="K289" s="791"/>
      <c r="L289" s="791"/>
      <c r="M289" s="791"/>
      <c r="N289" s="791"/>
      <c r="O289" s="791"/>
      <c r="P289" s="791"/>
      <c r="Q289" s="792"/>
    </row>
    <row r="290" spans="1:17" s="126" customFormat="1" x14ac:dyDescent="0.15">
      <c r="A290" s="822" t="s">
        <v>150</v>
      </c>
      <c r="B290" s="823" t="s">
        <v>151</v>
      </c>
      <c r="C290" s="823"/>
      <c r="D290" s="802"/>
      <c r="E290" s="823" t="s">
        <v>152</v>
      </c>
      <c r="F290" s="823"/>
      <c r="G290" s="823"/>
      <c r="H290" s="802" t="s">
        <v>153</v>
      </c>
      <c r="I290" s="802" t="s">
        <v>242</v>
      </c>
      <c r="J290" s="804" t="s">
        <v>73</v>
      </c>
      <c r="K290" s="216" t="s">
        <v>154</v>
      </c>
      <c r="L290" s="123"/>
      <c r="M290" s="124"/>
      <c r="N290" s="124"/>
      <c r="O290" s="124"/>
      <c r="P290" s="124"/>
      <c r="Q290" s="125"/>
    </row>
    <row r="291" spans="1:17" s="130" customFormat="1" x14ac:dyDescent="0.15">
      <c r="A291" s="822"/>
      <c r="B291" s="823"/>
      <c r="C291" s="823"/>
      <c r="D291" s="803"/>
      <c r="E291" s="217" t="s">
        <v>155</v>
      </c>
      <c r="F291" s="217" t="s">
        <v>156</v>
      </c>
      <c r="G291" s="217" t="s">
        <v>157</v>
      </c>
      <c r="H291" s="803"/>
      <c r="I291" s="803"/>
      <c r="J291" s="805"/>
      <c r="K291" s="216" t="s">
        <v>158</v>
      </c>
      <c r="L291" s="127"/>
      <c r="M291" s="128"/>
      <c r="N291" s="128"/>
      <c r="O291" s="128"/>
      <c r="P291" s="128"/>
      <c r="Q291" s="129"/>
    </row>
    <row r="292" spans="1:17" ht="43.5" customHeight="1" x14ac:dyDescent="0.15">
      <c r="A292" s="148"/>
      <c r="B292" s="788" t="s">
        <v>1028</v>
      </c>
      <c r="C292" s="789"/>
      <c r="D292" s="149"/>
      <c r="E292" s="143">
        <v>80</v>
      </c>
      <c r="F292" s="143">
        <v>0</v>
      </c>
      <c r="G292" s="143">
        <v>0</v>
      </c>
      <c r="H292" s="143">
        <v>1</v>
      </c>
      <c r="I292" s="143">
        <f>E292</f>
        <v>80</v>
      </c>
      <c r="J292" s="133" t="s">
        <v>193</v>
      </c>
      <c r="K292" s="143">
        <f>I292*H292</f>
        <v>80</v>
      </c>
      <c r="L292" s="127"/>
      <c r="M292" s="128"/>
      <c r="N292" s="128"/>
      <c r="O292" s="128"/>
      <c r="P292" s="128"/>
      <c r="Q292" s="129"/>
    </row>
    <row r="293" spans="1:17" ht="14" x14ac:dyDescent="0.15">
      <c r="A293" s="795" t="s">
        <v>149</v>
      </c>
      <c r="B293" s="817"/>
      <c r="C293" s="817"/>
      <c r="D293" s="817"/>
      <c r="E293" s="817"/>
      <c r="F293" s="817"/>
      <c r="G293" s="817"/>
      <c r="H293" s="817"/>
      <c r="I293" s="817"/>
      <c r="J293" s="796"/>
      <c r="K293" s="416">
        <f>SUM(K292:K292)</f>
        <v>80</v>
      </c>
      <c r="L293" s="134"/>
      <c r="M293" s="135"/>
      <c r="N293" s="135"/>
      <c r="O293" s="135"/>
      <c r="P293" s="135"/>
      <c r="Q293" s="136"/>
    </row>
    <row r="294" spans="1:17" x14ac:dyDescent="0.15">
      <c r="A294" s="790"/>
      <c r="B294" s="791"/>
      <c r="C294" s="791"/>
      <c r="D294" s="791"/>
      <c r="E294" s="791"/>
      <c r="F294" s="791"/>
      <c r="G294" s="791"/>
      <c r="H294" s="791"/>
      <c r="I294" s="791"/>
      <c r="J294" s="791"/>
      <c r="K294" s="791"/>
      <c r="L294" s="791"/>
      <c r="M294" s="791"/>
      <c r="N294" s="791"/>
      <c r="O294" s="791"/>
      <c r="P294" s="791"/>
      <c r="Q294" s="792"/>
    </row>
    <row r="295" spans="1:17" s="121" customFormat="1" ht="18" customHeight="1" x14ac:dyDescent="0.15">
      <c r="A295" s="218" t="s">
        <v>0</v>
      </c>
      <c r="B295" s="843" t="s">
        <v>1046</v>
      </c>
      <c r="C295" s="844"/>
      <c r="D295" s="844"/>
      <c r="E295" s="844"/>
      <c r="F295" s="844"/>
      <c r="G295" s="844"/>
      <c r="H295" s="844"/>
      <c r="I295" s="844"/>
      <c r="J295" s="844"/>
      <c r="K295" s="844"/>
      <c r="L295" s="844"/>
      <c r="M295" s="844"/>
      <c r="N295" s="844"/>
      <c r="O295" s="216" t="s">
        <v>73</v>
      </c>
      <c r="P295" s="795" t="s">
        <v>319</v>
      </c>
      <c r="Q295" s="796"/>
    </row>
    <row r="296" spans="1:17" x14ac:dyDescent="0.15">
      <c r="A296" s="790"/>
      <c r="B296" s="791"/>
      <c r="C296" s="791"/>
      <c r="D296" s="791"/>
      <c r="E296" s="791"/>
      <c r="F296" s="791"/>
      <c r="G296" s="791"/>
      <c r="H296" s="791"/>
      <c r="I296" s="791"/>
      <c r="J296" s="791"/>
      <c r="K296" s="791"/>
      <c r="L296" s="791"/>
      <c r="M296" s="791"/>
      <c r="N296" s="791"/>
      <c r="O296" s="791"/>
      <c r="P296" s="791"/>
      <c r="Q296" s="792"/>
    </row>
    <row r="297" spans="1:17" s="126" customFormat="1" x14ac:dyDescent="0.15">
      <c r="A297" s="822" t="s">
        <v>150</v>
      </c>
      <c r="B297" s="823" t="s">
        <v>151</v>
      </c>
      <c r="C297" s="823"/>
      <c r="D297" s="802"/>
      <c r="E297" s="823" t="s">
        <v>152</v>
      </c>
      <c r="F297" s="823"/>
      <c r="G297" s="823"/>
      <c r="H297" s="802" t="s">
        <v>153</v>
      </c>
      <c r="I297" s="802" t="s">
        <v>479</v>
      </c>
      <c r="J297" s="804" t="s">
        <v>73</v>
      </c>
      <c r="K297" s="216" t="s">
        <v>154</v>
      </c>
      <c r="L297" s="123"/>
      <c r="M297" s="124"/>
      <c r="N297" s="124"/>
      <c r="O297" s="124"/>
      <c r="P297" s="124"/>
      <c r="Q297" s="125"/>
    </row>
    <row r="298" spans="1:17" s="130" customFormat="1" x14ac:dyDescent="0.15">
      <c r="A298" s="822"/>
      <c r="B298" s="823"/>
      <c r="C298" s="823"/>
      <c r="D298" s="803"/>
      <c r="E298" s="217" t="s">
        <v>155</v>
      </c>
      <c r="F298" s="217" t="s">
        <v>156</v>
      </c>
      <c r="G298" s="217" t="s">
        <v>157</v>
      </c>
      <c r="H298" s="803"/>
      <c r="I298" s="803"/>
      <c r="J298" s="805"/>
      <c r="K298" s="216" t="s">
        <v>158</v>
      </c>
      <c r="L298" s="127"/>
      <c r="M298" s="128"/>
      <c r="N298" s="128"/>
      <c r="O298" s="128"/>
      <c r="P298" s="128"/>
      <c r="Q298" s="129"/>
    </row>
    <row r="299" spans="1:17" ht="30" customHeight="1" x14ac:dyDescent="0.15">
      <c r="A299" s="148"/>
      <c r="B299" s="788" t="s">
        <v>1047</v>
      </c>
      <c r="C299" s="789"/>
      <c r="D299" s="149"/>
      <c r="E299" s="143">
        <v>0</v>
      </c>
      <c r="F299" s="143">
        <v>0</v>
      </c>
      <c r="G299" s="143">
        <v>0</v>
      </c>
      <c r="H299" s="143">
        <v>1</v>
      </c>
      <c r="I299" s="143">
        <v>1</v>
      </c>
      <c r="J299" s="133" t="s">
        <v>319</v>
      </c>
      <c r="K299" s="143">
        <f>I299*H299</f>
        <v>1</v>
      </c>
      <c r="L299" s="127"/>
      <c r="M299" s="128"/>
      <c r="N299" s="128"/>
      <c r="O299" s="128"/>
      <c r="P299" s="128"/>
      <c r="Q299" s="129"/>
    </row>
    <row r="300" spans="1:17" ht="14" x14ac:dyDescent="0.15">
      <c r="A300" s="795" t="s">
        <v>149</v>
      </c>
      <c r="B300" s="817"/>
      <c r="C300" s="817"/>
      <c r="D300" s="817"/>
      <c r="E300" s="817"/>
      <c r="F300" s="817"/>
      <c r="G300" s="817"/>
      <c r="H300" s="817"/>
      <c r="I300" s="817"/>
      <c r="J300" s="796"/>
      <c r="K300" s="416">
        <f>SUM(K299:K299)</f>
        <v>1</v>
      </c>
      <c r="L300" s="134"/>
      <c r="M300" s="135"/>
      <c r="N300" s="135"/>
      <c r="O300" s="135"/>
      <c r="P300" s="135"/>
      <c r="Q300" s="136"/>
    </row>
    <row r="301" spans="1:17" x14ac:dyDescent="0.15">
      <c r="A301" s="790"/>
      <c r="B301" s="791"/>
      <c r="C301" s="791"/>
      <c r="D301" s="791"/>
      <c r="E301" s="791"/>
      <c r="F301" s="791"/>
      <c r="G301" s="791"/>
      <c r="H301" s="791"/>
      <c r="I301" s="791"/>
      <c r="J301" s="791"/>
      <c r="K301" s="791"/>
      <c r="L301" s="791"/>
      <c r="M301" s="791"/>
      <c r="N301" s="791"/>
      <c r="O301" s="791"/>
      <c r="P301" s="791"/>
      <c r="Q301" s="792"/>
    </row>
    <row r="302" spans="1:17" s="121" customFormat="1" ht="18" customHeight="1" x14ac:dyDescent="0.15">
      <c r="A302" s="218" t="s">
        <v>0</v>
      </c>
      <c r="B302" s="845" t="s">
        <v>1048</v>
      </c>
      <c r="C302" s="846"/>
      <c r="D302" s="846"/>
      <c r="E302" s="846"/>
      <c r="F302" s="846"/>
      <c r="G302" s="846"/>
      <c r="H302" s="846"/>
      <c r="I302" s="846"/>
      <c r="J302" s="846"/>
      <c r="K302" s="846"/>
      <c r="L302" s="846"/>
      <c r="M302" s="846"/>
      <c r="N302" s="847"/>
      <c r="O302" s="216" t="s">
        <v>73</v>
      </c>
      <c r="P302" s="795" t="s">
        <v>319</v>
      </c>
      <c r="Q302" s="796"/>
    </row>
    <row r="303" spans="1:17" x14ac:dyDescent="0.15">
      <c r="A303" s="790"/>
      <c r="B303" s="791"/>
      <c r="C303" s="791"/>
      <c r="D303" s="791"/>
      <c r="E303" s="791"/>
      <c r="F303" s="791"/>
      <c r="G303" s="791"/>
      <c r="H303" s="791"/>
      <c r="I303" s="791"/>
      <c r="J303" s="791"/>
      <c r="K303" s="791"/>
      <c r="L303" s="791"/>
      <c r="M303" s="791"/>
      <c r="N303" s="791"/>
      <c r="O303" s="791"/>
      <c r="P303" s="791"/>
      <c r="Q303" s="792"/>
    </row>
    <row r="304" spans="1:17" s="126" customFormat="1" x14ac:dyDescent="0.15">
      <c r="A304" s="822" t="s">
        <v>150</v>
      </c>
      <c r="B304" s="823" t="s">
        <v>151</v>
      </c>
      <c r="C304" s="823"/>
      <c r="D304" s="802"/>
      <c r="E304" s="823" t="s">
        <v>152</v>
      </c>
      <c r="F304" s="823"/>
      <c r="G304" s="823"/>
      <c r="H304" s="802" t="s">
        <v>153</v>
      </c>
      <c r="I304" s="802" t="s">
        <v>479</v>
      </c>
      <c r="J304" s="804" t="s">
        <v>73</v>
      </c>
      <c r="K304" s="216" t="s">
        <v>154</v>
      </c>
      <c r="L304" s="123"/>
      <c r="M304" s="124"/>
      <c r="N304" s="124"/>
      <c r="O304" s="124"/>
      <c r="P304" s="124"/>
      <c r="Q304" s="125"/>
    </row>
    <row r="305" spans="1:17" s="130" customFormat="1" x14ac:dyDescent="0.15">
      <c r="A305" s="822"/>
      <c r="B305" s="823"/>
      <c r="C305" s="823"/>
      <c r="D305" s="803"/>
      <c r="E305" s="217" t="s">
        <v>155</v>
      </c>
      <c r="F305" s="217" t="s">
        <v>156</v>
      </c>
      <c r="G305" s="217" t="s">
        <v>157</v>
      </c>
      <c r="H305" s="803"/>
      <c r="I305" s="803"/>
      <c r="J305" s="805"/>
      <c r="K305" s="216" t="s">
        <v>158</v>
      </c>
      <c r="L305" s="127"/>
      <c r="M305" s="128"/>
      <c r="N305" s="128"/>
      <c r="O305" s="128"/>
      <c r="P305" s="128"/>
      <c r="Q305" s="129"/>
    </row>
    <row r="306" spans="1:17" ht="24" customHeight="1" x14ac:dyDescent="0.15">
      <c r="A306" s="148"/>
      <c r="B306" s="788" t="s">
        <v>1051</v>
      </c>
      <c r="C306" s="789"/>
      <c r="D306" s="149"/>
      <c r="E306" s="143">
        <v>0</v>
      </c>
      <c r="F306" s="143">
        <v>0</v>
      </c>
      <c r="G306" s="143">
        <v>0</v>
      </c>
      <c r="H306" s="143">
        <v>15</v>
      </c>
      <c r="I306" s="143">
        <f t="shared" ref="I306" si="33">H306</f>
        <v>15</v>
      </c>
      <c r="J306" s="133" t="s">
        <v>319</v>
      </c>
      <c r="K306" s="143">
        <f t="shared" ref="K306" si="34">I306</f>
        <v>15</v>
      </c>
      <c r="L306" s="127"/>
      <c r="M306" s="128"/>
      <c r="N306" s="128"/>
      <c r="O306" s="128"/>
      <c r="P306" s="128"/>
      <c r="Q306" s="129"/>
    </row>
    <row r="307" spans="1:17" ht="14" x14ac:dyDescent="0.15">
      <c r="A307" s="795" t="s">
        <v>149</v>
      </c>
      <c r="B307" s="817"/>
      <c r="C307" s="817"/>
      <c r="D307" s="817"/>
      <c r="E307" s="817"/>
      <c r="F307" s="817"/>
      <c r="G307" s="817"/>
      <c r="H307" s="817"/>
      <c r="I307" s="817"/>
      <c r="J307" s="796"/>
      <c r="K307" s="416">
        <f>SUM(K306:K306)</f>
        <v>15</v>
      </c>
      <c r="L307" s="134"/>
      <c r="M307" s="135"/>
      <c r="N307" s="135"/>
      <c r="O307" s="135"/>
      <c r="P307" s="135"/>
      <c r="Q307" s="136"/>
    </row>
    <row r="308" spans="1:17" x14ac:dyDescent="0.15">
      <c r="A308" s="790"/>
      <c r="B308" s="791"/>
      <c r="C308" s="791"/>
      <c r="D308" s="791"/>
      <c r="E308" s="791"/>
      <c r="F308" s="791"/>
      <c r="G308" s="791"/>
      <c r="H308" s="791"/>
      <c r="I308" s="791"/>
      <c r="J308" s="791"/>
      <c r="K308" s="791"/>
      <c r="L308" s="791"/>
      <c r="M308" s="791"/>
      <c r="N308" s="791"/>
      <c r="O308" s="791"/>
      <c r="P308" s="791"/>
      <c r="Q308" s="792"/>
    </row>
    <row r="309" spans="1:17" s="121" customFormat="1" ht="18" customHeight="1" x14ac:dyDescent="0.15">
      <c r="A309" s="218" t="s">
        <v>0</v>
      </c>
      <c r="B309" s="845" t="s">
        <v>1054</v>
      </c>
      <c r="C309" s="846"/>
      <c r="D309" s="846"/>
      <c r="E309" s="846"/>
      <c r="F309" s="846"/>
      <c r="G309" s="846"/>
      <c r="H309" s="846"/>
      <c r="I309" s="846"/>
      <c r="J309" s="846"/>
      <c r="K309" s="846"/>
      <c r="L309" s="846"/>
      <c r="M309" s="846"/>
      <c r="N309" s="847"/>
      <c r="O309" s="216" t="s">
        <v>73</v>
      </c>
      <c r="P309" s="795" t="s">
        <v>319</v>
      </c>
      <c r="Q309" s="796"/>
    </row>
    <row r="310" spans="1:17" x14ac:dyDescent="0.15">
      <c r="A310" s="790"/>
      <c r="B310" s="791"/>
      <c r="C310" s="791"/>
      <c r="D310" s="791"/>
      <c r="E310" s="791"/>
      <c r="F310" s="791"/>
      <c r="G310" s="791"/>
      <c r="H310" s="791"/>
      <c r="I310" s="791"/>
      <c r="J310" s="791"/>
      <c r="K310" s="791"/>
      <c r="L310" s="791"/>
      <c r="M310" s="791"/>
      <c r="N310" s="791"/>
      <c r="O310" s="791"/>
      <c r="P310" s="791"/>
      <c r="Q310" s="792"/>
    </row>
    <row r="311" spans="1:17" s="126" customFormat="1" x14ac:dyDescent="0.15">
      <c r="A311" s="822" t="s">
        <v>150</v>
      </c>
      <c r="B311" s="823" t="s">
        <v>151</v>
      </c>
      <c r="C311" s="823"/>
      <c r="D311" s="802"/>
      <c r="E311" s="823" t="s">
        <v>152</v>
      </c>
      <c r="F311" s="823"/>
      <c r="G311" s="823"/>
      <c r="H311" s="802" t="s">
        <v>153</v>
      </c>
      <c r="I311" s="802" t="s">
        <v>479</v>
      </c>
      <c r="J311" s="804" t="s">
        <v>73</v>
      </c>
      <c r="K311" s="216" t="s">
        <v>154</v>
      </c>
      <c r="L311" s="123"/>
      <c r="M311" s="124"/>
      <c r="N311" s="124"/>
      <c r="O311" s="124"/>
      <c r="P311" s="124"/>
      <c r="Q311" s="125"/>
    </row>
    <row r="312" spans="1:17" s="130" customFormat="1" x14ac:dyDescent="0.15">
      <c r="A312" s="822"/>
      <c r="B312" s="823"/>
      <c r="C312" s="823"/>
      <c r="D312" s="803"/>
      <c r="E312" s="217" t="s">
        <v>155</v>
      </c>
      <c r="F312" s="217" t="s">
        <v>156</v>
      </c>
      <c r="G312" s="217" t="s">
        <v>157</v>
      </c>
      <c r="H312" s="803"/>
      <c r="I312" s="803"/>
      <c r="J312" s="805"/>
      <c r="K312" s="216" t="s">
        <v>158</v>
      </c>
      <c r="L312" s="127"/>
      <c r="M312" s="128"/>
      <c r="N312" s="128"/>
      <c r="O312" s="128"/>
      <c r="P312" s="128"/>
      <c r="Q312" s="129"/>
    </row>
    <row r="313" spans="1:17" ht="30" customHeight="1" x14ac:dyDescent="0.15">
      <c r="A313" s="148"/>
      <c r="B313" s="788" t="s">
        <v>1051</v>
      </c>
      <c r="C313" s="789"/>
      <c r="D313" s="149"/>
      <c r="E313" s="143">
        <v>0</v>
      </c>
      <c r="F313" s="143">
        <v>0</v>
      </c>
      <c r="G313" s="143">
        <v>0</v>
      </c>
      <c r="H313" s="143">
        <v>15</v>
      </c>
      <c r="I313" s="143">
        <f t="shared" ref="I313" si="35">H313</f>
        <v>15</v>
      </c>
      <c r="J313" s="133" t="s">
        <v>319</v>
      </c>
      <c r="K313" s="143">
        <f t="shared" ref="K313" si="36">I313</f>
        <v>15</v>
      </c>
      <c r="L313" s="127"/>
      <c r="M313" s="128"/>
      <c r="N313" s="128"/>
      <c r="O313" s="128"/>
      <c r="P313" s="128"/>
      <c r="Q313" s="129"/>
    </row>
    <row r="314" spans="1:17" ht="14" x14ac:dyDescent="0.15">
      <c r="A314" s="795" t="s">
        <v>149</v>
      </c>
      <c r="B314" s="817"/>
      <c r="C314" s="817"/>
      <c r="D314" s="817"/>
      <c r="E314" s="817"/>
      <c r="F314" s="817"/>
      <c r="G314" s="817"/>
      <c r="H314" s="817"/>
      <c r="I314" s="817"/>
      <c r="J314" s="796"/>
      <c r="K314" s="416">
        <f>SUM(K313:K313)</f>
        <v>15</v>
      </c>
      <c r="L314" s="134"/>
      <c r="M314" s="135"/>
      <c r="N314" s="135"/>
      <c r="O314" s="135"/>
      <c r="P314" s="135"/>
      <c r="Q314" s="136"/>
    </row>
    <row r="315" spans="1:17" x14ac:dyDescent="0.15">
      <c r="A315" s="790"/>
      <c r="B315" s="791"/>
      <c r="C315" s="791"/>
      <c r="D315" s="791"/>
      <c r="E315" s="791"/>
      <c r="F315" s="791"/>
      <c r="G315" s="791"/>
      <c r="H315" s="791"/>
      <c r="I315" s="791"/>
      <c r="J315" s="791"/>
      <c r="K315" s="791"/>
      <c r="L315" s="791"/>
      <c r="M315" s="791"/>
      <c r="N315" s="791"/>
      <c r="O315" s="791"/>
      <c r="P315" s="791"/>
      <c r="Q315" s="792"/>
    </row>
    <row r="316" spans="1:17" s="121" customFormat="1" ht="18" customHeight="1" x14ac:dyDescent="0.15">
      <c r="A316" s="218" t="s">
        <v>0</v>
      </c>
      <c r="B316" s="845" t="s">
        <v>1055</v>
      </c>
      <c r="C316" s="846"/>
      <c r="D316" s="846"/>
      <c r="E316" s="846"/>
      <c r="F316" s="846"/>
      <c r="G316" s="846"/>
      <c r="H316" s="846"/>
      <c r="I316" s="846"/>
      <c r="J316" s="846"/>
      <c r="K316" s="846"/>
      <c r="L316" s="846"/>
      <c r="M316" s="846"/>
      <c r="N316" s="847"/>
      <c r="O316" s="216" t="s">
        <v>73</v>
      </c>
      <c r="P316" s="795" t="s">
        <v>319</v>
      </c>
      <c r="Q316" s="796"/>
    </row>
    <row r="317" spans="1:17" x14ac:dyDescent="0.15">
      <c r="A317" s="790"/>
      <c r="B317" s="791"/>
      <c r="C317" s="791"/>
      <c r="D317" s="791"/>
      <c r="E317" s="791"/>
      <c r="F317" s="791"/>
      <c r="G317" s="791"/>
      <c r="H317" s="791"/>
      <c r="I317" s="791"/>
      <c r="J317" s="791"/>
      <c r="K317" s="791"/>
      <c r="L317" s="791"/>
      <c r="M317" s="791"/>
      <c r="N317" s="791"/>
      <c r="O317" s="791"/>
      <c r="P317" s="791"/>
      <c r="Q317" s="792"/>
    </row>
    <row r="318" spans="1:17" s="126" customFormat="1" x14ac:dyDescent="0.15">
      <c r="A318" s="822" t="s">
        <v>150</v>
      </c>
      <c r="B318" s="823" t="s">
        <v>151</v>
      </c>
      <c r="C318" s="823"/>
      <c r="D318" s="802"/>
      <c r="E318" s="823" t="s">
        <v>152</v>
      </c>
      <c r="F318" s="823"/>
      <c r="G318" s="823"/>
      <c r="H318" s="802" t="s">
        <v>153</v>
      </c>
      <c r="I318" s="802" t="s">
        <v>479</v>
      </c>
      <c r="J318" s="804" t="s">
        <v>73</v>
      </c>
      <c r="K318" s="216" t="s">
        <v>154</v>
      </c>
      <c r="L318" s="123"/>
      <c r="M318" s="124"/>
      <c r="N318" s="124"/>
      <c r="O318" s="124"/>
      <c r="P318" s="124"/>
      <c r="Q318" s="125"/>
    </row>
    <row r="319" spans="1:17" s="130" customFormat="1" x14ac:dyDescent="0.15">
      <c r="A319" s="822"/>
      <c r="B319" s="823"/>
      <c r="C319" s="823"/>
      <c r="D319" s="803"/>
      <c r="E319" s="217" t="s">
        <v>155</v>
      </c>
      <c r="F319" s="217" t="s">
        <v>156</v>
      </c>
      <c r="G319" s="217" t="s">
        <v>157</v>
      </c>
      <c r="H319" s="803"/>
      <c r="I319" s="803"/>
      <c r="J319" s="805"/>
      <c r="K319" s="216" t="s">
        <v>158</v>
      </c>
      <c r="L319" s="127"/>
      <c r="M319" s="128"/>
      <c r="N319" s="128"/>
      <c r="O319" s="128"/>
      <c r="P319" s="128"/>
      <c r="Q319" s="129"/>
    </row>
    <row r="320" spans="1:17" ht="30" customHeight="1" x14ac:dyDescent="0.15">
      <c r="A320" s="148"/>
      <c r="B320" s="788" t="s">
        <v>947</v>
      </c>
      <c r="C320" s="789"/>
      <c r="D320" s="149"/>
      <c r="E320" s="143">
        <v>0</v>
      </c>
      <c r="F320" s="143">
        <v>0</v>
      </c>
      <c r="G320" s="143">
        <v>0</v>
      </c>
      <c r="H320" s="143">
        <v>6</v>
      </c>
      <c r="I320" s="143">
        <f t="shared" ref="I320" si="37">H320</f>
        <v>6</v>
      </c>
      <c r="J320" s="133" t="s">
        <v>319</v>
      </c>
      <c r="K320" s="143">
        <f t="shared" ref="K320" si="38">I320</f>
        <v>6</v>
      </c>
      <c r="L320" s="127"/>
      <c r="M320" s="128"/>
      <c r="N320" s="128"/>
      <c r="O320" s="128"/>
      <c r="P320" s="128"/>
      <c r="Q320" s="129"/>
    </row>
    <row r="321" spans="1:17" ht="14" x14ac:dyDescent="0.15">
      <c r="A321" s="795" t="s">
        <v>149</v>
      </c>
      <c r="B321" s="817"/>
      <c r="C321" s="817"/>
      <c r="D321" s="817"/>
      <c r="E321" s="817"/>
      <c r="F321" s="817"/>
      <c r="G321" s="817"/>
      <c r="H321" s="817"/>
      <c r="I321" s="817"/>
      <c r="J321" s="796"/>
      <c r="K321" s="416">
        <f>SUM(K320:K320)</f>
        <v>6</v>
      </c>
      <c r="L321" s="134"/>
      <c r="M321" s="135"/>
      <c r="N321" s="135"/>
      <c r="O321" s="135"/>
      <c r="P321" s="135"/>
      <c r="Q321" s="136"/>
    </row>
    <row r="322" spans="1:17" x14ac:dyDescent="0.15">
      <c r="A322" s="790"/>
      <c r="B322" s="791"/>
      <c r="C322" s="791"/>
      <c r="D322" s="791"/>
      <c r="E322" s="791"/>
      <c r="F322" s="791"/>
      <c r="G322" s="791"/>
      <c r="H322" s="791"/>
      <c r="I322" s="791"/>
      <c r="J322" s="791"/>
      <c r="K322" s="791"/>
      <c r="L322" s="791"/>
      <c r="M322" s="791"/>
      <c r="N322" s="791"/>
      <c r="O322" s="791"/>
      <c r="P322" s="791"/>
      <c r="Q322" s="792"/>
    </row>
    <row r="323" spans="1:17" s="121" customFormat="1" ht="19.5" customHeight="1" x14ac:dyDescent="0.15">
      <c r="A323" s="218" t="s">
        <v>0</v>
      </c>
      <c r="B323" s="793" t="s">
        <v>1056</v>
      </c>
      <c r="C323" s="794"/>
      <c r="D323" s="794"/>
      <c r="E323" s="794"/>
      <c r="F323" s="794"/>
      <c r="G323" s="794"/>
      <c r="H323" s="794"/>
      <c r="I323" s="794"/>
      <c r="J323" s="794"/>
      <c r="K323" s="794"/>
      <c r="L323" s="794"/>
      <c r="M323" s="794"/>
      <c r="N323" s="821"/>
      <c r="O323" s="216" t="s">
        <v>73</v>
      </c>
      <c r="P323" s="795" t="s">
        <v>193</v>
      </c>
      <c r="Q323" s="796"/>
    </row>
    <row r="324" spans="1:17" x14ac:dyDescent="0.15">
      <c r="A324" s="790"/>
      <c r="B324" s="791"/>
      <c r="C324" s="791"/>
      <c r="D324" s="791"/>
      <c r="E324" s="791"/>
      <c r="F324" s="791"/>
      <c r="G324" s="791"/>
      <c r="H324" s="791"/>
      <c r="I324" s="791"/>
      <c r="J324" s="791"/>
      <c r="K324" s="791"/>
      <c r="L324" s="791"/>
      <c r="M324" s="791"/>
      <c r="N324" s="791"/>
      <c r="O324" s="791"/>
      <c r="P324" s="791"/>
      <c r="Q324" s="792"/>
    </row>
    <row r="325" spans="1:17" s="126" customFormat="1" ht="12.75" customHeight="1" x14ac:dyDescent="0.15">
      <c r="A325" s="822" t="s">
        <v>150</v>
      </c>
      <c r="B325" s="823" t="s">
        <v>151</v>
      </c>
      <c r="C325" s="823"/>
      <c r="D325" s="825" t="s">
        <v>152</v>
      </c>
      <c r="E325" s="826"/>
      <c r="F325" s="826"/>
      <c r="G325" s="834"/>
      <c r="H325" s="802" t="s">
        <v>153</v>
      </c>
      <c r="I325" s="802" t="s">
        <v>242</v>
      </c>
      <c r="J325" s="804" t="s">
        <v>73</v>
      </c>
      <c r="K325" s="216" t="s">
        <v>154</v>
      </c>
      <c r="L325" s="123"/>
      <c r="M325" s="124"/>
      <c r="N325" s="124"/>
      <c r="O325" s="124"/>
      <c r="P325" s="124"/>
      <c r="Q325" s="125"/>
    </row>
    <row r="326" spans="1:17" s="130" customFormat="1" x14ac:dyDescent="0.15">
      <c r="A326" s="822"/>
      <c r="B326" s="823"/>
      <c r="C326" s="823"/>
      <c r="D326" s="220"/>
      <c r="E326" s="217" t="s">
        <v>155</v>
      </c>
      <c r="F326" s="217" t="s">
        <v>156</v>
      </c>
      <c r="G326" s="217" t="s">
        <v>269</v>
      </c>
      <c r="H326" s="803"/>
      <c r="I326" s="803"/>
      <c r="J326" s="805"/>
      <c r="K326" s="216" t="s">
        <v>158</v>
      </c>
      <c r="L326" s="127"/>
      <c r="M326" s="128"/>
      <c r="N326" s="128"/>
      <c r="O326" s="128"/>
      <c r="P326" s="128"/>
      <c r="Q326" s="129"/>
    </row>
    <row r="327" spans="1:17" ht="22.5" customHeight="1" x14ac:dyDescent="0.15">
      <c r="A327" s="131"/>
      <c r="B327" s="815" t="s">
        <v>974</v>
      </c>
      <c r="C327" s="816"/>
      <c r="D327" s="219">
        <v>0</v>
      </c>
      <c r="E327" s="132">
        <v>11.2</v>
      </c>
      <c r="F327" s="144">
        <v>0</v>
      </c>
      <c r="G327" s="144">
        <v>0</v>
      </c>
      <c r="H327" s="132">
        <v>11</v>
      </c>
      <c r="I327" s="132">
        <f>E327</f>
        <v>11.2</v>
      </c>
      <c r="J327" s="144" t="s">
        <v>193</v>
      </c>
      <c r="K327" s="219">
        <f>I327*H327</f>
        <v>123.19999999999999</v>
      </c>
      <c r="L327" s="127"/>
      <c r="M327" s="128"/>
      <c r="N327" s="128"/>
      <c r="O327" s="128"/>
      <c r="P327" s="128"/>
      <c r="Q327" s="129"/>
    </row>
    <row r="328" spans="1:17" ht="14" x14ac:dyDescent="0.15">
      <c r="A328" s="795" t="s">
        <v>149</v>
      </c>
      <c r="B328" s="817"/>
      <c r="C328" s="817"/>
      <c r="D328" s="817"/>
      <c r="E328" s="817"/>
      <c r="F328" s="817"/>
      <c r="G328" s="817"/>
      <c r="H328" s="817"/>
      <c r="I328" s="817"/>
      <c r="J328" s="796"/>
      <c r="K328" s="416">
        <f>SUM(K327:K327)</f>
        <v>123.19999999999999</v>
      </c>
      <c r="L328" s="134"/>
      <c r="M328" s="135"/>
      <c r="N328" s="135"/>
      <c r="O328" s="135"/>
      <c r="P328" s="135"/>
      <c r="Q328" s="136"/>
    </row>
    <row r="329" spans="1:17" x14ac:dyDescent="0.15">
      <c r="A329" s="790"/>
      <c r="B329" s="791"/>
      <c r="C329" s="791"/>
      <c r="D329" s="791"/>
      <c r="E329" s="791"/>
      <c r="F329" s="791"/>
      <c r="G329" s="791"/>
      <c r="H329" s="791"/>
      <c r="I329" s="791"/>
      <c r="J329" s="791"/>
      <c r="K329" s="791"/>
      <c r="L329" s="791"/>
      <c r="M329" s="791"/>
      <c r="N329" s="791"/>
      <c r="O329" s="791"/>
      <c r="P329" s="791"/>
      <c r="Q329" s="792"/>
    </row>
    <row r="330" spans="1:17" s="121" customFormat="1" ht="19.5" customHeight="1" x14ac:dyDescent="0.15">
      <c r="A330" s="218" t="s">
        <v>0</v>
      </c>
      <c r="B330" s="793" t="s">
        <v>1057</v>
      </c>
      <c r="C330" s="794"/>
      <c r="D330" s="794"/>
      <c r="E330" s="794"/>
      <c r="F330" s="794"/>
      <c r="G330" s="794"/>
      <c r="H330" s="794"/>
      <c r="I330" s="794"/>
      <c r="J330" s="794"/>
      <c r="K330" s="794"/>
      <c r="L330" s="794"/>
      <c r="M330" s="794"/>
      <c r="N330" s="821"/>
      <c r="O330" s="216" t="s">
        <v>73</v>
      </c>
      <c r="P330" s="795" t="s">
        <v>193</v>
      </c>
      <c r="Q330" s="796"/>
    </row>
    <row r="331" spans="1:17" x14ac:dyDescent="0.15">
      <c r="A331" s="790"/>
      <c r="B331" s="791"/>
      <c r="C331" s="791"/>
      <c r="D331" s="791"/>
      <c r="E331" s="791"/>
      <c r="F331" s="791"/>
      <c r="G331" s="791"/>
      <c r="H331" s="791"/>
      <c r="I331" s="791"/>
      <c r="J331" s="791"/>
      <c r="K331" s="791"/>
      <c r="L331" s="791"/>
      <c r="M331" s="791"/>
      <c r="N331" s="791"/>
      <c r="O331" s="791"/>
      <c r="P331" s="791"/>
      <c r="Q331" s="792"/>
    </row>
    <row r="332" spans="1:17" s="126" customFormat="1" ht="12.75" customHeight="1" x14ac:dyDescent="0.15">
      <c r="A332" s="822" t="s">
        <v>150</v>
      </c>
      <c r="B332" s="823" t="s">
        <v>151</v>
      </c>
      <c r="C332" s="823"/>
      <c r="D332" s="825" t="s">
        <v>152</v>
      </c>
      <c r="E332" s="826"/>
      <c r="F332" s="826"/>
      <c r="G332" s="834"/>
      <c r="H332" s="802" t="s">
        <v>153</v>
      </c>
      <c r="I332" s="802" t="s">
        <v>242</v>
      </c>
      <c r="J332" s="804" t="s">
        <v>73</v>
      </c>
      <c r="K332" s="216" t="s">
        <v>154</v>
      </c>
      <c r="L332" s="123"/>
      <c r="M332" s="124"/>
      <c r="N332" s="124"/>
      <c r="O332" s="124"/>
      <c r="P332" s="124"/>
      <c r="Q332" s="125"/>
    </row>
    <row r="333" spans="1:17" s="130" customFormat="1" x14ac:dyDescent="0.15">
      <c r="A333" s="822"/>
      <c r="B333" s="823"/>
      <c r="C333" s="823"/>
      <c r="D333" s="220"/>
      <c r="E333" s="217" t="s">
        <v>155</v>
      </c>
      <c r="F333" s="217" t="s">
        <v>156</v>
      </c>
      <c r="G333" s="217" t="s">
        <v>269</v>
      </c>
      <c r="H333" s="803"/>
      <c r="I333" s="803"/>
      <c r="J333" s="805"/>
      <c r="K333" s="216" t="s">
        <v>158</v>
      </c>
      <c r="L333" s="127"/>
      <c r="M333" s="128"/>
      <c r="N333" s="128"/>
      <c r="O333" s="128"/>
      <c r="P333" s="128"/>
      <c r="Q333" s="129"/>
    </row>
    <row r="334" spans="1:17" ht="22.5" customHeight="1" x14ac:dyDescent="0.15">
      <c r="A334" s="131"/>
      <c r="B334" s="815" t="s">
        <v>974</v>
      </c>
      <c r="C334" s="816"/>
      <c r="D334" s="219">
        <v>0</v>
      </c>
      <c r="E334" s="132">
        <v>11.2</v>
      </c>
      <c r="F334" s="144">
        <v>0</v>
      </c>
      <c r="G334" s="144">
        <v>0</v>
      </c>
      <c r="H334" s="132">
        <v>11</v>
      </c>
      <c r="I334" s="132">
        <f>E334</f>
        <v>11.2</v>
      </c>
      <c r="J334" s="144" t="s">
        <v>193</v>
      </c>
      <c r="K334" s="219">
        <f>I334*H334</f>
        <v>123.19999999999999</v>
      </c>
      <c r="L334" s="127"/>
      <c r="M334" s="128"/>
      <c r="N334" s="128"/>
      <c r="O334" s="128"/>
      <c r="P334" s="128"/>
      <c r="Q334" s="129"/>
    </row>
    <row r="335" spans="1:17" ht="14" x14ac:dyDescent="0.15">
      <c r="A335" s="795" t="s">
        <v>149</v>
      </c>
      <c r="B335" s="817"/>
      <c r="C335" s="817"/>
      <c r="D335" s="817"/>
      <c r="E335" s="817"/>
      <c r="F335" s="817"/>
      <c r="G335" s="817"/>
      <c r="H335" s="817"/>
      <c r="I335" s="817"/>
      <c r="J335" s="796"/>
      <c r="K335" s="416">
        <f>SUM(K334)</f>
        <v>123.19999999999999</v>
      </c>
      <c r="L335" s="134"/>
      <c r="M335" s="135"/>
      <c r="N335" s="135"/>
      <c r="O335" s="135"/>
      <c r="P335" s="135"/>
      <c r="Q335" s="136"/>
    </row>
    <row r="336" spans="1:17" x14ac:dyDescent="0.15">
      <c r="A336" s="790"/>
      <c r="B336" s="791"/>
      <c r="C336" s="791"/>
      <c r="D336" s="791"/>
      <c r="E336" s="791"/>
      <c r="F336" s="791"/>
      <c r="G336" s="791"/>
      <c r="H336" s="791"/>
      <c r="I336" s="791"/>
      <c r="J336" s="791"/>
      <c r="K336" s="791"/>
      <c r="L336" s="791"/>
      <c r="M336" s="791"/>
      <c r="N336" s="791"/>
      <c r="O336" s="791"/>
      <c r="P336" s="791"/>
      <c r="Q336" s="792"/>
    </row>
    <row r="337" spans="1:17" s="121" customFormat="1" ht="18" customHeight="1" x14ac:dyDescent="0.15">
      <c r="A337" s="218" t="s">
        <v>0</v>
      </c>
      <c r="B337" s="793" t="s">
        <v>1058</v>
      </c>
      <c r="C337" s="794"/>
      <c r="D337" s="794"/>
      <c r="E337" s="794"/>
      <c r="F337" s="794"/>
      <c r="G337" s="794"/>
      <c r="H337" s="794"/>
      <c r="I337" s="794"/>
      <c r="J337" s="794"/>
      <c r="K337" s="794"/>
      <c r="L337" s="794"/>
      <c r="M337" s="794"/>
      <c r="N337" s="821"/>
      <c r="O337" s="216" t="s">
        <v>73</v>
      </c>
      <c r="P337" s="795" t="s">
        <v>5</v>
      </c>
      <c r="Q337" s="796"/>
    </row>
    <row r="338" spans="1:17" x14ac:dyDescent="0.15">
      <c r="A338" s="790"/>
      <c r="B338" s="791"/>
      <c r="C338" s="791"/>
      <c r="D338" s="791"/>
      <c r="E338" s="791"/>
      <c r="F338" s="791"/>
      <c r="G338" s="791"/>
      <c r="H338" s="791"/>
      <c r="I338" s="791"/>
      <c r="J338" s="791"/>
      <c r="K338" s="791"/>
      <c r="L338" s="791"/>
      <c r="M338" s="791"/>
      <c r="N338" s="791"/>
      <c r="O338" s="791"/>
      <c r="P338" s="791"/>
      <c r="Q338" s="122"/>
    </row>
    <row r="339" spans="1:17" s="126" customFormat="1" ht="12.75" customHeight="1" x14ac:dyDescent="0.15">
      <c r="A339" s="822" t="s">
        <v>150</v>
      </c>
      <c r="B339" s="823" t="s">
        <v>151</v>
      </c>
      <c r="C339" s="823"/>
      <c r="D339" s="832" t="s">
        <v>241</v>
      </c>
      <c r="E339" s="823" t="s">
        <v>152</v>
      </c>
      <c r="F339" s="823"/>
      <c r="G339" s="823"/>
      <c r="H339" s="802" t="s">
        <v>153</v>
      </c>
      <c r="I339" s="802" t="s">
        <v>159</v>
      </c>
      <c r="J339" s="804" t="s">
        <v>73</v>
      </c>
      <c r="K339" s="216" t="s">
        <v>154</v>
      </c>
      <c r="L339" s="123"/>
      <c r="M339" s="124"/>
      <c r="N339" s="124"/>
      <c r="O339" s="124"/>
      <c r="P339" s="124"/>
      <c r="Q339" s="125"/>
    </row>
    <row r="340" spans="1:17" s="130" customFormat="1" ht="14" x14ac:dyDescent="0.15">
      <c r="A340" s="822"/>
      <c r="B340" s="823"/>
      <c r="C340" s="823"/>
      <c r="D340" s="833"/>
      <c r="E340" s="217" t="s">
        <v>155</v>
      </c>
      <c r="F340" s="220" t="s">
        <v>572</v>
      </c>
      <c r="G340" s="217" t="s">
        <v>157</v>
      </c>
      <c r="H340" s="803"/>
      <c r="I340" s="803"/>
      <c r="J340" s="805"/>
      <c r="K340" s="216" t="s">
        <v>158</v>
      </c>
      <c r="L340" s="127"/>
      <c r="M340" s="128"/>
      <c r="N340" s="128"/>
      <c r="O340" s="128"/>
      <c r="P340" s="128"/>
      <c r="Q340" s="129"/>
    </row>
    <row r="341" spans="1:17" ht="22.5" customHeight="1" x14ac:dyDescent="0.15">
      <c r="A341" s="131"/>
      <c r="B341" s="815" t="s">
        <v>1059</v>
      </c>
      <c r="C341" s="816"/>
      <c r="D341" s="219">
        <f>D20</f>
        <v>105.9</v>
      </c>
      <c r="E341" s="132">
        <v>0</v>
      </c>
      <c r="F341" s="144">
        <v>0</v>
      </c>
      <c r="G341" s="144">
        <v>0</v>
      </c>
      <c r="H341" s="132">
        <v>1</v>
      </c>
      <c r="I341" s="132">
        <f>D341</f>
        <v>105.9</v>
      </c>
      <c r="J341" s="144" t="s">
        <v>5</v>
      </c>
      <c r="K341" s="219">
        <f>I341*H341</f>
        <v>105.9</v>
      </c>
      <c r="L341" s="127"/>
      <c r="M341" s="128"/>
      <c r="N341" s="128"/>
      <c r="O341" s="128"/>
      <c r="P341" s="128"/>
      <c r="Q341" s="129"/>
    </row>
    <row r="342" spans="1:17" ht="14" x14ac:dyDescent="0.15">
      <c r="A342" s="795" t="s">
        <v>149</v>
      </c>
      <c r="B342" s="817"/>
      <c r="C342" s="817"/>
      <c r="D342" s="817"/>
      <c r="E342" s="817"/>
      <c r="F342" s="817"/>
      <c r="G342" s="817"/>
      <c r="H342" s="817"/>
      <c r="I342" s="817"/>
      <c r="J342" s="796"/>
      <c r="K342" s="416">
        <f>SUM(K341)</f>
        <v>105.9</v>
      </c>
      <c r="L342" s="134"/>
      <c r="M342" s="135"/>
      <c r="N342" s="135"/>
      <c r="O342" s="135"/>
      <c r="P342" s="135"/>
      <c r="Q342" s="136"/>
    </row>
    <row r="343" spans="1:17" x14ac:dyDescent="0.15">
      <c r="A343" s="790"/>
      <c r="B343" s="791"/>
      <c r="C343" s="791"/>
      <c r="D343" s="791"/>
      <c r="E343" s="791"/>
      <c r="F343" s="791"/>
      <c r="G343" s="791"/>
      <c r="H343" s="791"/>
      <c r="I343" s="791"/>
      <c r="J343" s="791"/>
      <c r="K343" s="791"/>
      <c r="L343" s="791"/>
      <c r="M343" s="791"/>
      <c r="N343" s="791"/>
      <c r="O343" s="791"/>
      <c r="P343" s="791"/>
      <c r="Q343" s="792"/>
    </row>
    <row r="344" spans="1:17" s="121" customFormat="1" ht="18" customHeight="1" x14ac:dyDescent="0.15">
      <c r="A344" s="218" t="s">
        <v>0</v>
      </c>
      <c r="B344" s="793" t="s">
        <v>1382</v>
      </c>
      <c r="C344" s="794"/>
      <c r="D344" s="794"/>
      <c r="E344" s="794"/>
      <c r="F344" s="794"/>
      <c r="G344" s="794"/>
      <c r="H344" s="794"/>
      <c r="I344" s="794"/>
      <c r="J344" s="794"/>
      <c r="K344" s="794"/>
      <c r="L344" s="794"/>
      <c r="M344" s="794"/>
      <c r="N344" s="821"/>
      <c r="O344" s="216" t="s">
        <v>73</v>
      </c>
      <c r="P344" s="795" t="s">
        <v>5</v>
      </c>
      <c r="Q344" s="796"/>
    </row>
    <row r="345" spans="1:17" x14ac:dyDescent="0.15">
      <c r="A345" s="790"/>
      <c r="B345" s="791"/>
      <c r="C345" s="791"/>
      <c r="D345" s="791"/>
      <c r="E345" s="791"/>
      <c r="F345" s="791"/>
      <c r="G345" s="791"/>
      <c r="H345" s="791"/>
      <c r="I345" s="791"/>
      <c r="J345" s="791"/>
      <c r="K345" s="791"/>
      <c r="L345" s="791"/>
      <c r="M345" s="791"/>
      <c r="N345" s="791"/>
      <c r="O345" s="791"/>
      <c r="P345" s="791"/>
      <c r="Q345" s="122"/>
    </row>
    <row r="346" spans="1:17" s="126" customFormat="1" ht="12.75" customHeight="1" x14ac:dyDescent="0.15">
      <c r="A346" s="822" t="s">
        <v>150</v>
      </c>
      <c r="B346" s="823" t="s">
        <v>151</v>
      </c>
      <c r="C346" s="823"/>
      <c r="D346" s="832" t="s">
        <v>241</v>
      </c>
      <c r="E346" s="823" t="s">
        <v>152</v>
      </c>
      <c r="F346" s="823"/>
      <c r="G346" s="823"/>
      <c r="H346" s="802" t="s">
        <v>153</v>
      </c>
      <c r="I346" s="802" t="s">
        <v>159</v>
      </c>
      <c r="J346" s="804" t="s">
        <v>73</v>
      </c>
      <c r="K346" s="216" t="s">
        <v>154</v>
      </c>
      <c r="L346" s="123"/>
      <c r="M346" s="124"/>
      <c r="N346" s="124"/>
      <c r="O346" s="124"/>
      <c r="P346" s="124"/>
      <c r="Q346" s="125"/>
    </row>
    <row r="347" spans="1:17" s="130" customFormat="1" ht="14" x14ac:dyDescent="0.15">
      <c r="A347" s="822"/>
      <c r="B347" s="823"/>
      <c r="C347" s="823"/>
      <c r="D347" s="833"/>
      <c r="E347" s="217" t="s">
        <v>155</v>
      </c>
      <c r="F347" s="220" t="s">
        <v>572</v>
      </c>
      <c r="G347" s="217" t="s">
        <v>157</v>
      </c>
      <c r="H347" s="803"/>
      <c r="I347" s="803"/>
      <c r="J347" s="805"/>
      <c r="K347" s="216" t="s">
        <v>158</v>
      </c>
      <c r="L347" s="127"/>
      <c r="M347" s="128"/>
      <c r="N347" s="128"/>
      <c r="O347" s="128"/>
      <c r="P347" s="128"/>
      <c r="Q347" s="129"/>
    </row>
    <row r="348" spans="1:17" ht="22.5" customHeight="1" x14ac:dyDescent="0.15">
      <c r="A348" s="131"/>
      <c r="B348" s="815" t="s">
        <v>1156</v>
      </c>
      <c r="C348" s="816"/>
      <c r="D348" s="219">
        <v>14.55</v>
      </c>
      <c r="E348" s="132">
        <v>0</v>
      </c>
      <c r="F348" s="144">
        <v>0</v>
      </c>
      <c r="G348" s="144">
        <v>0</v>
      </c>
      <c r="H348" s="132">
        <v>1</v>
      </c>
      <c r="I348" s="132">
        <f>D348</f>
        <v>14.55</v>
      </c>
      <c r="J348" s="144" t="s">
        <v>5</v>
      </c>
      <c r="K348" s="219">
        <f>I348*H348</f>
        <v>14.55</v>
      </c>
      <c r="L348" s="127"/>
      <c r="M348" s="128"/>
      <c r="N348" s="128"/>
      <c r="O348" s="128"/>
      <c r="P348" s="128"/>
      <c r="Q348" s="129"/>
    </row>
    <row r="349" spans="1:17" ht="14" x14ac:dyDescent="0.15">
      <c r="A349" s="795" t="s">
        <v>149</v>
      </c>
      <c r="B349" s="817"/>
      <c r="C349" s="817"/>
      <c r="D349" s="817"/>
      <c r="E349" s="817"/>
      <c r="F349" s="817"/>
      <c r="G349" s="817"/>
      <c r="H349" s="817"/>
      <c r="I349" s="817"/>
      <c r="J349" s="796"/>
      <c r="K349" s="416">
        <f>SUM(K348)</f>
        <v>14.55</v>
      </c>
      <c r="L349" s="134"/>
      <c r="M349" s="135"/>
      <c r="N349" s="135"/>
      <c r="O349" s="135"/>
      <c r="P349" s="135"/>
      <c r="Q349" s="136"/>
    </row>
    <row r="350" spans="1:17" x14ac:dyDescent="0.15">
      <c r="A350" s="790"/>
      <c r="B350" s="791"/>
      <c r="C350" s="791"/>
      <c r="D350" s="791"/>
      <c r="E350" s="791"/>
      <c r="F350" s="791"/>
      <c r="G350" s="791"/>
      <c r="H350" s="791"/>
      <c r="I350" s="791"/>
      <c r="J350" s="791"/>
      <c r="K350" s="791"/>
      <c r="L350" s="791"/>
      <c r="M350" s="791"/>
      <c r="N350" s="791"/>
      <c r="O350" s="791"/>
      <c r="P350" s="791"/>
      <c r="Q350" s="792"/>
    </row>
    <row r="351" spans="1:17" s="121" customFormat="1" ht="18" customHeight="1" x14ac:dyDescent="0.15">
      <c r="A351" s="218" t="s">
        <v>0</v>
      </c>
      <c r="B351" s="838" t="s">
        <v>1118</v>
      </c>
      <c r="C351" s="839"/>
      <c r="D351" s="839"/>
      <c r="E351" s="839"/>
      <c r="F351" s="839"/>
      <c r="G351" s="839"/>
      <c r="H351" s="839"/>
      <c r="I351" s="839"/>
      <c r="J351" s="839"/>
      <c r="K351" s="839"/>
      <c r="L351" s="839"/>
      <c r="M351" s="839"/>
      <c r="N351" s="839"/>
      <c r="O351" s="216" t="s">
        <v>73</v>
      </c>
      <c r="P351" s="795" t="s">
        <v>319</v>
      </c>
      <c r="Q351" s="796"/>
    </row>
    <row r="352" spans="1:17" x14ac:dyDescent="0.15">
      <c r="A352" s="790"/>
      <c r="B352" s="791"/>
      <c r="C352" s="791"/>
      <c r="D352" s="791"/>
      <c r="E352" s="791"/>
      <c r="F352" s="791"/>
      <c r="G352" s="791"/>
      <c r="H352" s="791"/>
      <c r="I352" s="791"/>
      <c r="J352" s="791"/>
      <c r="K352" s="791"/>
      <c r="L352" s="791"/>
      <c r="M352" s="791"/>
      <c r="N352" s="791"/>
      <c r="O352" s="791"/>
      <c r="P352" s="791"/>
      <c r="Q352" s="792"/>
    </row>
    <row r="353" spans="1:17" s="126" customFormat="1" ht="12.75" customHeight="1" x14ac:dyDescent="0.15">
      <c r="A353" s="802" t="s">
        <v>150</v>
      </c>
      <c r="B353" s="848" t="s">
        <v>151</v>
      </c>
      <c r="C353" s="849"/>
      <c r="D353" s="802"/>
      <c r="E353" s="825" t="s">
        <v>152</v>
      </c>
      <c r="F353" s="826"/>
      <c r="G353" s="834"/>
      <c r="H353" s="802" t="s">
        <v>153</v>
      </c>
      <c r="I353" s="802" t="s">
        <v>479</v>
      </c>
      <c r="J353" s="804" t="s">
        <v>73</v>
      </c>
      <c r="K353" s="216" t="s">
        <v>154</v>
      </c>
      <c r="L353" s="123"/>
      <c r="M353" s="124"/>
      <c r="N353" s="124"/>
      <c r="O353" s="124"/>
      <c r="P353" s="124"/>
      <c r="Q353" s="125"/>
    </row>
    <row r="354" spans="1:17" s="130" customFormat="1" x14ac:dyDescent="0.15">
      <c r="A354" s="803"/>
      <c r="B354" s="850"/>
      <c r="C354" s="851"/>
      <c r="D354" s="803"/>
      <c r="E354" s="217" t="s">
        <v>155</v>
      </c>
      <c r="F354" s="217" t="s">
        <v>156</v>
      </c>
      <c r="G354" s="217" t="s">
        <v>157</v>
      </c>
      <c r="H354" s="803"/>
      <c r="I354" s="803"/>
      <c r="J354" s="805"/>
      <c r="K354" s="216" t="s">
        <v>158</v>
      </c>
      <c r="L354" s="127"/>
      <c r="M354" s="128"/>
      <c r="N354" s="128"/>
      <c r="O354" s="128"/>
      <c r="P354" s="128"/>
      <c r="Q354" s="129"/>
    </row>
    <row r="355" spans="1:17" ht="17.25" customHeight="1" x14ac:dyDescent="0.15">
      <c r="A355" s="148"/>
      <c r="B355" s="788" t="s">
        <v>1119</v>
      </c>
      <c r="C355" s="789"/>
      <c r="D355" s="149"/>
      <c r="E355" s="143">
        <v>0</v>
      </c>
      <c r="F355" s="143">
        <v>0</v>
      </c>
      <c r="G355" s="143">
        <v>0</v>
      </c>
      <c r="H355" s="143">
        <v>10</v>
      </c>
      <c r="I355" s="143">
        <f>H355</f>
        <v>10</v>
      </c>
      <c r="J355" s="133" t="s">
        <v>319</v>
      </c>
      <c r="K355" s="143">
        <f>I355</f>
        <v>10</v>
      </c>
      <c r="L355" s="127"/>
      <c r="M355" s="128"/>
      <c r="N355" s="128"/>
      <c r="O355" s="128"/>
      <c r="P355" s="128"/>
      <c r="Q355" s="129"/>
    </row>
    <row r="356" spans="1:17" ht="14" x14ac:dyDescent="0.15">
      <c r="A356" s="795" t="s">
        <v>149</v>
      </c>
      <c r="B356" s="817"/>
      <c r="C356" s="817"/>
      <c r="D356" s="817"/>
      <c r="E356" s="817"/>
      <c r="F356" s="817"/>
      <c r="G356" s="817"/>
      <c r="H356" s="817"/>
      <c r="I356" s="817"/>
      <c r="J356" s="796"/>
      <c r="K356" s="416">
        <f>SUM(K355:K355)</f>
        <v>10</v>
      </c>
      <c r="L356" s="134"/>
      <c r="M356" s="135"/>
      <c r="N356" s="135"/>
      <c r="O356" s="135"/>
      <c r="P356" s="135"/>
      <c r="Q356" s="136"/>
    </row>
    <row r="357" spans="1:17" x14ac:dyDescent="0.15">
      <c r="A357" s="790"/>
      <c r="B357" s="791"/>
      <c r="C357" s="791"/>
      <c r="D357" s="791"/>
      <c r="E357" s="791"/>
      <c r="F357" s="791"/>
      <c r="G357" s="791"/>
      <c r="H357" s="791"/>
      <c r="I357" s="791"/>
      <c r="J357" s="791"/>
      <c r="K357" s="791"/>
      <c r="L357" s="791"/>
      <c r="M357" s="791"/>
      <c r="N357" s="791"/>
      <c r="O357" s="791"/>
      <c r="P357" s="791"/>
      <c r="Q357" s="792"/>
    </row>
    <row r="358" spans="1:17" s="121" customFormat="1" ht="18" customHeight="1" x14ac:dyDescent="0.15">
      <c r="A358" s="218" t="s">
        <v>0</v>
      </c>
      <c r="B358" s="838" t="s">
        <v>1120</v>
      </c>
      <c r="C358" s="839"/>
      <c r="D358" s="839"/>
      <c r="E358" s="839"/>
      <c r="F358" s="839"/>
      <c r="G358" s="839"/>
      <c r="H358" s="839"/>
      <c r="I358" s="839"/>
      <c r="J358" s="839"/>
      <c r="K358" s="839"/>
      <c r="L358" s="839"/>
      <c r="M358" s="839"/>
      <c r="N358" s="839"/>
      <c r="O358" s="216" t="s">
        <v>73</v>
      </c>
      <c r="P358" s="795" t="s">
        <v>319</v>
      </c>
      <c r="Q358" s="796"/>
    </row>
    <row r="359" spans="1:17" x14ac:dyDescent="0.15">
      <c r="A359" s="790"/>
      <c r="B359" s="791"/>
      <c r="C359" s="791"/>
      <c r="D359" s="791"/>
      <c r="E359" s="791"/>
      <c r="F359" s="791"/>
      <c r="G359" s="791"/>
      <c r="H359" s="791"/>
      <c r="I359" s="791"/>
      <c r="J359" s="791"/>
      <c r="K359" s="791"/>
      <c r="L359" s="791"/>
      <c r="M359" s="791"/>
      <c r="N359" s="791"/>
      <c r="O359" s="791"/>
      <c r="P359" s="791"/>
      <c r="Q359" s="792"/>
    </row>
    <row r="360" spans="1:17" s="126" customFormat="1" ht="12.75" customHeight="1" x14ac:dyDescent="0.15">
      <c r="A360" s="802" t="s">
        <v>150</v>
      </c>
      <c r="B360" s="848" t="s">
        <v>151</v>
      </c>
      <c r="C360" s="849"/>
      <c r="D360" s="802"/>
      <c r="E360" s="825" t="s">
        <v>152</v>
      </c>
      <c r="F360" s="826"/>
      <c r="G360" s="834"/>
      <c r="H360" s="802" t="s">
        <v>153</v>
      </c>
      <c r="I360" s="802" t="s">
        <v>479</v>
      </c>
      <c r="J360" s="804" t="s">
        <v>73</v>
      </c>
      <c r="K360" s="216" t="s">
        <v>154</v>
      </c>
      <c r="L360" s="123"/>
      <c r="M360" s="124"/>
      <c r="N360" s="124"/>
      <c r="O360" s="124"/>
      <c r="P360" s="124"/>
      <c r="Q360" s="125"/>
    </row>
    <row r="361" spans="1:17" s="130" customFormat="1" x14ac:dyDescent="0.15">
      <c r="A361" s="803"/>
      <c r="B361" s="850"/>
      <c r="C361" s="851"/>
      <c r="D361" s="803"/>
      <c r="E361" s="217" t="s">
        <v>155</v>
      </c>
      <c r="F361" s="217" t="s">
        <v>156</v>
      </c>
      <c r="G361" s="217" t="s">
        <v>157</v>
      </c>
      <c r="H361" s="803"/>
      <c r="I361" s="803"/>
      <c r="J361" s="805"/>
      <c r="K361" s="216" t="s">
        <v>158</v>
      </c>
      <c r="L361" s="127"/>
      <c r="M361" s="128"/>
      <c r="N361" s="128"/>
      <c r="O361" s="128"/>
      <c r="P361" s="128"/>
      <c r="Q361" s="129"/>
    </row>
    <row r="362" spans="1:17" ht="17.25" customHeight="1" x14ac:dyDescent="0.15">
      <c r="A362" s="148"/>
      <c r="B362" s="788" t="s">
        <v>1122</v>
      </c>
      <c r="C362" s="789"/>
      <c r="D362" s="149"/>
      <c r="E362" s="143">
        <v>0</v>
      </c>
      <c r="F362" s="143">
        <v>0</v>
      </c>
      <c r="G362" s="143">
        <v>0</v>
      </c>
      <c r="H362" s="143">
        <v>6</v>
      </c>
      <c r="I362" s="143">
        <f>H362</f>
        <v>6</v>
      </c>
      <c r="J362" s="133" t="s">
        <v>319</v>
      </c>
      <c r="K362" s="143">
        <f>I362</f>
        <v>6</v>
      </c>
      <c r="L362" s="127"/>
      <c r="M362" s="128"/>
      <c r="N362" s="128"/>
      <c r="O362" s="128"/>
      <c r="P362" s="128"/>
      <c r="Q362" s="129"/>
    </row>
    <row r="363" spans="1:17" ht="14" x14ac:dyDescent="0.15">
      <c r="A363" s="795" t="s">
        <v>149</v>
      </c>
      <c r="B363" s="817"/>
      <c r="C363" s="817"/>
      <c r="D363" s="817"/>
      <c r="E363" s="817"/>
      <c r="F363" s="817"/>
      <c r="G363" s="817"/>
      <c r="H363" s="817"/>
      <c r="I363" s="817"/>
      <c r="J363" s="796"/>
      <c r="K363" s="416">
        <f>SUM(K362:K362)</f>
        <v>6</v>
      </c>
      <c r="L363" s="134"/>
      <c r="M363" s="135"/>
      <c r="N363" s="135"/>
      <c r="O363" s="135"/>
      <c r="P363" s="135"/>
      <c r="Q363" s="136"/>
    </row>
    <row r="364" spans="1:17" x14ac:dyDescent="0.15">
      <c r="A364" s="790"/>
      <c r="B364" s="791"/>
      <c r="C364" s="791"/>
      <c r="D364" s="791"/>
      <c r="E364" s="791"/>
      <c r="F364" s="791"/>
      <c r="G364" s="791"/>
      <c r="H364" s="791"/>
      <c r="I364" s="791"/>
      <c r="J364" s="791"/>
      <c r="K364" s="791"/>
      <c r="L364" s="791"/>
      <c r="M364" s="791"/>
      <c r="N364" s="791"/>
      <c r="O364" s="791"/>
      <c r="P364" s="791"/>
      <c r="Q364" s="792"/>
    </row>
    <row r="365" spans="1:17" s="121" customFormat="1" ht="18" customHeight="1" x14ac:dyDescent="0.15">
      <c r="A365" s="218" t="s">
        <v>0</v>
      </c>
      <c r="B365" s="838" t="s">
        <v>1121</v>
      </c>
      <c r="C365" s="839"/>
      <c r="D365" s="839"/>
      <c r="E365" s="839"/>
      <c r="F365" s="839"/>
      <c r="G365" s="839"/>
      <c r="H365" s="839"/>
      <c r="I365" s="839"/>
      <c r="J365" s="839"/>
      <c r="K365" s="839"/>
      <c r="L365" s="839"/>
      <c r="M365" s="839"/>
      <c r="N365" s="839"/>
      <c r="O365" s="216" t="s">
        <v>73</v>
      </c>
      <c r="P365" s="795" t="s">
        <v>5</v>
      </c>
      <c r="Q365" s="796"/>
    </row>
    <row r="366" spans="1:17" x14ac:dyDescent="0.15">
      <c r="A366" s="790"/>
      <c r="B366" s="791"/>
      <c r="C366" s="791"/>
      <c r="D366" s="791"/>
      <c r="E366" s="791"/>
      <c r="F366" s="791"/>
      <c r="G366" s="791"/>
      <c r="H366" s="791"/>
      <c r="I366" s="791"/>
      <c r="J366" s="791"/>
      <c r="K366" s="791"/>
      <c r="L366" s="791"/>
      <c r="M366" s="791"/>
      <c r="N366" s="791"/>
      <c r="O366" s="791"/>
      <c r="P366" s="791"/>
      <c r="Q366" s="792"/>
    </row>
    <row r="367" spans="1:17" s="126" customFormat="1" x14ac:dyDescent="0.15">
      <c r="A367" s="822" t="s">
        <v>150</v>
      </c>
      <c r="B367" s="823" t="s">
        <v>151</v>
      </c>
      <c r="C367" s="823"/>
      <c r="D367" s="832" t="s">
        <v>246</v>
      </c>
      <c r="E367" s="823" t="s">
        <v>152</v>
      </c>
      <c r="F367" s="823"/>
      <c r="G367" s="823"/>
      <c r="H367" s="802" t="s">
        <v>153</v>
      </c>
      <c r="I367" s="802" t="s">
        <v>159</v>
      </c>
      <c r="J367" s="804" t="s">
        <v>73</v>
      </c>
      <c r="K367" s="216" t="s">
        <v>154</v>
      </c>
      <c r="L367" s="123"/>
      <c r="M367" s="124"/>
      <c r="N367" s="124"/>
      <c r="O367" s="124"/>
      <c r="P367" s="124"/>
      <c r="Q367" s="125"/>
    </row>
    <row r="368" spans="1:17" s="130" customFormat="1" x14ac:dyDescent="0.15">
      <c r="A368" s="822"/>
      <c r="B368" s="823"/>
      <c r="C368" s="823"/>
      <c r="D368" s="833"/>
      <c r="E368" s="217" t="s">
        <v>155</v>
      </c>
      <c r="F368" s="217" t="s">
        <v>156</v>
      </c>
      <c r="G368" s="217" t="s">
        <v>157</v>
      </c>
      <c r="H368" s="803"/>
      <c r="I368" s="803"/>
      <c r="J368" s="805"/>
      <c r="K368" s="216" t="s">
        <v>158</v>
      </c>
      <c r="L368" s="127"/>
      <c r="M368" s="128"/>
      <c r="N368" s="128"/>
      <c r="O368" s="128"/>
      <c r="P368" s="128"/>
      <c r="Q368" s="129"/>
    </row>
    <row r="369" spans="1:17" ht="27.75" customHeight="1" x14ac:dyDescent="0.15">
      <c r="A369" s="148"/>
      <c r="B369" s="815" t="s">
        <v>1123</v>
      </c>
      <c r="C369" s="816"/>
      <c r="D369" s="219">
        <v>0</v>
      </c>
      <c r="E369" s="132">
        <v>1.3</v>
      </c>
      <c r="F369" s="144">
        <v>1</v>
      </c>
      <c r="G369" s="144">
        <v>0</v>
      </c>
      <c r="H369" s="132">
        <v>2</v>
      </c>
      <c r="I369" s="143">
        <f>F369*E369</f>
        <v>1.3</v>
      </c>
      <c r="J369" s="133" t="s">
        <v>5</v>
      </c>
      <c r="K369" s="143">
        <f t="shared" ref="K369" si="39">(I369*H369)-D369</f>
        <v>2.6</v>
      </c>
      <c r="L369" s="127"/>
      <c r="M369" s="128"/>
      <c r="N369" s="128"/>
      <c r="O369" s="128"/>
      <c r="P369" s="128"/>
      <c r="Q369" s="129"/>
    </row>
    <row r="370" spans="1:17" ht="14" x14ac:dyDescent="0.15">
      <c r="A370" s="795" t="s">
        <v>149</v>
      </c>
      <c r="B370" s="817"/>
      <c r="C370" s="817"/>
      <c r="D370" s="817"/>
      <c r="E370" s="817"/>
      <c r="F370" s="817"/>
      <c r="G370" s="817"/>
      <c r="H370" s="817"/>
      <c r="I370" s="817"/>
      <c r="J370" s="796"/>
      <c r="K370" s="416">
        <f>SUM(K369)</f>
        <v>2.6</v>
      </c>
      <c r="L370" s="134"/>
      <c r="M370" s="135"/>
      <c r="N370" s="135"/>
      <c r="O370" s="135"/>
      <c r="P370" s="135"/>
      <c r="Q370" s="136"/>
    </row>
    <row r="371" spans="1:17" x14ac:dyDescent="0.15">
      <c r="A371" s="790"/>
      <c r="B371" s="791"/>
      <c r="C371" s="791"/>
      <c r="D371" s="791"/>
      <c r="E371" s="791"/>
      <c r="F371" s="791"/>
      <c r="G371" s="791"/>
      <c r="H371" s="791"/>
      <c r="I371" s="791"/>
      <c r="J371" s="791"/>
      <c r="K371" s="791"/>
      <c r="L371" s="791"/>
      <c r="M371" s="791"/>
      <c r="N371" s="791"/>
      <c r="O371" s="791"/>
      <c r="P371" s="791"/>
      <c r="Q371" s="792"/>
    </row>
    <row r="372" spans="1:17" s="121" customFormat="1" ht="18" customHeight="1" x14ac:dyDescent="0.15">
      <c r="A372" s="218" t="s">
        <v>0</v>
      </c>
      <c r="B372" s="838" t="s">
        <v>1163</v>
      </c>
      <c r="C372" s="839"/>
      <c r="D372" s="839"/>
      <c r="E372" s="839"/>
      <c r="F372" s="839"/>
      <c r="G372" s="839"/>
      <c r="H372" s="839"/>
      <c r="I372" s="839"/>
      <c r="J372" s="839"/>
      <c r="K372" s="839"/>
      <c r="L372" s="839"/>
      <c r="M372" s="839"/>
      <c r="N372" s="839"/>
      <c r="O372" s="216" t="s">
        <v>73</v>
      </c>
      <c r="P372" s="795" t="s">
        <v>319</v>
      </c>
      <c r="Q372" s="796"/>
    </row>
    <row r="373" spans="1:17" x14ac:dyDescent="0.15">
      <c r="A373" s="790"/>
      <c r="B373" s="791"/>
      <c r="C373" s="791"/>
      <c r="D373" s="791"/>
      <c r="E373" s="791"/>
      <c r="F373" s="791"/>
      <c r="G373" s="791"/>
      <c r="H373" s="791"/>
      <c r="I373" s="791"/>
      <c r="J373" s="791"/>
      <c r="K373" s="791"/>
      <c r="L373" s="791"/>
      <c r="M373" s="791"/>
      <c r="N373" s="791"/>
      <c r="O373" s="791"/>
      <c r="P373" s="791"/>
      <c r="Q373" s="792"/>
    </row>
    <row r="374" spans="1:17" s="126" customFormat="1" x14ac:dyDescent="0.15">
      <c r="A374" s="822" t="s">
        <v>150</v>
      </c>
      <c r="B374" s="823" t="s">
        <v>151</v>
      </c>
      <c r="C374" s="823"/>
      <c r="D374" s="832" t="s">
        <v>246</v>
      </c>
      <c r="E374" s="823" t="s">
        <v>152</v>
      </c>
      <c r="F374" s="823"/>
      <c r="G374" s="823"/>
      <c r="H374" s="802" t="s">
        <v>153</v>
      </c>
      <c r="I374" s="802" t="s">
        <v>319</v>
      </c>
      <c r="J374" s="804" t="s">
        <v>73</v>
      </c>
      <c r="K374" s="216" t="s">
        <v>154</v>
      </c>
      <c r="L374" s="123"/>
      <c r="M374" s="124"/>
      <c r="N374" s="124"/>
      <c r="O374" s="124"/>
      <c r="P374" s="124"/>
      <c r="Q374" s="125"/>
    </row>
    <row r="375" spans="1:17" s="130" customFormat="1" x14ac:dyDescent="0.15">
      <c r="A375" s="822"/>
      <c r="B375" s="823"/>
      <c r="C375" s="823"/>
      <c r="D375" s="833"/>
      <c r="E375" s="217" t="s">
        <v>155</v>
      </c>
      <c r="F375" s="217" t="s">
        <v>156</v>
      </c>
      <c r="G375" s="217" t="s">
        <v>157</v>
      </c>
      <c r="H375" s="803"/>
      <c r="I375" s="803"/>
      <c r="J375" s="805"/>
      <c r="K375" s="216" t="s">
        <v>158</v>
      </c>
      <c r="L375" s="127"/>
      <c r="M375" s="128"/>
      <c r="N375" s="128"/>
      <c r="O375" s="128"/>
      <c r="P375" s="128"/>
      <c r="Q375" s="129"/>
    </row>
    <row r="376" spans="1:17" ht="27.75" customHeight="1" x14ac:dyDescent="0.15">
      <c r="A376" s="148"/>
      <c r="B376" s="815" t="s">
        <v>1160</v>
      </c>
      <c r="C376" s="816"/>
      <c r="D376" s="219">
        <v>0</v>
      </c>
      <c r="E376" s="132">
        <v>2.5</v>
      </c>
      <c r="F376" s="144">
        <v>2</v>
      </c>
      <c r="G376" s="144">
        <v>0</v>
      </c>
      <c r="H376" s="132">
        <v>1</v>
      </c>
      <c r="I376" s="143">
        <v>1</v>
      </c>
      <c r="J376" s="133" t="s">
        <v>319</v>
      </c>
      <c r="K376" s="143">
        <f t="shared" ref="K376" si="40">(I376*H376)-D376</f>
        <v>1</v>
      </c>
      <c r="L376" s="127"/>
      <c r="M376" s="128"/>
      <c r="N376" s="128"/>
      <c r="O376" s="128"/>
      <c r="P376" s="128"/>
      <c r="Q376" s="129"/>
    </row>
    <row r="377" spans="1:17" ht="14" x14ac:dyDescent="0.15">
      <c r="A377" s="795" t="s">
        <v>149</v>
      </c>
      <c r="B377" s="817"/>
      <c r="C377" s="817"/>
      <c r="D377" s="817"/>
      <c r="E377" s="817"/>
      <c r="F377" s="817"/>
      <c r="G377" s="817"/>
      <c r="H377" s="817"/>
      <c r="I377" s="817"/>
      <c r="J377" s="796"/>
      <c r="K377" s="416">
        <f>SUM(K376)</f>
        <v>1</v>
      </c>
      <c r="L377" s="134"/>
      <c r="M377" s="135"/>
      <c r="N377" s="135"/>
      <c r="O377" s="135"/>
      <c r="P377" s="135"/>
      <c r="Q377" s="136"/>
    </row>
    <row r="378" spans="1:17" x14ac:dyDescent="0.15">
      <c r="A378" s="790"/>
      <c r="B378" s="791"/>
      <c r="C378" s="791"/>
      <c r="D378" s="791"/>
      <c r="E378" s="791"/>
      <c r="F378" s="791"/>
      <c r="G378" s="791"/>
      <c r="H378" s="791"/>
      <c r="I378" s="791"/>
      <c r="J378" s="791"/>
      <c r="K378" s="791"/>
      <c r="L378" s="791"/>
      <c r="M378" s="791"/>
      <c r="N378" s="791"/>
      <c r="O378" s="791"/>
      <c r="P378" s="791"/>
      <c r="Q378" s="792"/>
    </row>
    <row r="379" spans="1:17" s="121" customFormat="1" ht="18" customHeight="1" x14ac:dyDescent="0.15">
      <c r="A379" s="218" t="s">
        <v>0</v>
      </c>
      <c r="B379" s="830" t="s">
        <v>1063</v>
      </c>
      <c r="C379" s="831"/>
      <c r="D379" s="831"/>
      <c r="E379" s="831"/>
      <c r="F379" s="831"/>
      <c r="G379" s="831"/>
      <c r="H379" s="831"/>
      <c r="I379" s="831"/>
      <c r="J379" s="831"/>
      <c r="K379" s="831"/>
      <c r="L379" s="831"/>
      <c r="M379" s="831"/>
      <c r="N379" s="831"/>
      <c r="O379" s="216" t="s">
        <v>73</v>
      </c>
      <c r="P379" s="795" t="s">
        <v>319</v>
      </c>
      <c r="Q379" s="796"/>
    </row>
    <row r="380" spans="1:17" x14ac:dyDescent="0.15">
      <c r="A380" s="790"/>
      <c r="B380" s="791"/>
      <c r="C380" s="791"/>
      <c r="D380" s="791"/>
      <c r="E380" s="791"/>
      <c r="F380" s="791"/>
      <c r="G380" s="791"/>
      <c r="H380" s="791"/>
      <c r="I380" s="791"/>
      <c r="J380" s="791"/>
      <c r="K380" s="791"/>
      <c r="L380" s="791"/>
      <c r="M380" s="791"/>
      <c r="N380" s="791"/>
      <c r="O380" s="791"/>
      <c r="P380" s="791"/>
      <c r="Q380" s="792"/>
    </row>
    <row r="381" spans="1:17" s="126" customFormat="1" x14ac:dyDescent="0.15">
      <c r="A381" s="822" t="s">
        <v>150</v>
      </c>
      <c r="B381" s="823" t="s">
        <v>151</v>
      </c>
      <c r="C381" s="823"/>
      <c r="D381" s="802"/>
      <c r="E381" s="823" t="s">
        <v>152</v>
      </c>
      <c r="F381" s="823"/>
      <c r="G381" s="823"/>
      <c r="H381" s="802" t="s">
        <v>153</v>
      </c>
      <c r="I381" s="802" t="s">
        <v>479</v>
      </c>
      <c r="J381" s="804" t="s">
        <v>73</v>
      </c>
      <c r="K381" s="216" t="s">
        <v>154</v>
      </c>
      <c r="L381" s="123"/>
      <c r="M381" s="124"/>
      <c r="N381" s="124"/>
      <c r="O381" s="124"/>
      <c r="P381" s="124"/>
      <c r="Q381" s="125"/>
    </row>
    <row r="382" spans="1:17" s="130" customFormat="1" x14ac:dyDescent="0.15">
      <c r="A382" s="822"/>
      <c r="B382" s="823"/>
      <c r="C382" s="823"/>
      <c r="D382" s="803"/>
      <c r="E382" s="217" t="s">
        <v>155</v>
      </c>
      <c r="F382" s="217" t="s">
        <v>156</v>
      </c>
      <c r="G382" s="217" t="s">
        <v>157</v>
      </c>
      <c r="H382" s="803"/>
      <c r="I382" s="803"/>
      <c r="J382" s="805"/>
      <c r="K382" s="216" t="s">
        <v>158</v>
      </c>
      <c r="L382" s="127"/>
      <c r="M382" s="128"/>
      <c r="N382" s="128"/>
      <c r="O382" s="128"/>
      <c r="P382" s="128"/>
      <c r="Q382" s="129"/>
    </row>
    <row r="383" spans="1:17" ht="26.25" customHeight="1" x14ac:dyDescent="0.15">
      <c r="A383" s="148"/>
      <c r="B383" s="788" t="s">
        <v>1064</v>
      </c>
      <c r="C383" s="789"/>
      <c r="D383" s="143"/>
      <c r="E383" s="143">
        <v>0</v>
      </c>
      <c r="F383" s="143">
        <v>0</v>
      </c>
      <c r="G383" s="143">
        <v>0</v>
      </c>
      <c r="H383" s="143">
        <v>4</v>
      </c>
      <c r="I383" s="143">
        <v>4</v>
      </c>
      <c r="J383" s="133" t="s">
        <v>319</v>
      </c>
      <c r="K383" s="143">
        <f>I383</f>
        <v>4</v>
      </c>
      <c r="L383" s="127"/>
      <c r="M383" s="128"/>
      <c r="N383" s="128"/>
      <c r="O383" s="128"/>
      <c r="P383" s="128"/>
      <c r="Q383" s="129"/>
    </row>
    <row r="384" spans="1:17" ht="14" x14ac:dyDescent="0.15">
      <c r="A384" s="795" t="s">
        <v>149</v>
      </c>
      <c r="B384" s="817"/>
      <c r="C384" s="817"/>
      <c r="D384" s="817"/>
      <c r="E384" s="817"/>
      <c r="F384" s="817"/>
      <c r="G384" s="817"/>
      <c r="H384" s="817"/>
      <c r="I384" s="817"/>
      <c r="J384" s="796"/>
      <c r="K384" s="416">
        <f>SUM(K383:K383)</f>
        <v>4</v>
      </c>
      <c r="L384" s="134"/>
      <c r="M384" s="135"/>
      <c r="N384" s="135"/>
      <c r="O384" s="135"/>
      <c r="P384" s="135"/>
      <c r="Q384" s="136"/>
    </row>
    <row r="385" spans="1:17" x14ac:dyDescent="0.15">
      <c r="A385" s="790"/>
      <c r="B385" s="791"/>
      <c r="C385" s="791"/>
      <c r="D385" s="791"/>
      <c r="E385" s="791"/>
      <c r="F385" s="791"/>
      <c r="G385" s="791"/>
      <c r="H385" s="791"/>
      <c r="I385" s="791"/>
      <c r="J385" s="791"/>
      <c r="K385" s="791"/>
      <c r="L385" s="791"/>
      <c r="M385" s="791"/>
      <c r="N385" s="791"/>
      <c r="O385" s="791"/>
      <c r="P385" s="791"/>
      <c r="Q385" s="792"/>
    </row>
    <row r="386" spans="1:17" s="121" customFormat="1" ht="18" customHeight="1" x14ac:dyDescent="0.15">
      <c r="A386" s="218" t="s">
        <v>0</v>
      </c>
      <c r="B386" s="830" t="s">
        <v>1136</v>
      </c>
      <c r="C386" s="831"/>
      <c r="D386" s="831"/>
      <c r="E386" s="831"/>
      <c r="F386" s="831"/>
      <c r="G386" s="831"/>
      <c r="H386" s="831"/>
      <c r="I386" s="831"/>
      <c r="J386" s="831"/>
      <c r="K386" s="831"/>
      <c r="L386" s="831"/>
      <c r="M386" s="831"/>
      <c r="N386" s="831"/>
      <c r="O386" s="216" t="s">
        <v>73</v>
      </c>
      <c r="P386" s="795" t="s">
        <v>5</v>
      </c>
      <c r="Q386" s="796"/>
    </row>
    <row r="387" spans="1:17" x14ac:dyDescent="0.15">
      <c r="A387" s="790"/>
      <c r="B387" s="791"/>
      <c r="C387" s="791"/>
      <c r="D387" s="791"/>
      <c r="E387" s="791"/>
      <c r="F387" s="791"/>
      <c r="G387" s="791"/>
      <c r="H387" s="791"/>
      <c r="I387" s="791"/>
      <c r="J387" s="791"/>
      <c r="K387" s="791"/>
      <c r="L387" s="791"/>
      <c r="M387" s="791"/>
      <c r="N387" s="791"/>
      <c r="O387" s="791"/>
      <c r="P387" s="791"/>
      <c r="Q387" s="792"/>
    </row>
    <row r="388" spans="1:17" s="126" customFormat="1" x14ac:dyDescent="0.15">
      <c r="A388" s="822" t="s">
        <v>150</v>
      </c>
      <c r="B388" s="823" t="s">
        <v>151</v>
      </c>
      <c r="C388" s="823"/>
      <c r="D388" s="832" t="s">
        <v>246</v>
      </c>
      <c r="E388" s="823" t="s">
        <v>152</v>
      </c>
      <c r="F388" s="823"/>
      <c r="G388" s="823"/>
      <c r="H388" s="802" t="s">
        <v>153</v>
      </c>
      <c r="I388" s="802" t="s">
        <v>159</v>
      </c>
      <c r="J388" s="804" t="s">
        <v>73</v>
      </c>
      <c r="K388" s="216" t="s">
        <v>154</v>
      </c>
      <c r="L388" s="123"/>
      <c r="M388" s="124"/>
      <c r="N388" s="124"/>
      <c r="O388" s="124"/>
      <c r="P388" s="124"/>
      <c r="Q388" s="125"/>
    </row>
    <row r="389" spans="1:17" s="130" customFormat="1" x14ac:dyDescent="0.15">
      <c r="A389" s="822"/>
      <c r="B389" s="823"/>
      <c r="C389" s="823"/>
      <c r="D389" s="833"/>
      <c r="E389" s="217" t="s">
        <v>155</v>
      </c>
      <c r="F389" s="217" t="s">
        <v>156</v>
      </c>
      <c r="G389" s="217" t="s">
        <v>157</v>
      </c>
      <c r="H389" s="803"/>
      <c r="I389" s="803"/>
      <c r="J389" s="805"/>
      <c r="K389" s="216" t="s">
        <v>158</v>
      </c>
      <c r="L389" s="127"/>
      <c r="M389" s="128"/>
      <c r="N389" s="128"/>
      <c r="O389" s="128"/>
      <c r="P389" s="128"/>
      <c r="Q389" s="129"/>
    </row>
    <row r="390" spans="1:17" ht="27.75" customHeight="1" x14ac:dyDescent="0.15">
      <c r="A390" s="148"/>
      <c r="B390" s="815" t="s">
        <v>1125</v>
      </c>
      <c r="C390" s="816"/>
      <c r="D390" s="219">
        <v>0</v>
      </c>
      <c r="E390" s="132">
        <v>2</v>
      </c>
      <c r="F390" s="144">
        <v>1.1000000000000001</v>
      </c>
      <c r="G390" s="144">
        <v>0</v>
      </c>
      <c r="H390" s="132">
        <v>5</v>
      </c>
      <c r="I390" s="143">
        <f>F390*E390</f>
        <v>2.2000000000000002</v>
      </c>
      <c r="J390" s="133" t="s">
        <v>5</v>
      </c>
      <c r="K390" s="143">
        <f t="shared" ref="K390:K391" si="41">(I390*H390)-D390</f>
        <v>11</v>
      </c>
      <c r="L390" s="127"/>
      <c r="M390" s="128"/>
      <c r="N390" s="128"/>
      <c r="O390" s="128"/>
      <c r="P390" s="128"/>
      <c r="Q390" s="129"/>
    </row>
    <row r="391" spans="1:17" ht="27.75" customHeight="1" x14ac:dyDescent="0.15">
      <c r="A391" s="148"/>
      <c r="B391" s="815" t="s">
        <v>1125</v>
      </c>
      <c r="C391" s="816"/>
      <c r="D391" s="219">
        <v>0</v>
      </c>
      <c r="E391" s="132">
        <v>1</v>
      </c>
      <c r="F391" s="144">
        <v>1.1000000000000001</v>
      </c>
      <c r="G391" s="144">
        <v>0</v>
      </c>
      <c r="H391" s="132">
        <v>2</v>
      </c>
      <c r="I391" s="143">
        <f>F391*E391</f>
        <v>1.1000000000000001</v>
      </c>
      <c r="J391" s="133" t="s">
        <v>5</v>
      </c>
      <c r="K391" s="143">
        <f t="shared" si="41"/>
        <v>2.2000000000000002</v>
      </c>
      <c r="L391" s="127"/>
      <c r="M391" s="128"/>
      <c r="N391" s="128"/>
      <c r="O391" s="128"/>
      <c r="P391" s="128"/>
      <c r="Q391" s="129"/>
    </row>
    <row r="392" spans="1:17" ht="14" x14ac:dyDescent="0.15">
      <c r="A392" s="795" t="s">
        <v>149</v>
      </c>
      <c r="B392" s="817"/>
      <c r="C392" s="817"/>
      <c r="D392" s="817"/>
      <c r="E392" s="817"/>
      <c r="F392" s="817"/>
      <c r="G392" s="817"/>
      <c r="H392" s="817"/>
      <c r="I392" s="817"/>
      <c r="J392" s="796"/>
      <c r="K392" s="416">
        <f>SUM(K390:K391)</f>
        <v>13.2</v>
      </c>
      <c r="L392" s="134"/>
      <c r="M392" s="135"/>
      <c r="N392" s="135"/>
      <c r="O392" s="135"/>
      <c r="P392" s="135"/>
      <c r="Q392" s="136"/>
    </row>
    <row r="393" spans="1:17" x14ac:dyDescent="0.15">
      <c r="A393" s="790"/>
      <c r="B393" s="791"/>
      <c r="C393" s="791"/>
      <c r="D393" s="791"/>
      <c r="E393" s="791"/>
      <c r="F393" s="791"/>
      <c r="G393" s="791"/>
      <c r="H393" s="791"/>
      <c r="I393" s="791"/>
      <c r="J393" s="791"/>
      <c r="K393" s="791"/>
      <c r="L393" s="791"/>
      <c r="M393" s="791"/>
      <c r="N393" s="791"/>
      <c r="O393" s="791"/>
      <c r="P393" s="791"/>
      <c r="Q393" s="792"/>
    </row>
    <row r="394" spans="1:17" s="121" customFormat="1" ht="18" customHeight="1" x14ac:dyDescent="0.15">
      <c r="A394" s="218" t="s">
        <v>0</v>
      </c>
      <c r="B394" s="841" t="s">
        <v>1065</v>
      </c>
      <c r="C394" s="842"/>
      <c r="D394" s="842"/>
      <c r="E394" s="842"/>
      <c r="F394" s="842"/>
      <c r="G394" s="842"/>
      <c r="H394" s="842"/>
      <c r="I394" s="842"/>
      <c r="J394" s="842"/>
      <c r="K394" s="842"/>
      <c r="L394" s="842"/>
      <c r="M394" s="842"/>
      <c r="N394" s="842"/>
      <c r="O394" s="216" t="s">
        <v>73</v>
      </c>
      <c r="P394" s="795" t="s">
        <v>19</v>
      </c>
      <c r="Q394" s="796"/>
    </row>
    <row r="395" spans="1:17" x14ac:dyDescent="0.15">
      <c r="A395" s="790"/>
      <c r="B395" s="791"/>
      <c r="C395" s="791"/>
      <c r="D395" s="791"/>
      <c r="E395" s="791"/>
      <c r="F395" s="791"/>
      <c r="G395" s="791"/>
      <c r="H395" s="791"/>
      <c r="I395" s="791"/>
      <c r="J395" s="791"/>
      <c r="K395" s="791"/>
      <c r="L395" s="791"/>
      <c r="M395" s="791"/>
      <c r="N395" s="791"/>
      <c r="O395" s="791"/>
      <c r="P395" s="791"/>
      <c r="Q395" s="792"/>
    </row>
    <row r="396" spans="1:17" s="126" customFormat="1" x14ac:dyDescent="0.15">
      <c r="A396" s="822" t="s">
        <v>150</v>
      </c>
      <c r="B396" s="823" t="s">
        <v>151</v>
      </c>
      <c r="C396" s="823"/>
      <c r="D396" s="802" t="s">
        <v>165</v>
      </c>
      <c r="E396" s="823" t="s">
        <v>152</v>
      </c>
      <c r="F396" s="823"/>
      <c r="G396" s="823"/>
      <c r="H396" s="802" t="s">
        <v>153</v>
      </c>
      <c r="I396" s="802" t="s">
        <v>479</v>
      </c>
      <c r="J396" s="804" t="s">
        <v>73</v>
      </c>
      <c r="K396" s="216" t="s">
        <v>154</v>
      </c>
      <c r="L396" s="123"/>
      <c r="M396" s="124"/>
      <c r="N396" s="124"/>
      <c r="O396" s="124"/>
      <c r="P396" s="124"/>
      <c r="Q396" s="125"/>
    </row>
    <row r="397" spans="1:17" s="130" customFormat="1" x14ac:dyDescent="0.15">
      <c r="A397" s="822"/>
      <c r="B397" s="823"/>
      <c r="C397" s="823"/>
      <c r="D397" s="803"/>
      <c r="E397" s="217" t="s">
        <v>155</v>
      </c>
      <c r="F397" s="217" t="s">
        <v>156</v>
      </c>
      <c r="G397" s="217" t="s">
        <v>157</v>
      </c>
      <c r="H397" s="803"/>
      <c r="I397" s="803"/>
      <c r="J397" s="805"/>
      <c r="K397" s="216" t="s">
        <v>158</v>
      </c>
      <c r="L397" s="127"/>
      <c r="M397" s="128"/>
      <c r="N397" s="128"/>
      <c r="O397" s="128"/>
      <c r="P397" s="128"/>
      <c r="Q397" s="129"/>
    </row>
    <row r="398" spans="1:17" ht="27.75" customHeight="1" x14ac:dyDescent="0.15">
      <c r="A398" s="148"/>
      <c r="B398" s="788" t="s">
        <v>1028</v>
      </c>
      <c r="C398" s="789"/>
      <c r="D398" s="143" t="s">
        <v>19</v>
      </c>
      <c r="E398" s="143">
        <v>0</v>
      </c>
      <c r="F398" s="143">
        <v>0</v>
      </c>
      <c r="G398" s="143">
        <v>0</v>
      </c>
      <c r="H398" s="143">
        <v>1</v>
      </c>
      <c r="I398" s="143">
        <v>1</v>
      </c>
      <c r="J398" s="133" t="s">
        <v>19</v>
      </c>
      <c r="K398" s="143">
        <f>I398*H398</f>
        <v>1</v>
      </c>
      <c r="L398" s="127"/>
      <c r="M398" s="128"/>
      <c r="N398" s="128"/>
      <c r="O398" s="128"/>
      <c r="P398" s="128"/>
      <c r="Q398" s="129"/>
    </row>
    <row r="399" spans="1:17" ht="14" x14ac:dyDescent="0.15">
      <c r="A399" s="795" t="s">
        <v>149</v>
      </c>
      <c r="B399" s="817"/>
      <c r="C399" s="817"/>
      <c r="D399" s="817"/>
      <c r="E399" s="817"/>
      <c r="F399" s="817"/>
      <c r="G399" s="817"/>
      <c r="H399" s="817"/>
      <c r="I399" s="817"/>
      <c r="J399" s="796"/>
      <c r="K399" s="416">
        <f>SUM(K398:K398)</f>
        <v>1</v>
      </c>
      <c r="L399" s="134"/>
      <c r="M399" s="135"/>
      <c r="N399" s="135"/>
      <c r="O399" s="135"/>
      <c r="P399" s="135"/>
      <c r="Q399" s="136"/>
    </row>
    <row r="400" spans="1:17" x14ac:dyDescent="0.15">
      <c r="A400" s="790"/>
      <c r="B400" s="791"/>
      <c r="C400" s="791"/>
      <c r="D400" s="791"/>
      <c r="E400" s="791"/>
      <c r="F400" s="791"/>
      <c r="G400" s="791"/>
      <c r="H400" s="791"/>
      <c r="I400" s="791"/>
      <c r="J400" s="791"/>
      <c r="K400" s="791"/>
      <c r="L400" s="791"/>
      <c r="M400" s="791"/>
      <c r="N400" s="791"/>
      <c r="O400" s="791"/>
      <c r="P400" s="791"/>
      <c r="Q400" s="792"/>
    </row>
    <row r="401" spans="1:18" s="121" customFormat="1" ht="18" customHeight="1" x14ac:dyDescent="0.15">
      <c r="A401" s="218" t="s">
        <v>0</v>
      </c>
      <c r="B401" s="841" t="s">
        <v>1066</v>
      </c>
      <c r="C401" s="842"/>
      <c r="D401" s="842"/>
      <c r="E401" s="842"/>
      <c r="F401" s="842"/>
      <c r="G401" s="842"/>
      <c r="H401" s="842"/>
      <c r="I401" s="842"/>
      <c r="J401" s="842"/>
      <c r="K401" s="842"/>
      <c r="L401" s="842"/>
      <c r="M401" s="842"/>
      <c r="N401" s="842"/>
      <c r="O401" s="216" t="s">
        <v>73</v>
      </c>
      <c r="P401" s="795" t="s">
        <v>19</v>
      </c>
      <c r="Q401" s="796"/>
    </row>
    <row r="402" spans="1:18" x14ac:dyDescent="0.15">
      <c r="A402" s="790"/>
      <c r="B402" s="791"/>
      <c r="C402" s="791"/>
      <c r="D402" s="791"/>
      <c r="E402" s="791"/>
      <c r="F402" s="791"/>
      <c r="G402" s="791"/>
      <c r="H402" s="791"/>
      <c r="I402" s="791"/>
      <c r="J402" s="791"/>
      <c r="K402" s="791"/>
      <c r="L402" s="791"/>
      <c r="M402" s="791"/>
      <c r="N402" s="791"/>
      <c r="O402" s="791"/>
      <c r="P402" s="791"/>
      <c r="Q402" s="792"/>
    </row>
    <row r="403" spans="1:18" s="126" customFormat="1" x14ac:dyDescent="0.15">
      <c r="A403" s="822" t="s">
        <v>150</v>
      </c>
      <c r="B403" s="823" t="s">
        <v>151</v>
      </c>
      <c r="C403" s="823"/>
      <c r="D403" s="802" t="s">
        <v>165</v>
      </c>
      <c r="E403" s="823" t="s">
        <v>152</v>
      </c>
      <c r="F403" s="823"/>
      <c r="G403" s="823"/>
      <c r="H403" s="802" t="s">
        <v>153</v>
      </c>
      <c r="I403" s="802" t="s">
        <v>479</v>
      </c>
      <c r="J403" s="804" t="s">
        <v>73</v>
      </c>
      <c r="K403" s="216" t="s">
        <v>154</v>
      </c>
      <c r="L403" s="123"/>
      <c r="M403" s="124"/>
      <c r="N403" s="124"/>
      <c r="O403" s="124"/>
      <c r="P403" s="124"/>
      <c r="Q403" s="125"/>
    </row>
    <row r="404" spans="1:18" s="130" customFormat="1" x14ac:dyDescent="0.15">
      <c r="A404" s="822"/>
      <c r="B404" s="823"/>
      <c r="C404" s="823"/>
      <c r="D404" s="803"/>
      <c r="E404" s="217" t="s">
        <v>155</v>
      </c>
      <c r="F404" s="217" t="s">
        <v>156</v>
      </c>
      <c r="G404" s="217" t="s">
        <v>157</v>
      </c>
      <c r="H404" s="803"/>
      <c r="I404" s="803"/>
      <c r="J404" s="805"/>
      <c r="K404" s="216" t="s">
        <v>158</v>
      </c>
      <c r="L404" s="127"/>
      <c r="M404" s="128"/>
      <c r="N404" s="128"/>
      <c r="O404" s="128"/>
      <c r="P404" s="128"/>
      <c r="Q404" s="129"/>
    </row>
    <row r="405" spans="1:18" ht="27.75" customHeight="1" x14ac:dyDescent="0.15">
      <c r="A405" s="148"/>
      <c r="B405" s="788" t="s">
        <v>1028</v>
      </c>
      <c r="C405" s="789"/>
      <c r="D405" s="143" t="s">
        <v>19</v>
      </c>
      <c r="E405" s="143">
        <v>0</v>
      </c>
      <c r="F405" s="143">
        <v>0</v>
      </c>
      <c r="G405" s="143">
        <v>0</v>
      </c>
      <c r="H405" s="143">
        <v>1</v>
      </c>
      <c r="I405" s="143">
        <v>1</v>
      </c>
      <c r="J405" s="133" t="s">
        <v>19</v>
      </c>
      <c r="K405" s="143">
        <f>I405*H405</f>
        <v>1</v>
      </c>
      <c r="L405" s="127"/>
      <c r="M405" s="128"/>
      <c r="N405" s="128"/>
      <c r="O405" s="128"/>
      <c r="P405" s="128"/>
      <c r="Q405" s="129"/>
    </row>
    <row r="406" spans="1:18" ht="14" x14ac:dyDescent="0.15">
      <c r="A406" s="795" t="s">
        <v>149</v>
      </c>
      <c r="B406" s="817"/>
      <c r="C406" s="817"/>
      <c r="D406" s="817"/>
      <c r="E406" s="817"/>
      <c r="F406" s="817"/>
      <c r="G406" s="817"/>
      <c r="H406" s="817"/>
      <c r="I406" s="817"/>
      <c r="J406" s="796"/>
      <c r="K406" s="416">
        <f>SUM(K405:K405)</f>
        <v>1</v>
      </c>
      <c r="L406" s="134"/>
      <c r="M406" s="135"/>
      <c r="N406" s="135"/>
      <c r="O406" s="135"/>
      <c r="P406" s="135"/>
      <c r="Q406" s="136"/>
    </row>
    <row r="407" spans="1:18" s="140" customFormat="1" x14ac:dyDescent="0.15">
      <c r="A407" s="855"/>
      <c r="B407" s="855"/>
      <c r="C407" s="855"/>
      <c r="D407" s="855"/>
      <c r="E407" s="855"/>
      <c r="F407" s="855"/>
      <c r="G407" s="855"/>
      <c r="H407" s="855"/>
      <c r="I407" s="855"/>
      <c r="J407" s="855"/>
      <c r="K407" s="855"/>
      <c r="L407" s="855"/>
      <c r="M407" s="855"/>
      <c r="N407" s="855"/>
      <c r="O407" s="855"/>
      <c r="P407" s="855"/>
      <c r="Q407" s="855"/>
      <c r="R407" s="120"/>
    </row>
    <row r="408" spans="1:18" s="140" customFormat="1" x14ac:dyDescent="0.15">
      <c r="A408" s="178"/>
      <c r="B408" s="178"/>
      <c r="C408" s="137"/>
      <c r="D408" s="137"/>
      <c r="E408" s="138"/>
      <c r="F408" s="139"/>
      <c r="J408" s="141"/>
      <c r="K408" s="138"/>
      <c r="L408" s="142"/>
      <c r="M408" s="142"/>
      <c r="N408" s="142"/>
      <c r="O408" s="142"/>
      <c r="P408" s="138"/>
      <c r="Q408" s="120"/>
      <c r="R408" s="120"/>
    </row>
    <row r="409" spans="1:18" x14ac:dyDescent="0.15">
      <c r="I409" s="120"/>
      <c r="J409" s="120"/>
    </row>
    <row r="410" spans="1:18" x14ac:dyDescent="0.15">
      <c r="I410" s="120"/>
      <c r="J410" s="120"/>
    </row>
    <row r="411" spans="1:18" x14ac:dyDescent="0.15">
      <c r="I411" s="120"/>
      <c r="J411" s="120"/>
    </row>
    <row r="412" spans="1:18" ht="14" x14ac:dyDescent="0.15">
      <c r="B412" s="102"/>
      <c r="I412" s="120"/>
      <c r="J412" s="120"/>
    </row>
    <row r="413" spans="1:18" ht="14" x14ac:dyDescent="0.15">
      <c r="B413" s="83"/>
      <c r="I413" s="120"/>
      <c r="J413" s="120"/>
    </row>
    <row r="414" spans="1:18" ht="18" x14ac:dyDescent="0.2">
      <c r="C414" s="150"/>
      <c r="D414" s="151"/>
      <c r="E414" s="150"/>
      <c r="I414" s="120"/>
      <c r="J414" s="120"/>
    </row>
    <row r="415" spans="1:18" ht="18" x14ac:dyDescent="0.2">
      <c r="C415" s="152"/>
      <c r="D415" s="153"/>
      <c r="E415" s="152"/>
      <c r="I415" s="120"/>
      <c r="J415" s="120"/>
    </row>
    <row r="416" spans="1:18" ht="18" x14ac:dyDescent="0.2">
      <c r="B416" s="83"/>
      <c r="C416" s="154"/>
      <c r="D416" s="154"/>
      <c r="E416" s="154"/>
      <c r="I416" s="120"/>
      <c r="J416" s="120"/>
    </row>
    <row r="417" s="120" customFormat="1" x14ac:dyDescent="0.15"/>
    <row r="418" s="120" customFormat="1" x14ac:dyDescent="0.15"/>
    <row r="419" s="120" customFormat="1" x14ac:dyDescent="0.15"/>
    <row r="420" s="120" customFormat="1" x14ac:dyDescent="0.15"/>
    <row r="421" s="120" customFormat="1" x14ac:dyDescent="0.15"/>
    <row r="422" s="120" customFormat="1" x14ac:dyDescent="0.15"/>
    <row r="423" s="120" customFormat="1" x14ac:dyDescent="0.15"/>
    <row r="424" s="120" customFormat="1" x14ac:dyDescent="0.15"/>
    <row r="425" s="120" customFormat="1" x14ac:dyDescent="0.15"/>
    <row r="426" s="120" customFormat="1" x14ac:dyDescent="0.15"/>
    <row r="427" s="120" customFormat="1" x14ac:dyDescent="0.15"/>
    <row r="428" s="120" customFormat="1" x14ac:dyDescent="0.15"/>
    <row r="429" s="120" customFormat="1" x14ac:dyDescent="0.15"/>
    <row r="430" s="120" customFormat="1" x14ac:dyDescent="0.15"/>
    <row r="431" s="120" customFormat="1" x14ac:dyDescent="0.15"/>
    <row r="432" s="120" customFormat="1" x14ac:dyDescent="0.15"/>
    <row r="433" s="120" customFormat="1" x14ac:dyDescent="0.15"/>
    <row r="434" s="120" customFormat="1" x14ac:dyDescent="0.15"/>
    <row r="435" s="120" customFormat="1" x14ac:dyDescent="0.15"/>
    <row r="436" s="120" customFormat="1" x14ac:dyDescent="0.15"/>
    <row r="437" s="120" customFormat="1" x14ac:dyDescent="0.15"/>
    <row r="438" s="120" customFormat="1" x14ac:dyDescent="0.15"/>
    <row r="439" s="120" customFormat="1" x14ac:dyDescent="0.15"/>
    <row r="440" s="120" customFormat="1" x14ac:dyDescent="0.15"/>
    <row r="441" s="120" customFormat="1" x14ac:dyDescent="0.15"/>
    <row r="442" s="120" customFormat="1" x14ac:dyDescent="0.15"/>
    <row r="443" s="120" customFormat="1" x14ac:dyDescent="0.15"/>
    <row r="444" s="120" customFormat="1" x14ac:dyDescent="0.15"/>
    <row r="445" s="120" customFormat="1" x14ac:dyDescent="0.15"/>
    <row r="446" s="120" customFormat="1" x14ac:dyDescent="0.15"/>
    <row r="447" s="120" customFormat="1" x14ac:dyDescent="0.15"/>
    <row r="448" s="120" customFormat="1" x14ac:dyDescent="0.15"/>
    <row r="449" s="120" customFormat="1" x14ac:dyDescent="0.15"/>
    <row r="450" s="120" customFormat="1" x14ac:dyDescent="0.15"/>
    <row r="451" s="120" customFormat="1" x14ac:dyDescent="0.15"/>
    <row r="452" s="120" customFormat="1" x14ac:dyDescent="0.15"/>
    <row r="453" s="120" customFormat="1" x14ac:dyDescent="0.15"/>
    <row r="454" s="120" customFormat="1" x14ac:dyDescent="0.15"/>
    <row r="455" s="120" customFormat="1" x14ac:dyDescent="0.15"/>
    <row r="456" s="120" customFormat="1" x14ac:dyDescent="0.15"/>
    <row r="457" s="120" customFormat="1" x14ac:dyDescent="0.15"/>
    <row r="458" s="120" customFormat="1" x14ac:dyDescent="0.15"/>
    <row r="459" s="120" customFormat="1" x14ac:dyDescent="0.15"/>
    <row r="460" s="120" customFormat="1" x14ac:dyDescent="0.15"/>
    <row r="461" s="120" customFormat="1" x14ac:dyDescent="0.15"/>
    <row r="462" s="120" customFormat="1" x14ac:dyDescent="0.15"/>
    <row r="463" s="120" customFormat="1" x14ac:dyDescent="0.15"/>
    <row r="464" s="120" customFormat="1" x14ac:dyDescent="0.15"/>
    <row r="465" s="120" customFormat="1" x14ac:dyDescent="0.15"/>
    <row r="466" s="120" customFormat="1" x14ac:dyDescent="0.15"/>
    <row r="467" s="120" customFormat="1" x14ac:dyDescent="0.15"/>
    <row r="468" s="120" customFormat="1" x14ac:dyDescent="0.15"/>
    <row r="469" s="120" customFormat="1" x14ac:dyDescent="0.15"/>
    <row r="470" s="120" customFormat="1" x14ac:dyDescent="0.15"/>
    <row r="471" s="120" customFormat="1" x14ac:dyDescent="0.15"/>
    <row r="472" s="120" customFormat="1" x14ac:dyDescent="0.15"/>
    <row r="473" s="120" customFormat="1" x14ac:dyDescent="0.15"/>
    <row r="474" s="120" customFormat="1" x14ac:dyDescent="0.15"/>
    <row r="475" s="120" customFormat="1" x14ac:dyDescent="0.15"/>
    <row r="476" s="120" customFormat="1" x14ac:dyDescent="0.15"/>
    <row r="477" s="120" customFormat="1" x14ac:dyDescent="0.15"/>
    <row r="478" s="120" customFormat="1" x14ac:dyDescent="0.15"/>
    <row r="479" s="120" customFormat="1" x14ac:dyDescent="0.15"/>
    <row r="480" s="120" customFormat="1" x14ac:dyDescent="0.15"/>
    <row r="481" s="120" customFormat="1" x14ac:dyDescent="0.15"/>
    <row r="482" s="120" customFormat="1" x14ac:dyDescent="0.15"/>
    <row r="483" s="120" customFormat="1" x14ac:dyDescent="0.15"/>
    <row r="484" s="120" customFormat="1" x14ac:dyDescent="0.15"/>
    <row r="485" s="120" customFormat="1" x14ac:dyDescent="0.15"/>
    <row r="486" s="120" customFormat="1" x14ac:dyDescent="0.15"/>
    <row r="487" s="120" customFormat="1" x14ac:dyDescent="0.15"/>
    <row r="488" s="120" customFormat="1" x14ac:dyDescent="0.15"/>
    <row r="489" s="120" customFormat="1" x14ac:dyDescent="0.15"/>
    <row r="490" s="120" customFormat="1" x14ac:dyDescent="0.15"/>
    <row r="491" s="120" customFormat="1" x14ac:dyDescent="0.15"/>
    <row r="492" s="120" customFormat="1" x14ac:dyDescent="0.15"/>
    <row r="493" s="120" customFormat="1" x14ac:dyDescent="0.15"/>
    <row r="494" s="120" customFormat="1" x14ac:dyDescent="0.15"/>
    <row r="495" s="120" customFormat="1" x14ac:dyDescent="0.15"/>
    <row r="496" s="120" customFormat="1" x14ac:dyDescent="0.15"/>
    <row r="497" s="120" customFormat="1" x14ac:dyDescent="0.15"/>
    <row r="498" s="120" customFormat="1" x14ac:dyDescent="0.15"/>
    <row r="499" s="120" customFormat="1" x14ac:dyDescent="0.15"/>
    <row r="500" s="120" customFormat="1" x14ac:dyDescent="0.15"/>
    <row r="501" s="120" customFormat="1" x14ac:dyDescent="0.15"/>
    <row r="502" s="120" customFormat="1" x14ac:dyDescent="0.15"/>
    <row r="503" s="120" customFormat="1" x14ac:dyDescent="0.15"/>
    <row r="504" s="120" customFormat="1" x14ac:dyDescent="0.15"/>
    <row r="505" s="120" customFormat="1" x14ac:dyDescent="0.15"/>
    <row r="506" s="120" customFormat="1" x14ac:dyDescent="0.15"/>
    <row r="507" s="120" customFormat="1" x14ac:dyDescent="0.15"/>
    <row r="508" s="120" customFormat="1" x14ac:dyDescent="0.15"/>
    <row r="509" s="120" customFormat="1" x14ac:dyDescent="0.15"/>
    <row r="510" s="120" customFormat="1" x14ac:dyDescent="0.15"/>
    <row r="511" s="120" customFormat="1" x14ac:dyDescent="0.15"/>
    <row r="512" s="120" customFormat="1" x14ac:dyDescent="0.15"/>
    <row r="513" s="120" customFormat="1" x14ac:dyDescent="0.15"/>
    <row r="514" s="120" customFormat="1" x14ac:dyDescent="0.15"/>
    <row r="515" s="120" customFormat="1" x14ac:dyDescent="0.15"/>
    <row r="516" s="120" customFormat="1" x14ac:dyDescent="0.15"/>
    <row r="517" s="120" customFormat="1" x14ac:dyDescent="0.15"/>
    <row r="518" s="120" customFormat="1" x14ac:dyDescent="0.15"/>
    <row r="519" s="120" customFormat="1" x14ac:dyDescent="0.15"/>
    <row r="520" s="120" customFormat="1" x14ac:dyDescent="0.15"/>
    <row r="521" s="120" customFormat="1" x14ac:dyDescent="0.15"/>
    <row r="522" s="120" customFormat="1" x14ac:dyDescent="0.15"/>
    <row r="523" s="120" customFormat="1" x14ac:dyDescent="0.15"/>
    <row r="524" s="120" customFormat="1" x14ac:dyDescent="0.15"/>
    <row r="525" s="120" customFormat="1" x14ac:dyDescent="0.15"/>
    <row r="526" s="120" customFormat="1" x14ac:dyDescent="0.15"/>
    <row r="527" s="120" customFormat="1" x14ac:dyDescent="0.15"/>
    <row r="528" s="120" customFormat="1" x14ac:dyDescent="0.15"/>
    <row r="529" s="120" customFormat="1" x14ac:dyDescent="0.15"/>
    <row r="530" s="120" customFormat="1" x14ac:dyDescent="0.15"/>
    <row r="531" s="120" customFormat="1" x14ac:dyDescent="0.15"/>
    <row r="532" s="120" customFormat="1" x14ac:dyDescent="0.15"/>
    <row r="533" s="120" customFormat="1" x14ac:dyDescent="0.15"/>
    <row r="534" s="120" customFormat="1" x14ac:dyDescent="0.15"/>
    <row r="535" s="120" customFormat="1" x14ac:dyDescent="0.15"/>
    <row r="536" s="120" customFormat="1" x14ac:dyDescent="0.15"/>
    <row r="537" s="120" customFormat="1" x14ac:dyDescent="0.15"/>
    <row r="538" s="120" customFormat="1" x14ac:dyDescent="0.15"/>
    <row r="539" s="120" customFormat="1" x14ac:dyDescent="0.15"/>
    <row r="540" s="120" customFormat="1" x14ac:dyDescent="0.15"/>
    <row r="541" s="120" customFormat="1" x14ac:dyDescent="0.15"/>
    <row r="542" s="120" customFormat="1" x14ac:dyDescent="0.15"/>
    <row r="543" s="120" customFormat="1" x14ac:dyDescent="0.15"/>
    <row r="544" s="120" customFormat="1" x14ac:dyDescent="0.15"/>
    <row r="545" s="120" customFormat="1" x14ac:dyDescent="0.15"/>
    <row r="546" s="120" customFormat="1" x14ac:dyDescent="0.15"/>
    <row r="547" s="120" customFormat="1" x14ac:dyDescent="0.15"/>
    <row r="548" s="120" customFormat="1" x14ac:dyDescent="0.15"/>
    <row r="549" s="120" customFormat="1" x14ac:dyDescent="0.15"/>
    <row r="550" s="120" customFormat="1" x14ac:dyDescent="0.15"/>
    <row r="551" s="120" customFormat="1" x14ac:dyDescent="0.15"/>
    <row r="552" s="120" customFormat="1" x14ac:dyDescent="0.15"/>
    <row r="553" s="120" customFormat="1" x14ac:dyDescent="0.15"/>
    <row r="554" s="120" customFormat="1" x14ac:dyDescent="0.15"/>
    <row r="555" s="120" customFormat="1" x14ac:dyDescent="0.15"/>
    <row r="556" s="120" customFormat="1" x14ac:dyDescent="0.15"/>
    <row r="557" s="120" customFormat="1" x14ac:dyDescent="0.15"/>
    <row r="558" s="120" customFormat="1" x14ac:dyDescent="0.15"/>
    <row r="559" s="120" customFormat="1" x14ac:dyDescent="0.15"/>
    <row r="560" s="120" customFormat="1" x14ac:dyDescent="0.15"/>
    <row r="561" s="120" customFormat="1" x14ac:dyDescent="0.15"/>
    <row r="562" s="120" customFormat="1" x14ac:dyDescent="0.15"/>
    <row r="563" s="120" customFormat="1" x14ac:dyDescent="0.15"/>
    <row r="564" s="120" customFormat="1" x14ac:dyDescent="0.15"/>
    <row r="565" s="120" customFormat="1" x14ac:dyDescent="0.15"/>
    <row r="566" s="120" customFormat="1" x14ac:dyDescent="0.15"/>
    <row r="567" s="120" customFormat="1" x14ac:dyDescent="0.15"/>
    <row r="568" s="120" customFormat="1" x14ac:dyDescent="0.15"/>
    <row r="569" s="120" customFormat="1" x14ac:dyDescent="0.15"/>
    <row r="570" s="120" customFormat="1" x14ac:dyDescent="0.15"/>
    <row r="571" s="120" customFormat="1" x14ac:dyDescent="0.15"/>
    <row r="572" s="120" customFormat="1" x14ac:dyDescent="0.15"/>
    <row r="573" s="120" customFormat="1" x14ac:dyDescent="0.15"/>
    <row r="574" s="120" customFormat="1" x14ac:dyDescent="0.15"/>
    <row r="575" s="120" customFormat="1" x14ac:dyDescent="0.15"/>
    <row r="576" s="120" customFormat="1" x14ac:dyDescent="0.15"/>
    <row r="577" s="120" customFormat="1" x14ac:dyDescent="0.15"/>
    <row r="578" s="120" customFormat="1" x14ac:dyDescent="0.15"/>
    <row r="579" s="120" customFormat="1" x14ac:dyDescent="0.15"/>
    <row r="580" s="120" customFormat="1" x14ac:dyDescent="0.15"/>
    <row r="581" s="120" customFormat="1" x14ac:dyDescent="0.15"/>
    <row r="582" s="120" customFormat="1" x14ac:dyDescent="0.15"/>
    <row r="583" s="120" customFormat="1" x14ac:dyDescent="0.15"/>
    <row r="584" s="120" customFormat="1" x14ac:dyDescent="0.15"/>
    <row r="585" s="120" customFormat="1" x14ac:dyDescent="0.15"/>
    <row r="586" s="120" customFormat="1" x14ac:dyDescent="0.15"/>
    <row r="587" s="120" customFormat="1" x14ac:dyDescent="0.15"/>
    <row r="588" s="120" customFormat="1" x14ac:dyDescent="0.15"/>
    <row r="589" s="120" customFormat="1" x14ac:dyDescent="0.15"/>
    <row r="590" s="120" customFormat="1" x14ac:dyDescent="0.15"/>
    <row r="591" s="120" customFormat="1" x14ac:dyDescent="0.15"/>
    <row r="592" s="120" customFormat="1" x14ac:dyDescent="0.15"/>
    <row r="593" s="120" customFormat="1" x14ac:dyDescent="0.15"/>
    <row r="594" s="120" customFormat="1" x14ac:dyDescent="0.15"/>
    <row r="595" s="120" customFormat="1" x14ac:dyDescent="0.15"/>
    <row r="596" s="120" customFormat="1" x14ac:dyDescent="0.15"/>
    <row r="597" s="120" customFormat="1" x14ac:dyDescent="0.15"/>
    <row r="598" s="120" customFormat="1" x14ac:dyDescent="0.15"/>
    <row r="599" s="120" customFormat="1" x14ac:dyDescent="0.15"/>
    <row r="600" s="120" customFormat="1" x14ac:dyDescent="0.15"/>
    <row r="601" s="120" customFormat="1" x14ac:dyDescent="0.15"/>
    <row r="602" s="120" customFormat="1" x14ac:dyDescent="0.15"/>
    <row r="603" s="120" customFormat="1" x14ac:dyDescent="0.15"/>
    <row r="604" s="120" customFormat="1" x14ac:dyDescent="0.15"/>
    <row r="605" s="120" customFormat="1" x14ac:dyDescent="0.15"/>
    <row r="606" s="120" customFormat="1" x14ac:dyDescent="0.15"/>
    <row r="607" s="120" customFormat="1" x14ac:dyDescent="0.15"/>
    <row r="608" s="120" customFormat="1" x14ac:dyDescent="0.15"/>
    <row r="609" s="120" customFormat="1" x14ac:dyDescent="0.15"/>
    <row r="610" s="120" customFormat="1" x14ac:dyDescent="0.15"/>
    <row r="611" s="120" customFormat="1" x14ac:dyDescent="0.15"/>
    <row r="612" s="120" customFormat="1" x14ac:dyDescent="0.15"/>
    <row r="613" s="120" customFormat="1" x14ac:dyDescent="0.15"/>
    <row r="614" s="120" customFormat="1" x14ac:dyDescent="0.15"/>
    <row r="615" s="120" customFormat="1" x14ac:dyDescent="0.15"/>
    <row r="616" s="120" customFormat="1" x14ac:dyDescent="0.15"/>
    <row r="617" s="120" customFormat="1" x14ac:dyDescent="0.15"/>
    <row r="618" s="120" customFormat="1" x14ac:dyDescent="0.15"/>
    <row r="619" s="120" customFormat="1" x14ac:dyDescent="0.15"/>
    <row r="620" s="120" customFormat="1" x14ac:dyDescent="0.15"/>
    <row r="621" s="120" customFormat="1" x14ac:dyDescent="0.15"/>
    <row r="622" s="120" customFormat="1" x14ac:dyDescent="0.15"/>
    <row r="623" s="120" customFormat="1" x14ac:dyDescent="0.15"/>
    <row r="624" s="120" customFormat="1" x14ac:dyDescent="0.15"/>
    <row r="625" s="120" customFormat="1" x14ac:dyDescent="0.15"/>
    <row r="626" s="120" customFormat="1" x14ac:dyDescent="0.15"/>
    <row r="627" s="120" customFormat="1" x14ac:dyDescent="0.15"/>
    <row r="628" s="120" customFormat="1" x14ac:dyDescent="0.15"/>
    <row r="629" s="120" customFormat="1" x14ac:dyDescent="0.15"/>
    <row r="630" s="120" customFormat="1" x14ac:dyDescent="0.15"/>
    <row r="631" s="120" customFormat="1" x14ac:dyDescent="0.15"/>
    <row r="632" s="120" customFormat="1" x14ac:dyDescent="0.15"/>
    <row r="633" s="120" customFormat="1" x14ac:dyDescent="0.15"/>
    <row r="634" s="120" customFormat="1" x14ac:dyDescent="0.15"/>
    <row r="635" s="120" customFormat="1" x14ac:dyDescent="0.15"/>
    <row r="636" s="120" customFormat="1" x14ac:dyDescent="0.15"/>
    <row r="637" s="120" customFormat="1" x14ac:dyDescent="0.15"/>
    <row r="638" s="120" customFormat="1" x14ac:dyDescent="0.15"/>
    <row r="639" s="120" customFormat="1" x14ac:dyDescent="0.15"/>
    <row r="640" s="120" customFormat="1" x14ac:dyDescent="0.15"/>
    <row r="641" s="120" customFormat="1" x14ac:dyDescent="0.15"/>
    <row r="642" s="120" customFormat="1" x14ac:dyDescent="0.15"/>
    <row r="643" s="120" customFormat="1" x14ac:dyDescent="0.15"/>
    <row r="644" s="120" customFormat="1" x14ac:dyDescent="0.15"/>
    <row r="645" s="120" customFormat="1" x14ac:dyDescent="0.15"/>
    <row r="646" s="120" customFormat="1" x14ac:dyDescent="0.15"/>
    <row r="647" s="120" customFormat="1" x14ac:dyDescent="0.15"/>
    <row r="648" s="120" customFormat="1" x14ac:dyDescent="0.15"/>
    <row r="649" s="120" customFormat="1" x14ac:dyDescent="0.15"/>
    <row r="650" s="120" customFormat="1" x14ac:dyDescent="0.15"/>
    <row r="651" s="120" customFormat="1" x14ac:dyDescent="0.15"/>
    <row r="652" s="120" customFormat="1" x14ac:dyDescent="0.15"/>
    <row r="653" s="120" customFormat="1" x14ac:dyDescent="0.15"/>
    <row r="654" s="120" customFormat="1" x14ac:dyDescent="0.15"/>
    <row r="655" s="120" customFormat="1" x14ac:dyDescent="0.15"/>
    <row r="656" s="120" customFormat="1" x14ac:dyDescent="0.15"/>
    <row r="657" s="120" customFormat="1" x14ac:dyDescent="0.15"/>
    <row r="658" s="120" customFormat="1" x14ac:dyDescent="0.15"/>
    <row r="659" s="120" customFormat="1" x14ac:dyDescent="0.15"/>
    <row r="660" s="120" customFormat="1" x14ac:dyDescent="0.15"/>
    <row r="661" s="120" customFormat="1" x14ac:dyDescent="0.15"/>
    <row r="662" s="120" customFormat="1" x14ac:dyDescent="0.15"/>
    <row r="663" s="120" customFormat="1" x14ac:dyDescent="0.15"/>
    <row r="664" s="120" customFormat="1" x14ac:dyDescent="0.15"/>
    <row r="665" s="120" customFormat="1" x14ac:dyDescent="0.15"/>
    <row r="666" s="120" customFormat="1" x14ac:dyDescent="0.15"/>
    <row r="667" s="120" customFormat="1" x14ac:dyDescent="0.15"/>
    <row r="668" s="120" customFormat="1" x14ac:dyDescent="0.15"/>
    <row r="669" s="120" customFormat="1" x14ac:dyDescent="0.15"/>
    <row r="670" s="120" customFormat="1" x14ac:dyDescent="0.15"/>
    <row r="671" s="120" customFormat="1" x14ac:dyDescent="0.15"/>
    <row r="672" s="120" customFormat="1" x14ac:dyDescent="0.15"/>
    <row r="673" s="120" customFormat="1" x14ac:dyDescent="0.15"/>
    <row r="674" s="120" customFormat="1" x14ac:dyDescent="0.15"/>
    <row r="675" s="120" customFormat="1" x14ac:dyDescent="0.15"/>
    <row r="676" s="120" customFormat="1" x14ac:dyDescent="0.15"/>
    <row r="677" s="120" customFormat="1" x14ac:dyDescent="0.15"/>
    <row r="678" s="120" customFormat="1" x14ac:dyDescent="0.15"/>
    <row r="679" s="120" customFormat="1" x14ac:dyDescent="0.15"/>
    <row r="680" s="120" customFormat="1" x14ac:dyDescent="0.15"/>
    <row r="681" s="120" customFormat="1" x14ac:dyDescent="0.15"/>
    <row r="682" s="120" customFormat="1" x14ac:dyDescent="0.15"/>
    <row r="683" s="120" customFormat="1" x14ac:dyDescent="0.15"/>
    <row r="684" s="120" customFormat="1" x14ac:dyDescent="0.15"/>
    <row r="685" s="120" customFormat="1" x14ac:dyDescent="0.15"/>
    <row r="686" s="120" customFormat="1" x14ac:dyDescent="0.15"/>
    <row r="687" s="120" customFormat="1" x14ac:dyDescent="0.15"/>
    <row r="688" s="120" customFormat="1" x14ac:dyDescent="0.15"/>
    <row r="689" s="120" customFormat="1" x14ac:dyDescent="0.15"/>
    <row r="690" s="120" customFormat="1" x14ac:dyDescent="0.15"/>
    <row r="691" s="120" customFormat="1" x14ac:dyDescent="0.15"/>
    <row r="692" s="120" customFormat="1" x14ac:dyDescent="0.15"/>
    <row r="693" s="120" customFormat="1" x14ac:dyDescent="0.15"/>
    <row r="694" s="120" customFormat="1" x14ac:dyDescent="0.15"/>
    <row r="695" s="120" customFormat="1" x14ac:dyDescent="0.15"/>
    <row r="696" s="120" customFormat="1" x14ac:dyDescent="0.15"/>
    <row r="697" s="120" customFormat="1" x14ac:dyDescent="0.15"/>
    <row r="698" s="120" customFormat="1" x14ac:dyDescent="0.15"/>
    <row r="699" s="120" customFormat="1" x14ac:dyDescent="0.15"/>
    <row r="700" s="120" customFormat="1" x14ac:dyDescent="0.15"/>
    <row r="701" s="120" customFormat="1" x14ac:dyDescent="0.15"/>
    <row r="702" s="120" customFormat="1" x14ac:dyDescent="0.15"/>
    <row r="703" s="120" customFormat="1" x14ac:dyDescent="0.15"/>
    <row r="704" s="120" customFormat="1" x14ac:dyDescent="0.15"/>
    <row r="705" s="120" customFormat="1" x14ac:dyDescent="0.15"/>
    <row r="706" s="120" customFormat="1" x14ac:dyDescent="0.15"/>
    <row r="707" s="120" customFormat="1" x14ac:dyDescent="0.15"/>
    <row r="708" s="120" customFormat="1" x14ac:dyDescent="0.15"/>
    <row r="709" s="120" customFormat="1" x14ac:dyDescent="0.15"/>
    <row r="710" s="120" customFormat="1" x14ac:dyDescent="0.15"/>
    <row r="711" s="120" customFormat="1" x14ac:dyDescent="0.15"/>
    <row r="712" s="120" customFormat="1" x14ac:dyDescent="0.15"/>
    <row r="713" s="120" customFormat="1" x14ac:dyDescent="0.15"/>
    <row r="714" s="120" customFormat="1" x14ac:dyDescent="0.15"/>
    <row r="715" s="120" customFormat="1" x14ac:dyDescent="0.15"/>
    <row r="716" s="120" customFormat="1" x14ac:dyDescent="0.15"/>
    <row r="717" s="120" customFormat="1" x14ac:dyDescent="0.15"/>
    <row r="718" s="120" customFormat="1" x14ac:dyDescent="0.15"/>
    <row r="719" s="120" customFormat="1" x14ac:dyDescent="0.15"/>
    <row r="720" s="120" customFormat="1" x14ac:dyDescent="0.15"/>
    <row r="721" s="120" customFormat="1" x14ac:dyDescent="0.15"/>
    <row r="722" s="120" customFormat="1" x14ac:dyDescent="0.15"/>
    <row r="723" s="120" customFormat="1" x14ac:dyDescent="0.15"/>
    <row r="724" s="120" customFormat="1" x14ac:dyDescent="0.15"/>
    <row r="725" s="120" customFormat="1" x14ac:dyDescent="0.15"/>
    <row r="726" s="120" customFormat="1" x14ac:dyDescent="0.15"/>
    <row r="727" s="120" customFormat="1" x14ac:dyDescent="0.15"/>
    <row r="728" s="120" customFormat="1" x14ac:dyDescent="0.15"/>
    <row r="729" s="120" customFormat="1" x14ac:dyDescent="0.15"/>
    <row r="730" s="120" customFormat="1" x14ac:dyDescent="0.15"/>
    <row r="731" s="120" customFormat="1" x14ac:dyDescent="0.15"/>
    <row r="732" s="120" customFormat="1" x14ac:dyDescent="0.15"/>
    <row r="733" s="120" customFormat="1" x14ac:dyDescent="0.15"/>
    <row r="734" s="120" customFormat="1" x14ac:dyDescent="0.15"/>
    <row r="735" s="120" customFormat="1" x14ac:dyDescent="0.15"/>
    <row r="736" s="120" customFormat="1" x14ac:dyDescent="0.15"/>
    <row r="737" s="120" customFormat="1" x14ac:dyDescent="0.15"/>
    <row r="738" s="120" customFormat="1" x14ac:dyDescent="0.15"/>
    <row r="739" s="120" customFormat="1" x14ac:dyDescent="0.15"/>
    <row r="740" s="120" customFormat="1" x14ac:dyDescent="0.15"/>
    <row r="741" s="120" customFormat="1" x14ac:dyDescent="0.15"/>
    <row r="742" s="120" customFormat="1" x14ac:dyDescent="0.15"/>
    <row r="743" s="120" customFormat="1" x14ac:dyDescent="0.15"/>
    <row r="744" s="120" customFormat="1" x14ac:dyDescent="0.15"/>
    <row r="745" s="120" customFormat="1" x14ac:dyDescent="0.15"/>
    <row r="746" s="120" customFormat="1" x14ac:dyDescent="0.15"/>
    <row r="747" s="120" customFormat="1" x14ac:dyDescent="0.15"/>
    <row r="748" s="120" customFormat="1" x14ac:dyDescent="0.15"/>
    <row r="749" s="120" customFormat="1" x14ac:dyDescent="0.15"/>
    <row r="750" s="120" customFormat="1" x14ac:dyDescent="0.15"/>
    <row r="751" s="120" customFormat="1" x14ac:dyDescent="0.15"/>
    <row r="752" s="120" customFormat="1" x14ac:dyDescent="0.15"/>
    <row r="753" s="120" customFormat="1" x14ac:dyDescent="0.15"/>
    <row r="754" s="120" customFormat="1" x14ac:dyDescent="0.15"/>
    <row r="755" s="120" customFormat="1" x14ac:dyDescent="0.15"/>
    <row r="756" s="120" customFormat="1" x14ac:dyDescent="0.15"/>
    <row r="757" s="120" customFormat="1" x14ac:dyDescent="0.15"/>
    <row r="758" s="120" customFormat="1" x14ac:dyDescent="0.15"/>
    <row r="759" s="120" customFormat="1" x14ac:dyDescent="0.15"/>
    <row r="760" s="120" customFormat="1" x14ac:dyDescent="0.15"/>
    <row r="761" s="120" customFormat="1" x14ac:dyDescent="0.15"/>
    <row r="762" s="120" customFormat="1" x14ac:dyDescent="0.15"/>
    <row r="763" s="120" customFormat="1" x14ac:dyDescent="0.15"/>
    <row r="764" s="120" customFormat="1" x14ac:dyDescent="0.15"/>
    <row r="765" s="120" customFormat="1" x14ac:dyDescent="0.15"/>
    <row r="766" s="120" customFormat="1" x14ac:dyDescent="0.15"/>
    <row r="767" s="120" customFormat="1" x14ac:dyDescent="0.15"/>
    <row r="768" s="120" customFormat="1" x14ac:dyDescent="0.15"/>
    <row r="769" s="120" customFormat="1" x14ac:dyDescent="0.15"/>
    <row r="770" s="120" customFormat="1" x14ac:dyDescent="0.15"/>
    <row r="771" s="120" customFormat="1" x14ac:dyDescent="0.15"/>
    <row r="772" s="120" customFormat="1" x14ac:dyDescent="0.15"/>
    <row r="773" s="120" customFormat="1" x14ac:dyDescent="0.15"/>
    <row r="774" s="120" customFormat="1" x14ac:dyDescent="0.15"/>
    <row r="775" s="120" customFormat="1" x14ac:dyDescent="0.15"/>
    <row r="776" s="120" customFormat="1" x14ac:dyDescent="0.15"/>
    <row r="777" s="120" customFormat="1" x14ac:dyDescent="0.15"/>
    <row r="778" s="120" customFormat="1" x14ac:dyDescent="0.15"/>
    <row r="779" s="120" customFormat="1" x14ac:dyDescent="0.15"/>
    <row r="780" s="120" customFormat="1" x14ac:dyDescent="0.15"/>
    <row r="781" s="120" customFormat="1" x14ac:dyDescent="0.15"/>
    <row r="782" s="120" customFormat="1" x14ac:dyDescent="0.15"/>
    <row r="783" s="120" customFormat="1" x14ac:dyDescent="0.15"/>
    <row r="784" s="120" customFormat="1" x14ac:dyDescent="0.15"/>
    <row r="785" s="120" customFormat="1" x14ac:dyDescent="0.15"/>
    <row r="786" s="120" customFormat="1" x14ac:dyDescent="0.15"/>
    <row r="787" s="120" customFormat="1" x14ac:dyDescent="0.15"/>
    <row r="788" s="120" customFormat="1" x14ac:dyDescent="0.15"/>
    <row r="789" s="120" customFormat="1" x14ac:dyDescent="0.15"/>
    <row r="790" s="120" customFormat="1" x14ac:dyDescent="0.15"/>
    <row r="791" s="120" customFormat="1" x14ac:dyDescent="0.15"/>
    <row r="792" s="120" customFormat="1" x14ac:dyDescent="0.15"/>
    <row r="793" s="120" customFormat="1" x14ac:dyDescent="0.15"/>
    <row r="794" s="120" customFormat="1" x14ac:dyDescent="0.15"/>
    <row r="795" s="120" customFormat="1" x14ac:dyDescent="0.15"/>
    <row r="796" s="120" customFormat="1" x14ac:dyDescent="0.15"/>
    <row r="797" s="120" customFormat="1" x14ac:dyDescent="0.15"/>
    <row r="798" s="120" customFormat="1" x14ac:dyDescent="0.15"/>
    <row r="799" s="120" customFormat="1" x14ac:dyDescent="0.15"/>
    <row r="800" s="120" customFormat="1" x14ac:dyDescent="0.15"/>
    <row r="801" s="120" customFormat="1" x14ac:dyDescent="0.15"/>
    <row r="802" s="120" customFormat="1" x14ac:dyDescent="0.15"/>
    <row r="803" s="120" customFormat="1" x14ac:dyDescent="0.15"/>
    <row r="804" s="120" customFormat="1" x14ac:dyDescent="0.15"/>
    <row r="805" s="120" customFormat="1" x14ac:dyDescent="0.15"/>
    <row r="806" s="120" customFormat="1" x14ac:dyDescent="0.15"/>
    <row r="807" s="120" customFormat="1" x14ac:dyDescent="0.15"/>
    <row r="808" s="120" customFormat="1" x14ac:dyDescent="0.15"/>
    <row r="809" s="120" customFormat="1" x14ac:dyDescent="0.15"/>
    <row r="810" s="120" customFormat="1" x14ac:dyDescent="0.15"/>
    <row r="811" s="120" customFormat="1" x14ac:dyDescent="0.15"/>
    <row r="812" s="120" customFormat="1" x14ac:dyDescent="0.15"/>
    <row r="813" s="120" customFormat="1" x14ac:dyDescent="0.15"/>
    <row r="814" s="120" customFormat="1" x14ac:dyDescent="0.15"/>
    <row r="815" s="120" customFormat="1" x14ac:dyDescent="0.15"/>
    <row r="816" s="120" customFormat="1" x14ac:dyDescent="0.15"/>
    <row r="817" s="120" customFormat="1" x14ac:dyDescent="0.15"/>
    <row r="818" s="120" customFormat="1" x14ac:dyDescent="0.15"/>
    <row r="819" s="120" customFormat="1" x14ac:dyDescent="0.15"/>
    <row r="820" s="120" customFormat="1" x14ac:dyDescent="0.15"/>
    <row r="821" s="120" customFormat="1" x14ac:dyDescent="0.15"/>
    <row r="822" s="120" customFormat="1" x14ac:dyDescent="0.15"/>
    <row r="823" s="120" customFormat="1" x14ac:dyDescent="0.15"/>
    <row r="824" s="120" customFormat="1" x14ac:dyDescent="0.15"/>
    <row r="825" s="120" customFormat="1" x14ac:dyDescent="0.15"/>
    <row r="826" s="120" customFormat="1" x14ac:dyDescent="0.15"/>
    <row r="827" s="120" customFormat="1" x14ac:dyDescent="0.15"/>
    <row r="828" s="120" customFormat="1" x14ac:dyDescent="0.15"/>
    <row r="829" s="120" customFormat="1" x14ac:dyDescent="0.15"/>
    <row r="830" s="120" customFormat="1" x14ac:dyDescent="0.15"/>
    <row r="831" s="120" customFormat="1" x14ac:dyDescent="0.15"/>
    <row r="832" s="120" customFormat="1" x14ac:dyDescent="0.15"/>
    <row r="833" s="120" customFormat="1" x14ac:dyDescent="0.15"/>
    <row r="834" s="120" customFormat="1" x14ac:dyDescent="0.15"/>
    <row r="835" s="120" customFormat="1" x14ac:dyDescent="0.15"/>
    <row r="836" s="120" customFormat="1" x14ac:dyDescent="0.15"/>
    <row r="837" s="120" customFormat="1" x14ac:dyDescent="0.15"/>
    <row r="838" s="120" customFormat="1" x14ac:dyDescent="0.15"/>
    <row r="839" s="120" customFormat="1" x14ac:dyDescent="0.15"/>
    <row r="840" s="120" customFormat="1" x14ac:dyDescent="0.15"/>
    <row r="841" s="120" customFormat="1" x14ac:dyDescent="0.15"/>
    <row r="842" s="120" customFormat="1" x14ac:dyDescent="0.15"/>
    <row r="843" s="120" customFormat="1" x14ac:dyDescent="0.15"/>
    <row r="844" s="120" customFormat="1" x14ac:dyDescent="0.15"/>
    <row r="845" s="120" customFormat="1" x14ac:dyDescent="0.15"/>
    <row r="846" s="120" customFormat="1" x14ac:dyDescent="0.15"/>
    <row r="847" s="120" customFormat="1" x14ac:dyDescent="0.15"/>
    <row r="848" s="120" customFormat="1" x14ac:dyDescent="0.15"/>
    <row r="849" s="120" customFormat="1" x14ac:dyDescent="0.15"/>
    <row r="850" s="120" customFormat="1" x14ac:dyDescent="0.15"/>
    <row r="851" s="120" customFormat="1" x14ac:dyDescent="0.15"/>
    <row r="852" s="120" customFormat="1" x14ac:dyDescent="0.15"/>
    <row r="853" s="120" customFormat="1" x14ac:dyDescent="0.15"/>
    <row r="854" s="120" customFormat="1" x14ac:dyDescent="0.15"/>
    <row r="855" s="120" customFormat="1" x14ac:dyDescent="0.15"/>
    <row r="856" s="120" customFormat="1" x14ac:dyDescent="0.15"/>
    <row r="857" s="120" customFormat="1" x14ac:dyDescent="0.15"/>
    <row r="858" s="120" customFormat="1" x14ac:dyDescent="0.15"/>
    <row r="859" s="120" customFormat="1" x14ac:dyDescent="0.15"/>
    <row r="860" s="120" customFormat="1" x14ac:dyDescent="0.15"/>
    <row r="861" s="120" customFormat="1" x14ac:dyDescent="0.15"/>
    <row r="862" s="120" customFormat="1" x14ac:dyDescent="0.15"/>
    <row r="863" s="120" customFormat="1" x14ac:dyDescent="0.15"/>
    <row r="864" s="120" customFormat="1" x14ac:dyDescent="0.15"/>
    <row r="865" s="120" customFormat="1" x14ac:dyDescent="0.15"/>
    <row r="866" s="120" customFormat="1" x14ac:dyDescent="0.15"/>
    <row r="867" s="120" customFormat="1" x14ac:dyDescent="0.15"/>
    <row r="868" s="120" customFormat="1" x14ac:dyDescent="0.15"/>
    <row r="869" s="120" customFormat="1" x14ac:dyDescent="0.15"/>
    <row r="870" s="120" customFormat="1" x14ac:dyDescent="0.15"/>
    <row r="871" s="120" customFormat="1" x14ac:dyDescent="0.15"/>
    <row r="872" s="120" customFormat="1" x14ac:dyDescent="0.15"/>
    <row r="873" s="120" customFormat="1" x14ac:dyDescent="0.15"/>
    <row r="874" s="120" customFormat="1" x14ac:dyDescent="0.15"/>
    <row r="875" s="120" customFormat="1" x14ac:dyDescent="0.15"/>
    <row r="876" s="120" customFormat="1" x14ac:dyDescent="0.15"/>
    <row r="877" s="120" customFormat="1" x14ac:dyDescent="0.15"/>
    <row r="878" s="120" customFormat="1" x14ac:dyDescent="0.15"/>
    <row r="879" s="120" customFormat="1" x14ac:dyDescent="0.15"/>
    <row r="880" s="120" customFormat="1" x14ac:dyDescent="0.15"/>
    <row r="881" s="120" customFormat="1" x14ac:dyDescent="0.15"/>
    <row r="882" s="120" customFormat="1" x14ac:dyDescent="0.15"/>
    <row r="883" s="120" customFormat="1" x14ac:dyDescent="0.15"/>
    <row r="884" s="120" customFormat="1" x14ac:dyDescent="0.15"/>
    <row r="885" s="120" customFormat="1" x14ac:dyDescent="0.15"/>
    <row r="886" s="120" customFormat="1" x14ac:dyDescent="0.15"/>
    <row r="887" s="120" customFormat="1" x14ac:dyDescent="0.15"/>
    <row r="888" s="120" customFormat="1" x14ac:dyDescent="0.15"/>
    <row r="889" s="120" customFormat="1" x14ac:dyDescent="0.15"/>
    <row r="890" s="120" customFormat="1" x14ac:dyDescent="0.15"/>
    <row r="891" s="120" customFormat="1" x14ac:dyDescent="0.15"/>
    <row r="892" s="120" customFormat="1" x14ac:dyDescent="0.15"/>
    <row r="893" s="120" customFormat="1" x14ac:dyDescent="0.15"/>
    <row r="894" s="120" customFormat="1" x14ac:dyDescent="0.15"/>
    <row r="895" s="120" customFormat="1" x14ac:dyDescent="0.15"/>
    <row r="896" s="120" customFormat="1" x14ac:dyDescent="0.15"/>
    <row r="897" s="120" customFormat="1" x14ac:dyDescent="0.15"/>
    <row r="898" s="120" customFormat="1" x14ac:dyDescent="0.15"/>
    <row r="899" s="120" customFormat="1" x14ac:dyDescent="0.15"/>
    <row r="900" s="120" customFormat="1" x14ac:dyDescent="0.15"/>
    <row r="901" s="120" customFormat="1" x14ac:dyDescent="0.15"/>
    <row r="902" s="120" customFormat="1" x14ac:dyDescent="0.15"/>
    <row r="903" s="120" customFormat="1" x14ac:dyDescent="0.15"/>
    <row r="904" s="120" customFormat="1" x14ac:dyDescent="0.15"/>
    <row r="905" s="120" customFormat="1" x14ac:dyDescent="0.15"/>
    <row r="906" s="120" customFormat="1" x14ac:dyDescent="0.15"/>
    <row r="907" s="120" customFormat="1" x14ac:dyDescent="0.15"/>
    <row r="908" s="120" customFormat="1" x14ac:dyDescent="0.15"/>
    <row r="909" s="120" customFormat="1" x14ac:dyDescent="0.15"/>
    <row r="910" s="120" customFormat="1" x14ac:dyDescent="0.15"/>
    <row r="911" s="120" customFormat="1" x14ac:dyDescent="0.15"/>
    <row r="912" s="120" customFormat="1" x14ac:dyDescent="0.15"/>
    <row r="913" s="120" customFormat="1" x14ac:dyDescent="0.15"/>
    <row r="914" s="120" customFormat="1" x14ac:dyDescent="0.15"/>
    <row r="915" s="120" customFormat="1" x14ac:dyDescent="0.15"/>
    <row r="916" s="120" customFormat="1" x14ac:dyDescent="0.15"/>
    <row r="917" s="120" customFormat="1" x14ac:dyDescent="0.15"/>
    <row r="918" s="120" customFormat="1" x14ac:dyDescent="0.15"/>
    <row r="919" s="120" customFormat="1" x14ac:dyDescent="0.15"/>
    <row r="920" s="120" customFormat="1" x14ac:dyDescent="0.15"/>
    <row r="921" s="120" customFormat="1" x14ac:dyDescent="0.15"/>
    <row r="922" s="120" customFormat="1" x14ac:dyDescent="0.15"/>
    <row r="923" s="120" customFormat="1" x14ac:dyDescent="0.15"/>
    <row r="924" s="120" customFormat="1" x14ac:dyDescent="0.15"/>
    <row r="925" s="120" customFormat="1" x14ac:dyDescent="0.15"/>
    <row r="926" s="120" customFormat="1" x14ac:dyDescent="0.15"/>
    <row r="927" s="120" customFormat="1" x14ac:dyDescent="0.15"/>
    <row r="928" s="120" customFormat="1" x14ac:dyDescent="0.15"/>
    <row r="929" s="120" customFormat="1" x14ac:dyDescent="0.15"/>
    <row r="930" s="120" customFormat="1" x14ac:dyDescent="0.15"/>
    <row r="931" s="120" customFormat="1" x14ac:dyDescent="0.15"/>
    <row r="932" s="120" customFormat="1" x14ac:dyDescent="0.15"/>
    <row r="933" s="120" customFormat="1" x14ac:dyDescent="0.15"/>
    <row r="934" s="120" customFormat="1" x14ac:dyDescent="0.15"/>
    <row r="935" s="120" customFormat="1" x14ac:dyDescent="0.15"/>
    <row r="936" s="120" customFormat="1" x14ac:dyDescent="0.15"/>
    <row r="937" s="120" customFormat="1" x14ac:dyDescent="0.15"/>
    <row r="938" s="120" customFormat="1" x14ac:dyDescent="0.15"/>
    <row r="939" s="120" customFormat="1" x14ac:dyDescent="0.15"/>
    <row r="940" s="120" customFormat="1" x14ac:dyDescent="0.15"/>
    <row r="941" s="120" customFormat="1" x14ac:dyDescent="0.15"/>
    <row r="942" s="120" customFormat="1" x14ac:dyDescent="0.15"/>
    <row r="943" s="120" customFormat="1" x14ac:dyDescent="0.15"/>
    <row r="944" s="120" customFormat="1" x14ac:dyDescent="0.15"/>
    <row r="945" s="120" customFormat="1" x14ac:dyDescent="0.15"/>
    <row r="946" s="120" customFormat="1" x14ac:dyDescent="0.15"/>
    <row r="947" s="120" customFormat="1" x14ac:dyDescent="0.15"/>
    <row r="948" s="120" customFormat="1" x14ac:dyDescent="0.15"/>
    <row r="949" s="120" customFormat="1" x14ac:dyDescent="0.15"/>
    <row r="950" s="120" customFormat="1" x14ac:dyDescent="0.15"/>
    <row r="951" s="120" customFormat="1" x14ac:dyDescent="0.15"/>
    <row r="952" s="120" customFormat="1" x14ac:dyDescent="0.15"/>
    <row r="953" s="120" customFormat="1" x14ac:dyDescent="0.15"/>
    <row r="954" s="120" customFormat="1" x14ac:dyDescent="0.15"/>
    <row r="955" s="120" customFormat="1" x14ac:dyDescent="0.15"/>
    <row r="956" s="120" customFormat="1" x14ac:dyDescent="0.15"/>
    <row r="957" s="120" customFormat="1" x14ac:dyDescent="0.15"/>
    <row r="958" s="120" customFormat="1" x14ac:dyDescent="0.15"/>
    <row r="959" s="120" customFormat="1" x14ac:dyDescent="0.15"/>
    <row r="960" s="120" customFormat="1" x14ac:dyDescent="0.15"/>
    <row r="961" s="120" customFormat="1" x14ac:dyDescent="0.15"/>
    <row r="962" s="120" customFormat="1" x14ac:dyDescent="0.15"/>
    <row r="963" s="120" customFormat="1" x14ac:dyDescent="0.15"/>
    <row r="964" s="120" customFormat="1" x14ac:dyDescent="0.15"/>
    <row r="965" s="120" customFormat="1" x14ac:dyDescent="0.15"/>
    <row r="966" s="120" customFormat="1" x14ac:dyDescent="0.15"/>
    <row r="967" s="120" customFormat="1" x14ac:dyDescent="0.15"/>
    <row r="968" s="120" customFormat="1" x14ac:dyDescent="0.15"/>
    <row r="969" s="120" customFormat="1" x14ac:dyDescent="0.15"/>
    <row r="970" s="120" customFormat="1" x14ac:dyDescent="0.15"/>
    <row r="971" s="120" customFormat="1" x14ac:dyDescent="0.15"/>
    <row r="972" s="120" customFormat="1" x14ac:dyDescent="0.15"/>
    <row r="973" s="120" customFormat="1" x14ac:dyDescent="0.15"/>
    <row r="974" s="120" customFormat="1" x14ac:dyDescent="0.15"/>
    <row r="975" s="120" customFormat="1" x14ac:dyDescent="0.15"/>
    <row r="976" s="120" customFormat="1" x14ac:dyDescent="0.15"/>
    <row r="977" s="120" customFormat="1" x14ac:dyDescent="0.15"/>
    <row r="978" s="120" customFormat="1" x14ac:dyDescent="0.15"/>
    <row r="979" s="120" customFormat="1" x14ac:dyDescent="0.15"/>
    <row r="980" s="120" customFormat="1" x14ac:dyDescent="0.15"/>
    <row r="981" s="120" customFormat="1" x14ac:dyDescent="0.15"/>
    <row r="982" s="120" customFormat="1" x14ac:dyDescent="0.15"/>
    <row r="983" s="120" customFormat="1" x14ac:dyDescent="0.15"/>
    <row r="984" s="120" customFormat="1" x14ac:dyDescent="0.15"/>
    <row r="985" s="120" customFormat="1" x14ac:dyDescent="0.15"/>
    <row r="986" s="120" customFormat="1" x14ac:dyDescent="0.15"/>
    <row r="987" s="120" customFormat="1" x14ac:dyDescent="0.15"/>
    <row r="988" s="120" customFormat="1" x14ac:dyDescent="0.15"/>
    <row r="989" s="120" customFormat="1" x14ac:dyDescent="0.15"/>
    <row r="990" s="120" customFormat="1" x14ac:dyDescent="0.15"/>
    <row r="991" s="120" customFormat="1" x14ac:dyDescent="0.15"/>
    <row r="992" s="120" customFormat="1" x14ac:dyDescent="0.15"/>
    <row r="993" s="120" customFormat="1" x14ac:dyDescent="0.15"/>
    <row r="994" s="120" customFormat="1" x14ac:dyDescent="0.15"/>
    <row r="995" s="120" customFormat="1" x14ac:dyDescent="0.15"/>
    <row r="996" s="120" customFormat="1" x14ac:dyDescent="0.15"/>
    <row r="997" s="120" customFormat="1" x14ac:dyDescent="0.15"/>
    <row r="998" s="120" customFormat="1" x14ac:dyDescent="0.15"/>
    <row r="999" s="120" customFormat="1" x14ac:dyDescent="0.15"/>
    <row r="1000" s="120" customFormat="1" x14ac:dyDescent="0.15"/>
    <row r="1001" s="120" customFormat="1" x14ac:dyDescent="0.15"/>
    <row r="1002" s="120" customFormat="1" x14ac:dyDescent="0.15"/>
    <row r="1003" s="120" customFormat="1" x14ac:dyDescent="0.15"/>
    <row r="1004" s="120" customFormat="1" x14ac:dyDescent="0.15"/>
    <row r="1005" s="120" customFormat="1" x14ac:dyDescent="0.15"/>
    <row r="1006" s="120" customFormat="1" x14ac:dyDescent="0.15"/>
    <row r="1007" s="120" customFormat="1" x14ac:dyDescent="0.15"/>
    <row r="1008" s="120" customFormat="1" x14ac:dyDescent="0.15"/>
    <row r="1009" s="120" customFormat="1" x14ac:dyDescent="0.15"/>
    <row r="1010" s="120" customFormat="1" x14ac:dyDescent="0.15"/>
    <row r="1011" s="120" customFormat="1" x14ac:dyDescent="0.15"/>
    <row r="1012" s="120" customFormat="1" x14ac:dyDescent="0.15"/>
    <row r="1013" s="120" customFormat="1" x14ac:dyDescent="0.15"/>
    <row r="1014" s="120" customFormat="1" x14ac:dyDescent="0.15"/>
    <row r="1015" s="120" customFormat="1" x14ac:dyDescent="0.15"/>
    <row r="1016" s="120" customFormat="1" x14ac:dyDescent="0.15"/>
    <row r="1017" s="120" customFormat="1" x14ac:dyDescent="0.15"/>
    <row r="1018" s="120" customFormat="1" x14ac:dyDescent="0.15"/>
    <row r="1019" s="120" customFormat="1" x14ac:dyDescent="0.15"/>
    <row r="1020" s="120" customFormat="1" x14ac:dyDescent="0.15"/>
    <row r="1021" s="120" customFormat="1" x14ac:dyDescent="0.15"/>
    <row r="1022" s="120" customFormat="1" x14ac:dyDescent="0.15"/>
    <row r="1023" s="120" customFormat="1" x14ac:dyDescent="0.15"/>
    <row r="1024" s="120" customFormat="1" x14ac:dyDescent="0.15"/>
    <row r="1025" s="120" customFormat="1" x14ac:dyDescent="0.15"/>
    <row r="1026" s="120" customFormat="1" x14ac:dyDescent="0.15"/>
    <row r="1027" s="120" customFormat="1" x14ac:dyDescent="0.15"/>
    <row r="1028" s="120" customFormat="1" x14ac:dyDescent="0.15"/>
    <row r="1029" s="120" customFormat="1" x14ac:dyDescent="0.15"/>
    <row r="1030" s="120" customFormat="1" x14ac:dyDescent="0.15"/>
    <row r="1031" s="120" customFormat="1" x14ac:dyDescent="0.15"/>
    <row r="1032" s="120" customFormat="1" x14ac:dyDescent="0.15"/>
    <row r="1033" s="120" customFormat="1" x14ac:dyDescent="0.15"/>
    <row r="1034" s="120" customFormat="1" x14ac:dyDescent="0.15"/>
    <row r="1035" s="120" customFormat="1" x14ac:dyDescent="0.15"/>
    <row r="1036" s="120" customFormat="1" x14ac:dyDescent="0.15"/>
    <row r="1037" s="120" customFormat="1" x14ac:dyDescent="0.15"/>
    <row r="1038" s="120" customFormat="1" x14ac:dyDescent="0.15"/>
    <row r="1039" s="120" customFormat="1" x14ac:dyDescent="0.15"/>
    <row r="1040" s="120" customFormat="1" x14ac:dyDescent="0.15"/>
    <row r="1041" s="120" customFormat="1" x14ac:dyDescent="0.15"/>
    <row r="1042" s="120" customFormat="1" x14ac:dyDescent="0.15"/>
    <row r="1043" s="120" customFormat="1" x14ac:dyDescent="0.15"/>
    <row r="1044" s="120" customFormat="1" x14ac:dyDescent="0.15"/>
    <row r="1045" s="120" customFormat="1" x14ac:dyDescent="0.15"/>
    <row r="1046" s="120" customFormat="1" x14ac:dyDescent="0.15"/>
    <row r="1047" s="120" customFormat="1" x14ac:dyDescent="0.15"/>
    <row r="1048" s="120" customFormat="1" x14ac:dyDescent="0.15"/>
    <row r="1049" s="120" customFormat="1" x14ac:dyDescent="0.15"/>
    <row r="1050" s="120" customFormat="1" x14ac:dyDescent="0.15"/>
    <row r="1051" s="120" customFormat="1" x14ac:dyDescent="0.15"/>
    <row r="1052" s="120" customFormat="1" x14ac:dyDescent="0.15"/>
    <row r="1053" s="120" customFormat="1" x14ac:dyDescent="0.15"/>
    <row r="1054" s="120" customFormat="1" x14ac:dyDescent="0.15"/>
    <row r="1055" s="120" customFormat="1" x14ac:dyDescent="0.15"/>
    <row r="1056" s="120" customFormat="1" x14ac:dyDescent="0.15"/>
    <row r="1057" s="120" customFormat="1" x14ac:dyDescent="0.15"/>
    <row r="1058" s="120" customFormat="1" x14ac:dyDescent="0.15"/>
    <row r="1059" s="120" customFormat="1" x14ac:dyDescent="0.15"/>
    <row r="1060" s="120" customFormat="1" x14ac:dyDescent="0.15"/>
    <row r="1061" s="120" customFormat="1" x14ac:dyDescent="0.15"/>
    <row r="1062" s="120" customFormat="1" x14ac:dyDescent="0.15"/>
    <row r="1063" s="120" customFormat="1" x14ac:dyDescent="0.15"/>
    <row r="1064" s="120" customFormat="1" x14ac:dyDescent="0.15"/>
    <row r="1065" s="120" customFormat="1" x14ac:dyDescent="0.15"/>
    <row r="1066" s="120" customFormat="1" x14ac:dyDescent="0.15"/>
    <row r="1067" s="120" customFormat="1" x14ac:dyDescent="0.15"/>
    <row r="1068" s="120" customFormat="1" x14ac:dyDescent="0.15"/>
    <row r="1069" s="120" customFormat="1" x14ac:dyDescent="0.15"/>
    <row r="1070" s="120" customFormat="1" x14ac:dyDescent="0.15"/>
    <row r="1071" s="120" customFormat="1" x14ac:dyDescent="0.15"/>
    <row r="1072" s="120" customFormat="1" x14ac:dyDescent="0.15"/>
    <row r="1073" s="120" customFormat="1" x14ac:dyDescent="0.15"/>
    <row r="1074" s="120" customFormat="1" x14ac:dyDescent="0.15"/>
    <row r="1075" s="120" customFormat="1" x14ac:dyDescent="0.15"/>
    <row r="1076" s="120" customFormat="1" x14ac:dyDescent="0.15"/>
    <row r="1077" s="120" customFormat="1" x14ac:dyDescent="0.15"/>
    <row r="1078" s="120" customFormat="1" x14ac:dyDescent="0.15"/>
    <row r="1079" s="120" customFormat="1" x14ac:dyDescent="0.15"/>
    <row r="1080" s="120" customFormat="1" x14ac:dyDescent="0.15"/>
    <row r="1081" s="120" customFormat="1" x14ac:dyDescent="0.15"/>
    <row r="1082" s="120" customFormat="1" x14ac:dyDescent="0.15"/>
    <row r="1083" s="120" customFormat="1" x14ac:dyDescent="0.15"/>
    <row r="1084" s="120" customFormat="1" x14ac:dyDescent="0.15"/>
    <row r="1085" s="120" customFormat="1" x14ac:dyDescent="0.15"/>
    <row r="1086" s="120" customFormat="1" x14ac:dyDescent="0.15"/>
    <row r="1087" s="120" customFormat="1" x14ac:dyDescent="0.15"/>
    <row r="1088" s="120" customFormat="1" x14ac:dyDescent="0.15"/>
    <row r="1089" s="120" customFormat="1" x14ac:dyDescent="0.15"/>
    <row r="1090" s="120" customFormat="1" x14ac:dyDescent="0.15"/>
    <row r="1091" s="120" customFormat="1" x14ac:dyDescent="0.15"/>
    <row r="1092" s="120" customFormat="1" x14ac:dyDescent="0.15"/>
    <row r="1093" s="120" customFormat="1" x14ac:dyDescent="0.15"/>
    <row r="1094" s="120" customFormat="1" x14ac:dyDescent="0.15"/>
    <row r="1095" s="120" customFormat="1" x14ac:dyDescent="0.15"/>
    <row r="1096" s="120" customFormat="1" x14ac:dyDescent="0.15"/>
    <row r="1097" s="120" customFormat="1" x14ac:dyDescent="0.15"/>
    <row r="1098" s="120" customFormat="1" x14ac:dyDescent="0.15"/>
    <row r="1099" s="120" customFormat="1" x14ac:dyDescent="0.15"/>
    <row r="1100" s="120" customFormat="1" x14ac:dyDescent="0.15"/>
    <row r="1101" s="120" customFormat="1" x14ac:dyDescent="0.15"/>
    <row r="1102" s="120" customFormat="1" x14ac:dyDescent="0.15"/>
    <row r="1103" s="120" customFormat="1" x14ac:dyDescent="0.15"/>
    <row r="1104" s="120" customFormat="1" x14ac:dyDescent="0.15"/>
    <row r="1105" s="120" customFormat="1" x14ac:dyDescent="0.15"/>
    <row r="1106" s="120" customFormat="1" x14ac:dyDescent="0.15"/>
    <row r="1107" s="120" customFormat="1" x14ac:dyDescent="0.15"/>
    <row r="1108" s="120" customFormat="1" x14ac:dyDescent="0.15"/>
    <row r="1109" s="120" customFormat="1" x14ac:dyDescent="0.15"/>
    <row r="1110" s="120" customFormat="1" x14ac:dyDescent="0.15"/>
    <row r="1111" s="120" customFormat="1" x14ac:dyDescent="0.15"/>
    <row r="1112" s="120" customFormat="1" x14ac:dyDescent="0.15"/>
    <row r="1113" s="120" customFormat="1" x14ac:dyDescent="0.15"/>
    <row r="1114" s="120" customFormat="1" x14ac:dyDescent="0.15"/>
    <row r="1115" s="120" customFormat="1" x14ac:dyDescent="0.15"/>
    <row r="1116" s="120" customFormat="1" x14ac:dyDescent="0.15"/>
    <row r="1117" s="120" customFormat="1" x14ac:dyDescent="0.15"/>
    <row r="1118" s="120" customFormat="1" x14ac:dyDescent="0.15"/>
    <row r="1119" s="120" customFormat="1" x14ac:dyDescent="0.15"/>
    <row r="1120" s="120" customFormat="1" x14ac:dyDescent="0.15"/>
    <row r="1121" s="120" customFormat="1" x14ac:dyDescent="0.15"/>
    <row r="1122" s="120" customFormat="1" x14ac:dyDescent="0.15"/>
    <row r="1123" s="120" customFormat="1" x14ac:dyDescent="0.15"/>
    <row r="1124" s="120" customFormat="1" x14ac:dyDescent="0.15"/>
    <row r="1125" s="120" customFormat="1" x14ac:dyDescent="0.15"/>
    <row r="1126" s="120" customFormat="1" x14ac:dyDescent="0.15"/>
    <row r="1127" s="120" customFormat="1" x14ac:dyDescent="0.15"/>
    <row r="1128" s="120" customFormat="1" x14ac:dyDescent="0.15"/>
    <row r="1129" s="120" customFormat="1" x14ac:dyDescent="0.15"/>
    <row r="1130" s="120" customFormat="1" x14ac:dyDescent="0.15"/>
    <row r="1131" s="120" customFormat="1" x14ac:dyDescent="0.15"/>
    <row r="1132" s="120" customFormat="1" x14ac:dyDescent="0.15"/>
    <row r="1133" s="120" customFormat="1" x14ac:dyDescent="0.15"/>
    <row r="1134" s="120" customFormat="1" x14ac:dyDescent="0.15"/>
    <row r="1135" s="120" customFormat="1" x14ac:dyDescent="0.15"/>
    <row r="1136" s="120" customFormat="1" x14ac:dyDescent="0.15"/>
    <row r="1137" s="120" customFormat="1" x14ac:dyDescent="0.15"/>
    <row r="1138" s="120" customFormat="1" x14ac:dyDescent="0.15"/>
    <row r="1139" s="120" customFormat="1" x14ac:dyDescent="0.15"/>
    <row r="1140" s="120" customFormat="1" x14ac:dyDescent="0.15"/>
    <row r="1141" s="120" customFormat="1" x14ac:dyDescent="0.15"/>
    <row r="1142" s="120" customFormat="1" x14ac:dyDescent="0.15"/>
    <row r="1143" s="120" customFormat="1" x14ac:dyDescent="0.15"/>
    <row r="1144" s="120" customFormat="1" x14ac:dyDescent="0.15"/>
    <row r="1145" s="120" customFormat="1" x14ac:dyDescent="0.15"/>
    <row r="1146" s="120" customFormat="1" x14ac:dyDescent="0.15"/>
    <row r="1147" s="120" customFormat="1" x14ac:dyDescent="0.15"/>
    <row r="1148" s="120" customFormat="1" x14ac:dyDescent="0.15"/>
    <row r="1149" s="120" customFormat="1" x14ac:dyDescent="0.15"/>
    <row r="1150" s="120" customFormat="1" x14ac:dyDescent="0.15"/>
    <row r="1151" s="120" customFormat="1" x14ac:dyDescent="0.15"/>
    <row r="1152" s="120" customFormat="1" x14ac:dyDescent="0.15"/>
    <row r="1153" s="120" customFormat="1" x14ac:dyDescent="0.15"/>
    <row r="1154" s="120" customFormat="1" x14ac:dyDescent="0.15"/>
    <row r="1155" s="120" customFormat="1" x14ac:dyDescent="0.15"/>
    <row r="1156" s="120" customFormat="1" x14ac:dyDescent="0.15"/>
    <row r="1157" s="120" customFormat="1" x14ac:dyDescent="0.15"/>
    <row r="1158" s="120" customFormat="1" x14ac:dyDescent="0.15"/>
    <row r="1159" s="120" customFormat="1" x14ac:dyDescent="0.15"/>
    <row r="1160" s="120" customFormat="1" x14ac:dyDescent="0.15"/>
    <row r="1161" s="120" customFormat="1" x14ac:dyDescent="0.15"/>
    <row r="1162" s="120" customFormat="1" x14ac:dyDescent="0.15"/>
    <row r="1163" s="120" customFormat="1" x14ac:dyDescent="0.15"/>
    <row r="1164" s="120" customFormat="1" x14ac:dyDescent="0.15"/>
    <row r="1165" s="120" customFormat="1" x14ac:dyDescent="0.15"/>
    <row r="1166" s="120" customFormat="1" x14ac:dyDescent="0.15"/>
    <row r="1167" s="120" customFormat="1" x14ac:dyDescent="0.15"/>
    <row r="1168" s="120" customFormat="1" x14ac:dyDescent="0.15"/>
    <row r="1169" s="120" customFormat="1" x14ac:dyDescent="0.15"/>
    <row r="1170" s="120" customFormat="1" x14ac:dyDescent="0.15"/>
    <row r="1171" s="120" customFormat="1" x14ac:dyDescent="0.15"/>
    <row r="1172" s="120" customFormat="1" x14ac:dyDescent="0.15"/>
    <row r="1173" s="120" customFormat="1" x14ac:dyDescent="0.15"/>
    <row r="1174" s="120" customFormat="1" x14ac:dyDescent="0.15"/>
    <row r="1175" s="120" customFormat="1" x14ac:dyDescent="0.15"/>
    <row r="1176" s="120" customFormat="1" x14ac:dyDescent="0.15"/>
    <row r="1177" s="120" customFormat="1" x14ac:dyDescent="0.15"/>
    <row r="1178" s="120" customFormat="1" x14ac:dyDescent="0.15"/>
    <row r="1179" s="120" customFormat="1" x14ac:dyDescent="0.15"/>
    <row r="1180" s="120" customFormat="1" x14ac:dyDescent="0.15"/>
    <row r="1181" s="120" customFormat="1" x14ac:dyDescent="0.15"/>
    <row r="1182" s="120" customFormat="1" x14ac:dyDescent="0.15"/>
    <row r="1183" s="120" customFormat="1" x14ac:dyDescent="0.15"/>
    <row r="1184" s="120" customFormat="1" x14ac:dyDescent="0.15"/>
    <row r="1185" s="120" customFormat="1" x14ac:dyDescent="0.15"/>
    <row r="1186" s="120" customFormat="1" x14ac:dyDescent="0.15"/>
    <row r="1187" s="120" customFormat="1" x14ac:dyDescent="0.15"/>
    <row r="1188" s="120" customFormat="1" x14ac:dyDescent="0.15"/>
    <row r="1189" s="120" customFormat="1" x14ac:dyDescent="0.15"/>
    <row r="1190" s="120" customFormat="1" x14ac:dyDescent="0.15"/>
    <row r="1191" s="120" customFormat="1" x14ac:dyDescent="0.15"/>
    <row r="1192" s="120" customFormat="1" x14ac:dyDescent="0.15"/>
    <row r="1193" s="120" customFormat="1" x14ac:dyDescent="0.15"/>
    <row r="1194" s="120" customFormat="1" x14ac:dyDescent="0.15"/>
    <row r="1195" s="120" customFormat="1" x14ac:dyDescent="0.15"/>
    <row r="1196" s="120" customFormat="1" x14ac:dyDescent="0.15"/>
    <row r="1197" s="120" customFormat="1" x14ac:dyDescent="0.15"/>
    <row r="1198" s="120" customFormat="1" x14ac:dyDescent="0.15"/>
    <row r="1199" s="120" customFormat="1" x14ac:dyDescent="0.15"/>
    <row r="1200" s="120" customFormat="1" x14ac:dyDescent="0.15"/>
    <row r="1201" s="120" customFormat="1" x14ac:dyDescent="0.15"/>
    <row r="1202" s="120" customFormat="1" x14ac:dyDescent="0.15"/>
    <row r="1203" s="120" customFormat="1" x14ac:dyDescent="0.15"/>
    <row r="1204" s="120" customFormat="1" x14ac:dyDescent="0.15"/>
    <row r="1205" s="120" customFormat="1" x14ac:dyDescent="0.15"/>
    <row r="1206" s="120" customFormat="1" x14ac:dyDescent="0.15"/>
    <row r="1207" s="120" customFormat="1" x14ac:dyDescent="0.15"/>
    <row r="1208" s="120" customFormat="1" x14ac:dyDescent="0.15"/>
    <row r="1209" s="120" customFormat="1" x14ac:dyDescent="0.15"/>
    <row r="1210" s="120" customFormat="1" x14ac:dyDescent="0.15"/>
    <row r="1211" s="120" customFormat="1" x14ac:dyDescent="0.15"/>
    <row r="1212" s="120" customFormat="1" x14ac:dyDescent="0.15"/>
    <row r="1213" s="120" customFormat="1" x14ac:dyDescent="0.15"/>
    <row r="1214" s="120" customFormat="1" x14ac:dyDescent="0.15"/>
    <row r="1215" s="120" customFormat="1" x14ac:dyDescent="0.15"/>
    <row r="1216" s="120" customFormat="1" x14ac:dyDescent="0.15"/>
    <row r="1217" s="120" customFormat="1" x14ac:dyDescent="0.15"/>
    <row r="1218" s="120" customFormat="1" x14ac:dyDescent="0.15"/>
    <row r="1219" s="120" customFormat="1" x14ac:dyDescent="0.15"/>
    <row r="1220" s="120" customFormat="1" x14ac:dyDescent="0.15"/>
    <row r="1221" s="120" customFormat="1" x14ac:dyDescent="0.15"/>
    <row r="1222" s="120" customFormat="1" x14ac:dyDescent="0.15"/>
    <row r="1223" s="120" customFormat="1" x14ac:dyDescent="0.15"/>
    <row r="1224" s="120" customFormat="1" x14ac:dyDescent="0.15"/>
    <row r="1225" s="120" customFormat="1" x14ac:dyDescent="0.15"/>
    <row r="1226" s="120" customFormat="1" x14ac:dyDescent="0.15"/>
    <row r="1227" s="120" customFormat="1" x14ac:dyDescent="0.15"/>
    <row r="1228" s="120" customFormat="1" x14ac:dyDescent="0.15"/>
    <row r="1229" s="120" customFormat="1" x14ac:dyDescent="0.15"/>
    <row r="1230" s="120" customFormat="1" x14ac:dyDescent="0.15"/>
    <row r="1231" s="120" customFormat="1" x14ac:dyDescent="0.15"/>
    <row r="1232" s="120" customFormat="1" x14ac:dyDescent="0.15"/>
    <row r="1233" s="120" customFormat="1" x14ac:dyDescent="0.15"/>
    <row r="1234" s="120" customFormat="1" x14ac:dyDescent="0.15"/>
    <row r="1235" s="120" customFormat="1" x14ac:dyDescent="0.15"/>
    <row r="1236" s="120" customFormat="1" x14ac:dyDescent="0.15"/>
    <row r="1237" s="120" customFormat="1" x14ac:dyDescent="0.15"/>
    <row r="1238" s="120" customFormat="1" x14ac:dyDescent="0.15"/>
    <row r="1239" s="120" customFormat="1" x14ac:dyDescent="0.15"/>
    <row r="1240" s="120" customFormat="1" x14ac:dyDescent="0.15"/>
    <row r="1241" s="120" customFormat="1" x14ac:dyDescent="0.15"/>
    <row r="1242" s="120" customFormat="1" x14ac:dyDescent="0.15"/>
    <row r="1243" s="120" customFormat="1" x14ac:dyDescent="0.15"/>
    <row r="1244" s="120" customFormat="1" x14ac:dyDescent="0.15"/>
    <row r="1245" s="120" customFormat="1" x14ac:dyDescent="0.15"/>
    <row r="1246" s="120" customFormat="1" x14ac:dyDescent="0.15"/>
    <row r="1247" s="120" customFormat="1" x14ac:dyDescent="0.15"/>
    <row r="1248" s="120" customFormat="1" x14ac:dyDescent="0.15"/>
    <row r="1249" s="120" customFormat="1" x14ac:dyDescent="0.15"/>
    <row r="1250" s="120" customFormat="1" x14ac:dyDescent="0.15"/>
    <row r="1251" s="120" customFormat="1" x14ac:dyDescent="0.15"/>
    <row r="1252" s="120" customFormat="1" x14ac:dyDescent="0.15"/>
    <row r="1253" s="120" customFormat="1" x14ac:dyDescent="0.15"/>
    <row r="1254" s="120" customFormat="1" x14ac:dyDescent="0.15"/>
    <row r="1255" s="120" customFormat="1" x14ac:dyDescent="0.15"/>
    <row r="1256" s="120" customFormat="1" x14ac:dyDescent="0.15"/>
    <row r="1257" s="120" customFormat="1" x14ac:dyDescent="0.15"/>
    <row r="1258" s="120" customFormat="1" x14ac:dyDescent="0.15"/>
    <row r="1259" s="120" customFormat="1" x14ac:dyDescent="0.15"/>
    <row r="1260" s="120" customFormat="1" x14ac:dyDescent="0.15"/>
    <row r="1261" s="120" customFormat="1" x14ac:dyDescent="0.15"/>
    <row r="1262" s="120" customFormat="1" x14ac:dyDescent="0.15"/>
    <row r="1263" s="120" customFormat="1" x14ac:dyDescent="0.15"/>
    <row r="1264" s="120" customFormat="1" x14ac:dyDescent="0.15"/>
    <row r="1265" s="120" customFormat="1" x14ac:dyDescent="0.15"/>
    <row r="1266" s="120" customFormat="1" x14ac:dyDescent="0.15"/>
    <row r="1267" s="120" customFormat="1" x14ac:dyDescent="0.15"/>
    <row r="1268" s="120" customFormat="1" x14ac:dyDescent="0.15"/>
    <row r="1269" s="120" customFormat="1" x14ac:dyDescent="0.15"/>
    <row r="1270" s="120" customFormat="1" x14ac:dyDescent="0.15"/>
    <row r="1271" s="120" customFormat="1" x14ac:dyDescent="0.15"/>
    <row r="1272" s="120" customFormat="1" x14ac:dyDescent="0.15"/>
    <row r="1273" s="120" customFormat="1" x14ac:dyDescent="0.15"/>
    <row r="1274" s="120" customFormat="1" x14ac:dyDescent="0.15"/>
    <row r="1275" s="120" customFormat="1" x14ac:dyDescent="0.15"/>
    <row r="1276" s="120" customFormat="1" x14ac:dyDescent="0.15"/>
    <row r="1277" s="120" customFormat="1" x14ac:dyDescent="0.15"/>
    <row r="1278" s="120" customFormat="1" x14ac:dyDescent="0.15"/>
    <row r="1279" s="120" customFormat="1" x14ac:dyDescent="0.15"/>
    <row r="1280" s="120" customFormat="1" x14ac:dyDescent="0.15"/>
    <row r="1281" s="120" customFormat="1" x14ac:dyDescent="0.15"/>
    <row r="1282" s="120" customFormat="1" x14ac:dyDescent="0.15"/>
    <row r="1283" s="120" customFormat="1" x14ac:dyDescent="0.15"/>
    <row r="1284" s="120" customFormat="1" x14ac:dyDescent="0.15"/>
    <row r="1285" s="120" customFormat="1" x14ac:dyDescent="0.15"/>
    <row r="1286" s="120" customFormat="1" x14ac:dyDescent="0.15"/>
    <row r="1287" s="120" customFormat="1" x14ac:dyDescent="0.15"/>
    <row r="1288" s="120" customFormat="1" x14ac:dyDescent="0.15"/>
    <row r="1289" s="120" customFormat="1" x14ac:dyDescent="0.15"/>
    <row r="1290" s="120" customFormat="1" x14ac:dyDescent="0.15"/>
    <row r="1291" s="120" customFormat="1" x14ac:dyDescent="0.15"/>
    <row r="1292" s="120" customFormat="1" x14ac:dyDescent="0.15"/>
    <row r="1293" s="120" customFormat="1" x14ac:dyDescent="0.15"/>
    <row r="1294" s="120" customFormat="1" x14ac:dyDescent="0.15"/>
    <row r="1295" s="120" customFormat="1" x14ac:dyDescent="0.15"/>
    <row r="1296" s="120" customFormat="1" x14ac:dyDescent="0.15"/>
    <row r="1297" s="120" customFormat="1" x14ac:dyDescent="0.15"/>
    <row r="1298" s="120" customFormat="1" x14ac:dyDescent="0.15"/>
    <row r="1299" s="120" customFormat="1" x14ac:dyDescent="0.15"/>
    <row r="1300" s="120" customFormat="1" x14ac:dyDescent="0.15"/>
    <row r="1301" s="120" customFormat="1" x14ac:dyDescent="0.15"/>
    <row r="1302" s="120" customFormat="1" x14ac:dyDescent="0.15"/>
    <row r="1303" s="120" customFormat="1" x14ac:dyDescent="0.15"/>
    <row r="1304" s="120" customFormat="1" x14ac:dyDescent="0.15"/>
    <row r="1305" s="120" customFormat="1" x14ac:dyDescent="0.15"/>
    <row r="1306" s="120" customFormat="1" x14ac:dyDescent="0.15"/>
    <row r="1307" s="120" customFormat="1" x14ac:dyDescent="0.15"/>
    <row r="1308" s="120" customFormat="1" x14ac:dyDescent="0.15"/>
    <row r="1309" s="120" customFormat="1" x14ac:dyDescent="0.15"/>
    <row r="1310" s="120" customFormat="1" x14ac:dyDescent="0.15"/>
    <row r="1311" s="120" customFormat="1" x14ac:dyDescent="0.15"/>
    <row r="1312" s="120" customFormat="1" x14ac:dyDescent="0.15"/>
    <row r="1313" s="120" customFormat="1" x14ac:dyDescent="0.15"/>
    <row r="1314" s="120" customFormat="1" x14ac:dyDescent="0.15"/>
    <row r="1315" s="120" customFormat="1" x14ac:dyDescent="0.15"/>
    <row r="1316" s="120" customFormat="1" x14ac:dyDescent="0.15"/>
    <row r="1317" s="120" customFormat="1" x14ac:dyDescent="0.15"/>
    <row r="1318" s="120" customFormat="1" x14ac:dyDescent="0.15"/>
    <row r="1319" s="120" customFormat="1" x14ac:dyDescent="0.15"/>
    <row r="1320" s="120" customFormat="1" x14ac:dyDescent="0.15"/>
    <row r="1321" s="120" customFormat="1" x14ac:dyDescent="0.15"/>
    <row r="1322" s="120" customFormat="1" x14ac:dyDescent="0.15"/>
    <row r="1323" s="120" customFormat="1" x14ac:dyDescent="0.15"/>
    <row r="1324" s="120" customFormat="1" x14ac:dyDescent="0.15"/>
    <row r="1325" s="120" customFormat="1" x14ac:dyDescent="0.15"/>
    <row r="1326" s="120" customFormat="1" x14ac:dyDescent="0.15"/>
    <row r="1327" s="120" customFormat="1" x14ac:dyDescent="0.15"/>
    <row r="1328" s="120" customFormat="1" x14ac:dyDescent="0.15"/>
    <row r="1329" s="120" customFormat="1" x14ac:dyDescent="0.15"/>
    <row r="1330" s="120" customFormat="1" x14ac:dyDescent="0.15"/>
    <row r="1331" s="120" customFormat="1" x14ac:dyDescent="0.15"/>
    <row r="1332" s="120" customFormat="1" x14ac:dyDescent="0.15"/>
    <row r="1333" s="120" customFormat="1" x14ac:dyDescent="0.15"/>
    <row r="1334" s="120" customFormat="1" x14ac:dyDescent="0.15"/>
    <row r="1335" s="120" customFormat="1" x14ac:dyDescent="0.15"/>
    <row r="1336" s="120" customFormat="1" x14ac:dyDescent="0.15"/>
    <row r="1337" s="120" customFormat="1" x14ac:dyDescent="0.15"/>
    <row r="1338" s="120" customFormat="1" x14ac:dyDescent="0.15"/>
    <row r="1339" s="120" customFormat="1" x14ac:dyDescent="0.15"/>
    <row r="1340" s="120" customFormat="1" x14ac:dyDescent="0.15"/>
    <row r="1341" s="120" customFormat="1" x14ac:dyDescent="0.15"/>
    <row r="1342" s="120" customFormat="1" x14ac:dyDescent="0.15"/>
    <row r="1343" s="120" customFormat="1" x14ac:dyDescent="0.15"/>
    <row r="1344" s="120" customFormat="1" x14ac:dyDescent="0.15"/>
    <row r="1345" s="120" customFormat="1" x14ac:dyDescent="0.15"/>
    <row r="1346" s="120" customFormat="1" x14ac:dyDescent="0.15"/>
    <row r="1347" s="120" customFormat="1" x14ac:dyDescent="0.15"/>
    <row r="1348" s="120" customFormat="1" x14ac:dyDescent="0.15"/>
    <row r="1349" s="120" customFormat="1" x14ac:dyDescent="0.15"/>
    <row r="1350" s="120" customFormat="1" x14ac:dyDescent="0.15"/>
    <row r="1351" s="120" customFormat="1" x14ac:dyDescent="0.15"/>
    <row r="1352" s="120" customFormat="1" x14ac:dyDescent="0.15"/>
    <row r="1353" s="120" customFormat="1" x14ac:dyDescent="0.15"/>
    <row r="1354" s="120" customFormat="1" x14ac:dyDescent="0.15"/>
    <row r="1355" s="120" customFormat="1" x14ac:dyDescent="0.15"/>
    <row r="1356" s="120" customFormat="1" x14ac:dyDescent="0.15"/>
    <row r="1357" s="120" customFormat="1" x14ac:dyDescent="0.15"/>
    <row r="1358" s="120" customFormat="1" x14ac:dyDescent="0.15"/>
    <row r="1359" s="120" customFormat="1" x14ac:dyDescent="0.15"/>
    <row r="1360" s="120" customFormat="1" x14ac:dyDescent="0.15"/>
    <row r="1361" s="120" customFormat="1" x14ac:dyDescent="0.15"/>
    <row r="1362" s="120" customFormat="1" x14ac:dyDescent="0.15"/>
    <row r="1363" s="120" customFormat="1" x14ac:dyDescent="0.15"/>
    <row r="1364" s="120" customFormat="1" x14ac:dyDescent="0.15"/>
    <row r="1365" s="120" customFormat="1" x14ac:dyDescent="0.15"/>
    <row r="1366" s="120" customFormat="1" x14ac:dyDescent="0.15"/>
    <row r="1367" s="120" customFormat="1" x14ac:dyDescent="0.15"/>
    <row r="1368" s="120" customFormat="1" x14ac:dyDescent="0.15"/>
    <row r="1369" s="120" customFormat="1" x14ac:dyDescent="0.15"/>
    <row r="1370" s="120" customFormat="1" x14ac:dyDescent="0.15"/>
    <row r="1371" s="120" customFormat="1" x14ac:dyDescent="0.15"/>
    <row r="1372" s="120" customFormat="1" x14ac:dyDescent="0.15"/>
    <row r="1373" s="120" customFormat="1" x14ac:dyDescent="0.15"/>
    <row r="1374" s="120" customFormat="1" x14ac:dyDescent="0.15"/>
    <row r="1375" s="120" customFormat="1" x14ac:dyDescent="0.15"/>
    <row r="1376" s="120" customFormat="1" x14ac:dyDescent="0.15"/>
    <row r="1377" s="120" customFormat="1" x14ac:dyDescent="0.15"/>
    <row r="1378" s="120" customFormat="1" x14ac:dyDescent="0.15"/>
    <row r="1379" s="120" customFormat="1" x14ac:dyDescent="0.15"/>
    <row r="1380" s="120" customFormat="1" x14ac:dyDescent="0.15"/>
    <row r="1381" s="120" customFormat="1" x14ac:dyDescent="0.15"/>
    <row r="1382" s="120" customFormat="1" x14ac:dyDescent="0.15"/>
    <row r="1383" s="120" customFormat="1" x14ac:dyDescent="0.15"/>
    <row r="1384" s="120" customFormat="1" x14ac:dyDescent="0.15"/>
    <row r="1385" s="120" customFormat="1" x14ac:dyDescent="0.15"/>
    <row r="1386" s="120" customFormat="1" x14ac:dyDescent="0.15"/>
    <row r="1387" s="120" customFormat="1" x14ac:dyDescent="0.15"/>
    <row r="1388" s="120" customFormat="1" x14ac:dyDescent="0.15"/>
    <row r="1389" s="120" customFormat="1" x14ac:dyDescent="0.15"/>
    <row r="1390" s="120" customFormat="1" x14ac:dyDescent="0.15"/>
    <row r="1391" s="120" customFormat="1" x14ac:dyDescent="0.15"/>
    <row r="1392" s="120" customFormat="1" x14ac:dyDescent="0.15"/>
    <row r="1393" s="120" customFormat="1" x14ac:dyDescent="0.15"/>
    <row r="1394" s="120" customFormat="1" x14ac:dyDescent="0.15"/>
    <row r="1395" s="120" customFormat="1" x14ac:dyDescent="0.15"/>
    <row r="1396" s="120" customFormat="1" x14ac:dyDescent="0.15"/>
    <row r="1397" s="120" customFormat="1" x14ac:dyDescent="0.15"/>
    <row r="1398" s="120" customFormat="1" x14ac:dyDescent="0.15"/>
    <row r="1399" s="120" customFormat="1" x14ac:dyDescent="0.15"/>
    <row r="1400" s="120" customFormat="1" x14ac:dyDescent="0.15"/>
    <row r="1401" s="120" customFormat="1" x14ac:dyDescent="0.15"/>
    <row r="1402" s="120" customFormat="1" x14ac:dyDescent="0.15"/>
    <row r="1403" s="120" customFormat="1" x14ac:dyDescent="0.15"/>
    <row r="1404" s="120" customFormat="1" x14ac:dyDescent="0.15"/>
    <row r="1405" s="120" customFormat="1" x14ac:dyDescent="0.15"/>
    <row r="1406" s="120" customFormat="1" x14ac:dyDescent="0.15"/>
    <row r="1407" s="120" customFormat="1" x14ac:dyDescent="0.15"/>
    <row r="1408" s="120" customFormat="1" x14ac:dyDescent="0.15"/>
    <row r="1409" s="120" customFormat="1" x14ac:dyDescent="0.15"/>
    <row r="1410" s="120" customFormat="1" x14ac:dyDescent="0.15"/>
    <row r="1411" s="120" customFormat="1" x14ac:dyDescent="0.15"/>
    <row r="1412" s="120" customFormat="1" x14ac:dyDescent="0.15"/>
    <row r="1413" s="120" customFormat="1" x14ac:dyDescent="0.15"/>
    <row r="1414" s="120" customFormat="1" x14ac:dyDescent="0.15"/>
    <row r="1415" s="120" customFormat="1" x14ac:dyDescent="0.15"/>
    <row r="1416" s="120" customFormat="1" x14ac:dyDescent="0.15"/>
    <row r="1417" s="120" customFormat="1" x14ac:dyDescent="0.15"/>
    <row r="1418" s="120" customFormat="1" x14ac:dyDescent="0.15"/>
    <row r="1419" s="120" customFormat="1" x14ac:dyDescent="0.15"/>
    <row r="1420" s="120" customFormat="1" x14ac:dyDescent="0.15"/>
    <row r="1421" s="120" customFormat="1" x14ac:dyDescent="0.15"/>
    <row r="1422" s="120" customFormat="1" x14ac:dyDescent="0.15"/>
    <row r="1423" s="120" customFormat="1" x14ac:dyDescent="0.15"/>
    <row r="1424" s="120" customFormat="1" x14ac:dyDescent="0.15"/>
    <row r="1425" s="120" customFormat="1" x14ac:dyDescent="0.15"/>
    <row r="1426" s="120" customFormat="1" x14ac:dyDescent="0.15"/>
    <row r="1427" s="120" customFormat="1" x14ac:dyDescent="0.15"/>
    <row r="1428" s="120" customFormat="1" x14ac:dyDescent="0.15"/>
    <row r="1429" s="120" customFormat="1" x14ac:dyDescent="0.15"/>
    <row r="1430" s="120" customFormat="1" x14ac:dyDescent="0.15"/>
    <row r="1431" s="120" customFormat="1" x14ac:dyDescent="0.15"/>
    <row r="1432" s="120" customFormat="1" x14ac:dyDescent="0.15"/>
    <row r="1433" s="120" customFormat="1" x14ac:dyDescent="0.15"/>
    <row r="1434" s="120" customFormat="1" x14ac:dyDescent="0.15"/>
    <row r="1435" s="120" customFormat="1" x14ac:dyDescent="0.15"/>
    <row r="1436" s="120" customFormat="1" x14ac:dyDescent="0.15"/>
    <row r="1437" s="120" customFormat="1" x14ac:dyDescent="0.15"/>
    <row r="1438" s="120" customFormat="1" x14ac:dyDescent="0.15"/>
    <row r="1439" s="120" customFormat="1" x14ac:dyDescent="0.15"/>
    <row r="1440" s="120" customFormat="1" x14ac:dyDescent="0.15"/>
    <row r="1441" s="120" customFormat="1" x14ac:dyDescent="0.15"/>
    <row r="1442" s="120" customFormat="1" x14ac:dyDescent="0.15"/>
    <row r="1443" s="120" customFormat="1" x14ac:dyDescent="0.15"/>
    <row r="1444" s="120" customFormat="1" x14ac:dyDescent="0.15"/>
    <row r="1445" s="120" customFormat="1" x14ac:dyDescent="0.15"/>
    <row r="1446" s="120" customFormat="1" x14ac:dyDescent="0.15"/>
    <row r="1447" s="120" customFormat="1" x14ac:dyDescent="0.15"/>
    <row r="1448" s="120" customFormat="1" x14ac:dyDescent="0.15"/>
    <row r="1449" s="120" customFormat="1" x14ac:dyDescent="0.15"/>
    <row r="1450" s="120" customFormat="1" x14ac:dyDescent="0.15"/>
    <row r="1451" s="120" customFormat="1" x14ac:dyDescent="0.15"/>
    <row r="1452" s="120" customFormat="1" x14ac:dyDescent="0.15"/>
    <row r="1453" s="120" customFormat="1" x14ac:dyDescent="0.15"/>
    <row r="1454" s="120" customFormat="1" x14ac:dyDescent="0.15"/>
    <row r="1455" s="120" customFormat="1" x14ac:dyDescent="0.15"/>
    <row r="1456" s="120" customFormat="1" x14ac:dyDescent="0.15"/>
    <row r="1457" s="120" customFormat="1" x14ac:dyDescent="0.15"/>
    <row r="1458" s="120" customFormat="1" x14ac:dyDescent="0.15"/>
    <row r="1459" s="120" customFormat="1" x14ac:dyDescent="0.15"/>
    <row r="1460" s="120" customFormat="1" x14ac:dyDescent="0.15"/>
    <row r="1461" s="120" customFormat="1" x14ac:dyDescent="0.15"/>
    <row r="1462" s="120" customFormat="1" x14ac:dyDescent="0.15"/>
    <row r="1463" s="120" customFormat="1" x14ac:dyDescent="0.15"/>
    <row r="1464" s="120" customFormat="1" x14ac:dyDescent="0.15"/>
    <row r="1465" s="120" customFormat="1" x14ac:dyDescent="0.15"/>
    <row r="1466" s="120" customFormat="1" x14ac:dyDescent="0.15"/>
    <row r="1467" s="120" customFormat="1" x14ac:dyDescent="0.15"/>
    <row r="1468" s="120" customFormat="1" x14ac:dyDescent="0.15"/>
    <row r="1469" s="120" customFormat="1" x14ac:dyDescent="0.15"/>
    <row r="1470" s="120" customFormat="1" x14ac:dyDescent="0.15"/>
    <row r="1471" s="120" customFormat="1" x14ac:dyDescent="0.15"/>
    <row r="1472" s="120" customFormat="1" x14ac:dyDescent="0.15"/>
    <row r="1473" s="120" customFormat="1" x14ac:dyDescent="0.15"/>
    <row r="1474" s="120" customFormat="1" x14ac:dyDescent="0.15"/>
    <row r="1475" s="120" customFormat="1" x14ac:dyDescent="0.15"/>
    <row r="1476" s="120" customFormat="1" x14ac:dyDescent="0.15"/>
    <row r="1477" s="120" customFormat="1" x14ac:dyDescent="0.15"/>
    <row r="1478" s="120" customFormat="1" x14ac:dyDescent="0.15"/>
    <row r="1479" s="120" customFormat="1" x14ac:dyDescent="0.15"/>
    <row r="1480" s="120" customFormat="1" x14ac:dyDescent="0.15"/>
    <row r="1481" s="120" customFormat="1" x14ac:dyDescent="0.15"/>
    <row r="1482" s="120" customFormat="1" x14ac:dyDescent="0.15"/>
    <row r="1483" s="120" customFormat="1" x14ac:dyDescent="0.15"/>
    <row r="1484" s="120" customFormat="1" x14ac:dyDescent="0.15"/>
    <row r="1485" s="120" customFormat="1" x14ac:dyDescent="0.15"/>
    <row r="1486" s="120" customFormat="1" x14ac:dyDescent="0.15"/>
    <row r="1487" s="120" customFormat="1" x14ac:dyDescent="0.15"/>
    <row r="1488" s="120" customFormat="1" x14ac:dyDescent="0.15"/>
    <row r="1489" s="120" customFormat="1" x14ac:dyDescent="0.15"/>
    <row r="1490" s="120" customFormat="1" x14ac:dyDescent="0.15"/>
    <row r="1491" s="120" customFormat="1" x14ac:dyDescent="0.15"/>
    <row r="1492" s="120" customFormat="1" x14ac:dyDescent="0.15"/>
    <row r="1493" s="120" customFormat="1" x14ac:dyDescent="0.15"/>
    <row r="1494" s="120" customFormat="1" x14ac:dyDescent="0.15"/>
    <row r="1495" s="120" customFormat="1" x14ac:dyDescent="0.15"/>
    <row r="1496" s="120" customFormat="1" x14ac:dyDescent="0.15"/>
    <row r="1497" s="120" customFormat="1" x14ac:dyDescent="0.15"/>
    <row r="1498" s="120" customFormat="1" x14ac:dyDescent="0.15"/>
    <row r="1499" s="120" customFormat="1" x14ac:dyDescent="0.15"/>
    <row r="1500" s="120" customFormat="1" x14ac:dyDescent="0.15"/>
    <row r="1501" s="120" customFormat="1" x14ac:dyDescent="0.15"/>
    <row r="1502" s="120" customFormat="1" x14ac:dyDescent="0.15"/>
    <row r="1503" s="120" customFormat="1" x14ac:dyDescent="0.15"/>
    <row r="1504" s="120" customFormat="1" x14ac:dyDescent="0.15"/>
    <row r="1505" s="120" customFormat="1" x14ac:dyDescent="0.15"/>
    <row r="1506" s="120" customFormat="1" x14ac:dyDescent="0.15"/>
    <row r="1507" s="120" customFormat="1" x14ac:dyDescent="0.15"/>
    <row r="1508" s="120" customFormat="1" x14ac:dyDescent="0.15"/>
    <row r="1509" s="120" customFormat="1" x14ac:dyDescent="0.15"/>
    <row r="1510" s="120" customFormat="1" x14ac:dyDescent="0.15"/>
    <row r="1511" s="120" customFormat="1" x14ac:dyDescent="0.15"/>
    <row r="1512" s="120" customFormat="1" x14ac:dyDescent="0.15"/>
    <row r="1513" s="120" customFormat="1" x14ac:dyDescent="0.15"/>
    <row r="1514" s="120" customFormat="1" x14ac:dyDescent="0.15"/>
    <row r="1515" s="120" customFormat="1" x14ac:dyDescent="0.15"/>
    <row r="1516" s="120" customFormat="1" x14ac:dyDescent="0.15"/>
    <row r="1517" s="120" customFormat="1" x14ac:dyDescent="0.15"/>
    <row r="1518" s="120" customFormat="1" x14ac:dyDescent="0.15"/>
    <row r="1519" s="120" customFormat="1" x14ac:dyDescent="0.15"/>
    <row r="1520" s="120" customFormat="1" x14ac:dyDescent="0.15"/>
    <row r="1521" s="120" customFormat="1" x14ac:dyDescent="0.15"/>
    <row r="1522" s="120" customFormat="1" x14ac:dyDescent="0.15"/>
    <row r="1523" s="120" customFormat="1" x14ac:dyDescent="0.15"/>
    <row r="1524" s="120" customFormat="1" x14ac:dyDescent="0.15"/>
    <row r="1525" s="120" customFormat="1" x14ac:dyDescent="0.15"/>
    <row r="1526" s="120" customFormat="1" x14ac:dyDescent="0.15"/>
    <row r="1527" s="120" customFormat="1" x14ac:dyDescent="0.15"/>
    <row r="1528" s="120" customFormat="1" x14ac:dyDescent="0.15"/>
    <row r="1529" s="120" customFormat="1" x14ac:dyDescent="0.15"/>
    <row r="1530" s="120" customFormat="1" x14ac:dyDescent="0.15"/>
    <row r="1531" s="120" customFormat="1" x14ac:dyDescent="0.15"/>
    <row r="1532" s="120" customFormat="1" x14ac:dyDescent="0.15"/>
    <row r="1533" s="120" customFormat="1" x14ac:dyDescent="0.15"/>
    <row r="1534" s="120" customFormat="1" x14ac:dyDescent="0.15"/>
    <row r="1535" s="120" customFormat="1" x14ac:dyDescent="0.15"/>
    <row r="1536" s="120" customFormat="1" x14ac:dyDescent="0.15"/>
    <row r="1537" s="120" customFormat="1" x14ac:dyDescent="0.15"/>
    <row r="1538" s="120" customFormat="1" x14ac:dyDescent="0.15"/>
    <row r="1539" s="120" customFormat="1" x14ac:dyDescent="0.15"/>
    <row r="1540" s="120" customFormat="1" x14ac:dyDescent="0.15"/>
    <row r="1541" s="120" customFormat="1" x14ac:dyDescent="0.15"/>
    <row r="1542" s="120" customFormat="1" x14ac:dyDescent="0.15"/>
    <row r="1543" s="120" customFormat="1" x14ac:dyDescent="0.15"/>
    <row r="1544" s="120" customFormat="1" x14ac:dyDescent="0.15"/>
    <row r="1545" s="120" customFormat="1" x14ac:dyDescent="0.15"/>
    <row r="1546" s="120" customFormat="1" x14ac:dyDescent="0.15"/>
    <row r="1547" s="120" customFormat="1" x14ac:dyDescent="0.15"/>
    <row r="1548" s="120" customFormat="1" x14ac:dyDescent="0.15"/>
    <row r="1549" s="120" customFormat="1" x14ac:dyDescent="0.15"/>
    <row r="1550" s="120" customFormat="1" x14ac:dyDescent="0.15"/>
    <row r="1551" s="120" customFormat="1" x14ac:dyDescent="0.15"/>
    <row r="1552" s="120" customFormat="1" x14ac:dyDescent="0.15"/>
    <row r="1553" s="120" customFormat="1" x14ac:dyDescent="0.15"/>
    <row r="1554" s="120" customFormat="1" x14ac:dyDescent="0.15"/>
    <row r="1555" s="120" customFormat="1" x14ac:dyDescent="0.15"/>
    <row r="1556" s="120" customFormat="1" x14ac:dyDescent="0.15"/>
    <row r="1557" s="120" customFormat="1" x14ac:dyDescent="0.15"/>
    <row r="1558" s="120" customFormat="1" x14ac:dyDescent="0.15"/>
    <row r="1559" s="120" customFormat="1" x14ac:dyDescent="0.15"/>
    <row r="1560" s="120" customFormat="1" x14ac:dyDescent="0.15"/>
    <row r="1561" s="120" customFormat="1" x14ac:dyDescent="0.15"/>
    <row r="1562" s="120" customFormat="1" x14ac:dyDescent="0.15"/>
    <row r="1563" s="120" customFormat="1" x14ac:dyDescent="0.15"/>
    <row r="1564" s="120" customFormat="1" x14ac:dyDescent="0.15"/>
    <row r="1565" s="120" customFormat="1" x14ac:dyDescent="0.15"/>
    <row r="1566" s="120" customFormat="1" x14ac:dyDescent="0.15"/>
    <row r="1567" s="120" customFormat="1" x14ac:dyDescent="0.15"/>
    <row r="1568" s="120" customFormat="1" x14ac:dyDescent="0.15"/>
    <row r="1569" s="120" customFormat="1" x14ac:dyDescent="0.15"/>
    <row r="1570" s="120" customFormat="1" x14ac:dyDescent="0.15"/>
    <row r="1571" s="120" customFormat="1" x14ac:dyDescent="0.15"/>
    <row r="1572" s="120" customFormat="1" x14ac:dyDescent="0.15"/>
    <row r="1573" s="120" customFormat="1" x14ac:dyDescent="0.15"/>
    <row r="1574" s="120" customFormat="1" x14ac:dyDescent="0.15"/>
    <row r="1575" s="120" customFormat="1" x14ac:dyDescent="0.15"/>
    <row r="1576" s="120" customFormat="1" x14ac:dyDescent="0.15"/>
    <row r="1577" s="120" customFormat="1" x14ac:dyDescent="0.15"/>
    <row r="1578" s="120" customFormat="1" x14ac:dyDescent="0.15"/>
    <row r="1579" s="120" customFormat="1" x14ac:dyDescent="0.15"/>
    <row r="1580" s="120" customFormat="1" x14ac:dyDescent="0.15"/>
    <row r="1581" s="120" customFormat="1" x14ac:dyDescent="0.15"/>
    <row r="1582" s="120" customFormat="1" x14ac:dyDescent="0.15"/>
    <row r="1583" s="120" customFormat="1" x14ac:dyDescent="0.15"/>
    <row r="1584" s="120" customFormat="1" x14ac:dyDescent="0.15"/>
    <row r="1585" s="120" customFormat="1" x14ac:dyDescent="0.15"/>
    <row r="1586" s="120" customFormat="1" x14ac:dyDescent="0.15"/>
    <row r="1587" s="120" customFormat="1" x14ac:dyDescent="0.15"/>
    <row r="1588" s="120" customFormat="1" x14ac:dyDescent="0.15"/>
    <row r="1589" s="120" customFormat="1" x14ac:dyDescent="0.15"/>
    <row r="1590" s="120" customFormat="1" x14ac:dyDescent="0.15"/>
    <row r="1591" s="120" customFormat="1" x14ac:dyDescent="0.15"/>
    <row r="1592" s="120" customFormat="1" x14ac:dyDescent="0.15"/>
    <row r="1593" s="120" customFormat="1" x14ac:dyDescent="0.15"/>
    <row r="1594" s="120" customFormat="1" x14ac:dyDescent="0.15"/>
    <row r="1595" s="120" customFormat="1" x14ac:dyDescent="0.15"/>
    <row r="1596" s="120" customFormat="1" x14ac:dyDescent="0.15"/>
    <row r="1597" s="120" customFormat="1" x14ac:dyDescent="0.15"/>
    <row r="1598" s="120" customFormat="1" x14ac:dyDescent="0.15"/>
    <row r="1599" s="120" customFormat="1" x14ac:dyDescent="0.15"/>
    <row r="1600" s="120" customFormat="1" x14ac:dyDescent="0.15"/>
    <row r="1601" s="120" customFormat="1" x14ac:dyDescent="0.15"/>
    <row r="1602" s="120" customFormat="1" x14ac:dyDescent="0.15"/>
    <row r="1603" s="120" customFormat="1" x14ac:dyDescent="0.15"/>
    <row r="1604" s="120" customFormat="1" x14ac:dyDescent="0.15"/>
    <row r="1605" s="120" customFormat="1" x14ac:dyDescent="0.15"/>
    <row r="1606" s="120" customFormat="1" x14ac:dyDescent="0.15"/>
    <row r="1607" s="120" customFormat="1" x14ac:dyDescent="0.15"/>
    <row r="1608" s="120" customFormat="1" x14ac:dyDescent="0.15"/>
    <row r="1609" s="120" customFormat="1" x14ac:dyDescent="0.15"/>
    <row r="1610" s="120" customFormat="1" x14ac:dyDescent="0.15"/>
    <row r="1611" s="120" customFormat="1" x14ac:dyDescent="0.15"/>
    <row r="1612" s="120" customFormat="1" x14ac:dyDescent="0.15"/>
    <row r="1613" s="120" customFormat="1" x14ac:dyDescent="0.15"/>
    <row r="1614" s="120" customFormat="1" x14ac:dyDescent="0.15"/>
    <row r="1615" s="120" customFormat="1" x14ac:dyDescent="0.15"/>
    <row r="1616" s="120" customFormat="1" x14ac:dyDescent="0.15"/>
    <row r="1617" s="120" customFormat="1" x14ac:dyDescent="0.15"/>
    <row r="1618" s="120" customFormat="1" x14ac:dyDescent="0.15"/>
    <row r="1619" s="120" customFormat="1" x14ac:dyDescent="0.15"/>
    <row r="1620" s="120" customFormat="1" x14ac:dyDescent="0.15"/>
    <row r="1621" s="120" customFormat="1" x14ac:dyDescent="0.15"/>
    <row r="1622" s="120" customFormat="1" x14ac:dyDescent="0.15"/>
    <row r="1623" s="120" customFormat="1" x14ac:dyDescent="0.15"/>
    <row r="1624" s="120" customFormat="1" x14ac:dyDescent="0.15"/>
    <row r="1625" s="120" customFormat="1" x14ac:dyDescent="0.15"/>
    <row r="1626" s="120" customFormat="1" x14ac:dyDescent="0.15"/>
    <row r="1627" s="120" customFormat="1" x14ac:dyDescent="0.15"/>
    <row r="1628" s="120" customFormat="1" x14ac:dyDescent="0.15"/>
    <row r="1629" s="120" customFormat="1" x14ac:dyDescent="0.15"/>
    <row r="1630" s="120" customFormat="1" x14ac:dyDescent="0.15"/>
    <row r="1631" s="120" customFormat="1" x14ac:dyDescent="0.15"/>
    <row r="1632" s="120" customFormat="1" x14ac:dyDescent="0.15"/>
    <row r="1633" s="120" customFormat="1" x14ac:dyDescent="0.15"/>
    <row r="1634" s="120" customFormat="1" x14ac:dyDescent="0.15"/>
    <row r="1635" s="120" customFormat="1" x14ac:dyDescent="0.15"/>
    <row r="1636" s="120" customFormat="1" x14ac:dyDescent="0.15"/>
    <row r="1637" s="120" customFormat="1" x14ac:dyDescent="0.15"/>
    <row r="1638" s="120" customFormat="1" x14ac:dyDescent="0.15"/>
    <row r="1639" s="120" customFormat="1" x14ac:dyDescent="0.15"/>
    <row r="1640" s="120" customFormat="1" x14ac:dyDescent="0.15"/>
    <row r="1641" s="120" customFormat="1" x14ac:dyDescent="0.15"/>
    <row r="1642" s="120" customFormat="1" x14ac:dyDescent="0.15"/>
    <row r="1643" s="120" customFormat="1" x14ac:dyDescent="0.15"/>
    <row r="1644" s="120" customFormat="1" x14ac:dyDescent="0.15"/>
    <row r="1645" s="120" customFormat="1" x14ac:dyDescent="0.15"/>
    <row r="1646" s="120" customFormat="1" x14ac:dyDescent="0.15"/>
    <row r="1647" s="120" customFormat="1" x14ac:dyDescent="0.15"/>
    <row r="1648" s="120" customFormat="1" x14ac:dyDescent="0.15"/>
    <row r="1649" s="120" customFormat="1" x14ac:dyDescent="0.15"/>
    <row r="1650" s="120" customFormat="1" x14ac:dyDescent="0.15"/>
    <row r="1651" s="120" customFormat="1" x14ac:dyDescent="0.15"/>
    <row r="1652" s="120" customFormat="1" x14ac:dyDescent="0.15"/>
    <row r="1653" s="120" customFormat="1" x14ac:dyDescent="0.15"/>
    <row r="1654" s="120" customFormat="1" x14ac:dyDescent="0.15"/>
    <row r="1655" s="120" customFormat="1" x14ac:dyDescent="0.15"/>
    <row r="1656" s="120" customFormat="1" x14ac:dyDescent="0.15"/>
    <row r="1657" s="120" customFormat="1" x14ac:dyDescent="0.15"/>
    <row r="1658" s="120" customFormat="1" x14ac:dyDescent="0.15"/>
    <row r="1659" s="120" customFormat="1" x14ac:dyDescent="0.15"/>
    <row r="1660" s="120" customFormat="1" x14ac:dyDescent="0.15"/>
    <row r="1661" s="120" customFormat="1" x14ac:dyDescent="0.15"/>
    <row r="1662" s="120" customFormat="1" x14ac:dyDescent="0.15"/>
    <row r="1663" s="120" customFormat="1" x14ac:dyDescent="0.15"/>
    <row r="1664" s="120" customFormat="1" x14ac:dyDescent="0.15"/>
    <row r="1665" s="120" customFormat="1" x14ac:dyDescent="0.15"/>
    <row r="1666" s="120" customFormat="1" x14ac:dyDescent="0.15"/>
    <row r="1667" s="120" customFormat="1" x14ac:dyDescent="0.15"/>
    <row r="1668" s="120" customFormat="1" x14ac:dyDescent="0.15"/>
    <row r="1669" s="120" customFormat="1" x14ac:dyDescent="0.15"/>
    <row r="1670" s="120" customFormat="1" x14ac:dyDescent="0.15"/>
    <row r="1671" s="120" customFormat="1" x14ac:dyDescent="0.15"/>
    <row r="1672" s="120" customFormat="1" x14ac:dyDescent="0.15"/>
    <row r="1673" s="120" customFormat="1" x14ac:dyDescent="0.15"/>
    <row r="1674" s="120" customFormat="1" x14ac:dyDescent="0.15"/>
    <row r="1675" s="120" customFormat="1" x14ac:dyDescent="0.15"/>
    <row r="1676" s="120" customFormat="1" x14ac:dyDescent="0.15"/>
    <row r="1677" s="120" customFormat="1" x14ac:dyDescent="0.15"/>
    <row r="1678" s="120" customFormat="1" x14ac:dyDescent="0.15"/>
    <row r="1679" s="120" customFormat="1" x14ac:dyDescent="0.15"/>
    <row r="1680" s="120" customFormat="1" x14ac:dyDescent="0.15"/>
    <row r="1681" s="120" customFormat="1" x14ac:dyDescent="0.15"/>
    <row r="1682" s="120" customFormat="1" x14ac:dyDescent="0.15"/>
    <row r="1683" s="120" customFormat="1" x14ac:dyDescent="0.15"/>
    <row r="1684" s="120" customFormat="1" x14ac:dyDescent="0.15"/>
    <row r="1685" s="120" customFormat="1" x14ac:dyDescent="0.15"/>
    <row r="1686" s="120" customFormat="1" x14ac:dyDescent="0.15"/>
    <row r="1687" s="120" customFormat="1" x14ac:dyDescent="0.15"/>
    <row r="1688" s="120" customFormat="1" x14ac:dyDescent="0.15"/>
    <row r="1689" s="120" customFormat="1" x14ac:dyDescent="0.15"/>
    <row r="1690" s="120" customFormat="1" x14ac:dyDescent="0.15"/>
    <row r="1691" s="120" customFormat="1" x14ac:dyDescent="0.15"/>
    <row r="1692" s="120" customFormat="1" x14ac:dyDescent="0.15"/>
    <row r="1693" s="120" customFormat="1" x14ac:dyDescent="0.15"/>
    <row r="1694" s="120" customFormat="1" x14ac:dyDescent="0.15"/>
    <row r="1695" s="120" customFormat="1" x14ac:dyDescent="0.15"/>
    <row r="1696" s="120" customFormat="1" x14ac:dyDescent="0.15"/>
    <row r="1697" s="120" customFormat="1" x14ac:dyDescent="0.15"/>
    <row r="1698" s="120" customFormat="1" x14ac:dyDescent="0.15"/>
    <row r="1699" s="120" customFormat="1" x14ac:dyDescent="0.15"/>
    <row r="1700" s="120" customFormat="1" x14ac:dyDescent="0.15"/>
    <row r="1701" s="120" customFormat="1" x14ac:dyDescent="0.15"/>
    <row r="1702" s="120" customFormat="1" x14ac:dyDescent="0.15"/>
    <row r="1703" s="120" customFormat="1" x14ac:dyDescent="0.15"/>
    <row r="1704" s="120" customFormat="1" x14ac:dyDescent="0.15"/>
    <row r="1705" s="120" customFormat="1" x14ac:dyDescent="0.15"/>
    <row r="1706" s="120" customFormat="1" x14ac:dyDescent="0.15"/>
    <row r="1707" s="120" customFormat="1" x14ac:dyDescent="0.15"/>
    <row r="1708" s="120" customFormat="1" x14ac:dyDescent="0.15"/>
    <row r="1709" s="120" customFormat="1" x14ac:dyDescent="0.15"/>
    <row r="1710" s="120" customFormat="1" x14ac:dyDescent="0.15"/>
    <row r="1711" s="120" customFormat="1" x14ac:dyDescent="0.15"/>
    <row r="1712" s="120" customFormat="1" x14ac:dyDescent="0.15"/>
    <row r="1713" s="120" customFormat="1" x14ac:dyDescent="0.15"/>
    <row r="1714" s="120" customFormat="1" x14ac:dyDescent="0.15"/>
    <row r="1715" s="120" customFormat="1" x14ac:dyDescent="0.15"/>
    <row r="1716" s="120" customFormat="1" x14ac:dyDescent="0.15"/>
    <row r="1717" s="120" customFormat="1" x14ac:dyDescent="0.15"/>
    <row r="1718" s="120" customFormat="1" x14ac:dyDescent="0.15"/>
    <row r="1719" s="120" customFormat="1" x14ac:dyDescent="0.15"/>
    <row r="1720" s="120" customFormat="1" x14ac:dyDescent="0.15"/>
    <row r="1721" s="120" customFormat="1" x14ac:dyDescent="0.15"/>
    <row r="1722" s="120" customFormat="1" x14ac:dyDescent="0.15"/>
    <row r="1723" s="120" customFormat="1" x14ac:dyDescent="0.15"/>
    <row r="1724" s="120" customFormat="1" x14ac:dyDescent="0.15"/>
    <row r="1725" s="120" customFormat="1" x14ac:dyDescent="0.15"/>
    <row r="1726" s="120" customFormat="1" x14ac:dyDescent="0.15"/>
    <row r="1727" s="120" customFormat="1" x14ac:dyDescent="0.15"/>
    <row r="1728" s="120" customFormat="1" x14ac:dyDescent="0.15"/>
    <row r="1729" s="120" customFormat="1" x14ac:dyDescent="0.15"/>
    <row r="1730" s="120" customFormat="1" x14ac:dyDescent="0.15"/>
    <row r="1731" s="120" customFormat="1" x14ac:dyDescent="0.15"/>
    <row r="1732" s="120" customFormat="1" x14ac:dyDescent="0.15"/>
    <row r="1733" s="120" customFormat="1" x14ac:dyDescent="0.15"/>
    <row r="1734" s="120" customFormat="1" x14ac:dyDescent="0.15"/>
    <row r="1735" s="120" customFormat="1" x14ac:dyDescent="0.15"/>
    <row r="1736" s="120" customFormat="1" x14ac:dyDescent="0.15"/>
    <row r="1737" s="120" customFormat="1" x14ac:dyDescent="0.15"/>
    <row r="1738" s="120" customFormat="1" x14ac:dyDescent="0.15"/>
    <row r="1739" s="120" customFormat="1" x14ac:dyDescent="0.15"/>
    <row r="1740" s="120" customFormat="1" x14ac:dyDescent="0.15"/>
    <row r="1741" s="120" customFormat="1" x14ac:dyDescent="0.15"/>
    <row r="1742" s="120" customFormat="1" x14ac:dyDescent="0.15"/>
    <row r="1743" s="120" customFormat="1" x14ac:dyDescent="0.15"/>
    <row r="1744" s="120" customFormat="1" x14ac:dyDescent="0.15"/>
    <row r="1745" s="120" customFormat="1" x14ac:dyDescent="0.15"/>
    <row r="1746" s="120" customFormat="1" x14ac:dyDescent="0.15"/>
    <row r="1747" s="120" customFormat="1" x14ac:dyDescent="0.15"/>
    <row r="1748" s="120" customFormat="1" x14ac:dyDescent="0.15"/>
    <row r="1749" s="120" customFormat="1" x14ac:dyDescent="0.15"/>
    <row r="1750" s="120" customFormat="1" x14ac:dyDescent="0.15"/>
    <row r="1751" s="120" customFormat="1" x14ac:dyDescent="0.15"/>
    <row r="1752" s="120" customFormat="1" x14ac:dyDescent="0.15"/>
    <row r="1753" s="120" customFormat="1" x14ac:dyDescent="0.15"/>
    <row r="1754" s="120" customFormat="1" x14ac:dyDescent="0.15"/>
    <row r="1755" s="120" customFormat="1" x14ac:dyDescent="0.15"/>
    <row r="1756" s="120" customFormat="1" x14ac:dyDescent="0.15"/>
    <row r="1757" s="120" customFormat="1" x14ac:dyDescent="0.15"/>
    <row r="1758" s="120" customFormat="1" x14ac:dyDescent="0.15"/>
    <row r="1759" s="120" customFormat="1" x14ac:dyDescent="0.15"/>
    <row r="1760" s="120" customFormat="1" x14ac:dyDescent="0.15"/>
    <row r="1761" s="120" customFormat="1" x14ac:dyDescent="0.15"/>
    <row r="1762" s="120" customFormat="1" x14ac:dyDescent="0.15"/>
    <row r="1763" s="120" customFormat="1" x14ac:dyDescent="0.15"/>
    <row r="1764" s="120" customFormat="1" x14ac:dyDescent="0.15"/>
    <row r="1765" s="120" customFormat="1" x14ac:dyDescent="0.15"/>
    <row r="1766" s="120" customFormat="1" x14ac:dyDescent="0.15"/>
    <row r="1767" s="120" customFormat="1" x14ac:dyDescent="0.15"/>
    <row r="1768" s="120" customFormat="1" x14ac:dyDescent="0.15"/>
    <row r="1769" s="120" customFormat="1" x14ac:dyDescent="0.15"/>
    <row r="1770" s="120" customFormat="1" x14ac:dyDescent="0.15"/>
    <row r="1771" s="120" customFormat="1" x14ac:dyDescent="0.15"/>
    <row r="1772" s="120" customFormat="1" x14ac:dyDescent="0.15"/>
    <row r="1773" s="120" customFormat="1" x14ac:dyDescent="0.15"/>
    <row r="1774" s="120" customFormat="1" x14ac:dyDescent="0.15"/>
    <row r="1775" s="120" customFormat="1" x14ac:dyDescent="0.15"/>
    <row r="1776" s="120" customFormat="1" x14ac:dyDescent="0.15"/>
    <row r="1777" s="120" customFormat="1" x14ac:dyDescent="0.15"/>
    <row r="1778" s="120" customFormat="1" x14ac:dyDescent="0.15"/>
    <row r="1779" s="120" customFormat="1" x14ac:dyDescent="0.15"/>
    <row r="1780" s="120" customFormat="1" x14ac:dyDescent="0.15"/>
    <row r="1781" s="120" customFormat="1" x14ac:dyDescent="0.15"/>
    <row r="1782" s="120" customFormat="1" x14ac:dyDescent="0.15"/>
    <row r="1783" s="120" customFormat="1" x14ac:dyDescent="0.15"/>
    <row r="1784" s="120" customFormat="1" x14ac:dyDescent="0.15"/>
    <row r="1785" s="120" customFormat="1" x14ac:dyDescent="0.15"/>
    <row r="1786" s="120" customFormat="1" x14ac:dyDescent="0.15"/>
    <row r="1787" s="120" customFormat="1" x14ac:dyDescent="0.15"/>
    <row r="1788" s="120" customFormat="1" x14ac:dyDescent="0.15"/>
    <row r="1789" s="120" customFormat="1" x14ac:dyDescent="0.15"/>
    <row r="1790" s="120" customFormat="1" x14ac:dyDescent="0.15"/>
    <row r="1791" s="120" customFormat="1" x14ac:dyDescent="0.15"/>
    <row r="1792" s="120" customFormat="1" x14ac:dyDescent="0.15"/>
    <row r="1793" s="120" customFormat="1" x14ac:dyDescent="0.15"/>
    <row r="1794" s="120" customFormat="1" x14ac:dyDescent="0.15"/>
    <row r="1795" s="120" customFormat="1" x14ac:dyDescent="0.15"/>
    <row r="1796" s="120" customFormat="1" x14ac:dyDescent="0.15"/>
    <row r="1797" s="120" customFormat="1" x14ac:dyDescent="0.15"/>
    <row r="1798" s="120" customFormat="1" x14ac:dyDescent="0.15"/>
    <row r="1799" s="120" customFormat="1" x14ac:dyDescent="0.15"/>
    <row r="1800" s="120" customFormat="1" x14ac:dyDescent="0.15"/>
    <row r="1801" s="120" customFormat="1" x14ac:dyDescent="0.15"/>
    <row r="1802" s="120" customFormat="1" x14ac:dyDescent="0.15"/>
    <row r="1803" s="120" customFormat="1" x14ac:dyDescent="0.15"/>
    <row r="1804" s="120" customFormat="1" x14ac:dyDescent="0.15"/>
    <row r="1805" s="120" customFormat="1" x14ac:dyDescent="0.15"/>
    <row r="1806" s="120" customFormat="1" x14ac:dyDescent="0.15"/>
    <row r="1807" s="120" customFormat="1" x14ac:dyDescent="0.15"/>
    <row r="1808" s="120" customFormat="1" x14ac:dyDescent="0.15"/>
    <row r="1809" s="120" customFormat="1" x14ac:dyDescent="0.15"/>
    <row r="1810" s="120" customFormat="1" x14ac:dyDescent="0.15"/>
    <row r="1811" s="120" customFormat="1" x14ac:dyDescent="0.15"/>
    <row r="1812" s="120" customFormat="1" x14ac:dyDescent="0.15"/>
    <row r="1813" s="120" customFormat="1" x14ac:dyDescent="0.15"/>
    <row r="1814" s="120" customFormat="1" x14ac:dyDescent="0.15"/>
    <row r="1815" s="120" customFormat="1" x14ac:dyDescent="0.15"/>
    <row r="1816" s="120" customFormat="1" x14ac:dyDescent="0.15"/>
    <row r="1817" s="120" customFormat="1" x14ac:dyDescent="0.15"/>
    <row r="1818" s="120" customFormat="1" x14ac:dyDescent="0.15"/>
    <row r="1819" s="120" customFormat="1" x14ac:dyDescent="0.15"/>
    <row r="1820" s="120" customFormat="1" x14ac:dyDescent="0.15"/>
    <row r="1821" s="120" customFormat="1" x14ac:dyDescent="0.15"/>
    <row r="1822" s="120" customFormat="1" x14ac:dyDescent="0.15"/>
    <row r="1823" s="120" customFormat="1" x14ac:dyDescent="0.15"/>
    <row r="1824" s="120" customFormat="1" x14ac:dyDescent="0.15"/>
    <row r="1825" s="120" customFormat="1" x14ac:dyDescent="0.15"/>
    <row r="1826" s="120" customFormat="1" x14ac:dyDescent="0.15"/>
    <row r="1827" s="120" customFormat="1" x14ac:dyDescent="0.15"/>
    <row r="1828" s="120" customFormat="1" x14ac:dyDescent="0.15"/>
    <row r="1829" s="120" customFormat="1" x14ac:dyDescent="0.15"/>
    <row r="1830" s="120" customFormat="1" x14ac:dyDescent="0.15"/>
    <row r="1831" s="120" customFormat="1" x14ac:dyDescent="0.15"/>
    <row r="1832" s="120" customFormat="1" x14ac:dyDescent="0.15"/>
    <row r="1833" s="120" customFormat="1" x14ac:dyDescent="0.15"/>
    <row r="1834" s="120" customFormat="1" x14ac:dyDescent="0.15"/>
    <row r="1835" s="120" customFormat="1" x14ac:dyDescent="0.15"/>
    <row r="1836" s="120" customFormat="1" x14ac:dyDescent="0.15"/>
    <row r="1837" s="120" customFormat="1" x14ac:dyDescent="0.15"/>
    <row r="1838" s="120" customFormat="1" x14ac:dyDescent="0.15"/>
    <row r="1839" s="120" customFormat="1" x14ac:dyDescent="0.15"/>
    <row r="1840" s="120" customFormat="1" x14ac:dyDescent="0.15"/>
    <row r="1841" s="120" customFormat="1" x14ac:dyDescent="0.15"/>
    <row r="1842" s="120" customFormat="1" x14ac:dyDescent="0.15"/>
    <row r="1843" s="120" customFormat="1" x14ac:dyDescent="0.15"/>
    <row r="1844" s="120" customFormat="1" x14ac:dyDescent="0.15"/>
    <row r="1845" s="120" customFormat="1" x14ac:dyDescent="0.15"/>
    <row r="1846" s="120" customFormat="1" x14ac:dyDescent="0.15"/>
    <row r="1847" s="120" customFormat="1" x14ac:dyDescent="0.15"/>
    <row r="1848" s="120" customFormat="1" x14ac:dyDescent="0.15"/>
    <row r="1849" s="120" customFormat="1" x14ac:dyDescent="0.15"/>
    <row r="1850" s="120" customFormat="1" x14ac:dyDescent="0.15"/>
    <row r="1851" s="120" customFormat="1" x14ac:dyDescent="0.15"/>
    <row r="1852" s="120" customFormat="1" x14ac:dyDescent="0.15"/>
    <row r="1853" s="120" customFormat="1" x14ac:dyDescent="0.15"/>
    <row r="1854" s="120" customFormat="1" x14ac:dyDescent="0.15"/>
    <row r="1855" s="120" customFormat="1" x14ac:dyDescent="0.15"/>
    <row r="1856" s="120" customFormat="1" x14ac:dyDescent="0.15"/>
    <row r="1857" s="120" customFormat="1" x14ac:dyDescent="0.15"/>
    <row r="1858" s="120" customFormat="1" x14ac:dyDescent="0.15"/>
    <row r="1859" s="120" customFormat="1" x14ac:dyDescent="0.15"/>
    <row r="1860" s="120" customFormat="1" x14ac:dyDescent="0.15"/>
    <row r="1861" s="120" customFormat="1" x14ac:dyDescent="0.15"/>
    <row r="1862" s="120" customFormat="1" x14ac:dyDescent="0.15"/>
    <row r="1863" s="120" customFormat="1" x14ac:dyDescent="0.15"/>
    <row r="1864" s="120" customFormat="1" x14ac:dyDescent="0.15"/>
    <row r="1865" s="120" customFormat="1" x14ac:dyDescent="0.15"/>
    <row r="1866" s="120" customFormat="1" x14ac:dyDescent="0.15"/>
    <row r="1867" s="120" customFormat="1" x14ac:dyDescent="0.15"/>
    <row r="1868" s="120" customFormat="1" x14ac:dyDescent="0.15"/>
    <row r="1869" s="120" customFormat="1" x14ac:dyDescent="0.15"/>
    <row r="1870" s="120" customFormat="1" x14ac:dyDescent="0.15"/>
    <row r="1871" s="120" customFormat="1" x14ac:dyDescent="0.15"/>
    <row r="1872" s="120" customFormat="1" x14ac:dyDescent="0.15"/>
    <row r="1873" s="120" customFormat="1" x14ac:dyDescent="0.15"/>
    <row r="1874" s="120" customFormat="1" x14ac:dyDescent="0.15"/>
    <row r="1875" s="120" customFormat="1" x14ac:dyDescent="0.15"/>
    <row r="1876" s="120" customFormat="1" x14ac:dyDescent="0.15"/>
    <row r="1877" s="120" customFormat="1" x14ac:dyDescent="0.15"/>
    <row r="1878" s="120" customFormat="1" x14ac:dyDescent="0.15"/>
    <row r="1879" s="120" customFormat="1" x14ac:dyDescent="0.15"/>
    <row r="1880" s="120" customFormat="1" x14ac:dyDescent="0.15"/>
    <row r="1881" s="120" customFormat="1" x14ac:dyDescent="0.15"/>
    <row r="1882" s="120" customFormat="1" x14ac:dyDescent="0.15"/>
    <row r="1883" s="120" customFormat="1" x14ac:dyDescent="0.15"/>
    <row r="1884" s="120" customFormat="1" x14ac:dyDescent="0.15"/>
    <row r="1885" s="120" customFormat="1" x14ac:dyDescent="0.15"/>
    <row r="1886" s="120" customFormat="1" x14ac:dyDescent="0.15"/>
    <row r="1887" s="120" customFormat="1" x14ac:dyDescent="0.15"/>
    <row r="1888" s="120" customFormat="1" x14ac:dyDescent="0.15"/>
    <row r="1889" s="120" customFormat="1" x14ac:dyDescent="0.15"/>
    <row r="1890" s="120" customFormat="1" x14ac:dyDescent="0.15"/>
    <row r="1891" s="120" customFormat="1" x14ac:dyDescent="0.15"/>
    <row r="1892" s="120" customFormat="1" x14ac:dyDescent="0.15"/>
    <row r="1893" s="120" customFormat="1" x14ac:dyDescent="0.15"/>
    <row r="1894" s="120" customFormat="1" x14ac:dyDescent="0.15"/>
    <row r="1895" s="120" customFormat="1" x14ac:dyDescent="0.15"/>
    <row r="1896" s="120" customFormat="1" x14ac:dyDescent="0.15"/>
    <row r="1897" s="120" customFormat="1" x14ac:dyDescent="0.15"/>
    <row r="1898" s="120" customFormat="1" x14ac:dyDescent="0.15"/>
    <row r="1899" s="120" customFormat="1" x14ac:dyDescent="0.15"/>
    <row r="1900" s="120" customFormat="1" x14ac:dyDescent="0.15"/>
    <row r="1901" s="120" customFormat="1" x14ac:dyDescent="0.15"/>
    <row r="1902" s="120" customFormat="1" x14ac:dyDescent="0.15"/>
    <row r="1903" s="120" customFormat="1" x14ac:dyDescent="0.15"/>
    <row r="1904" s="120" customFormat="1" x14ac:dyDescent="0.15"/>
    <row r="1905" s="120" customFormat="1" x14ac:dyDescent="0.15"/>
    <row r="1906" s="120" customFormat="1" x14ac:dyDescent="0.15"/>
    <row r="1907" s="120" customFormat="1" x14ac:dyDescent="0.15"/>
    <row r="1908" s="120" customFormat="1" x14ac:dyDescent="0.15"/>
    <row r="1909" s="120" customFormat="1" x14ac:dyDescent="0.15"/>
    <row r="1910" s="120" customFormat="1" x14ac:dyDescent="0.15"/>
    <row r="1911" s="120" customFormat="1" x14ac:dyDescent="0.15"/>
    <row r="1912" s="120" customFormat="1" x14ac:dyDescent="0.15"/>
    <row r="1913" s="120" customFormat="1" x14ac:dyDescent="0.15"/>
    <row r="1914" s="120" customFormat="1" x14ac:dyDescent="0.15"/>
    <row r="1915" s="120" customFormat="1" x14ac:dyDescent="0.15"/>
    <row r="1916" s="120" customFormat="1" x14ac:dyDescent="0.15"/>
    <row r="1917" s="120" customFormat="1" x14ac:dyDescent="0.15"/>
    <row r="1918" s="120" customFormat="1" x14ac:dyDescent="0.15"/>
    <row r="1919" s="120" customFormat="1" x14ac:dyDescent="0.15"/>
    <row r="1920" s="120" customFormat="1" x14ac:dyDescent="0.15"/>
    <row r="1921" s="120" customFormat="1" x14ac:dyDescent="0.15"/>
    <row r="1922" s="120" customFormat="1" x14ac:dyDescent="0.15"/>
    <row r="1923" s="120" customFormat="1" x14ac:dyDescent="0.15"/>
    <row r="1924" s="120" customFormat="1" x14ac:dyDescent="0.15"/>
    <row r="1925" s="120" customFormat="1" x14ac:dyDescent="0.15"/>
    <row r="1926" s="120" customFormat="1" x14ac:dyDescent="0.15"/>
    <row r="1927" s="120" customFormat="1" x14ac:dyDescent="0.15"/>
    <row r="1928" s="120" customFormat="1" x14ac:dyDescent="0.15"/>
    <row r="1929" s="120" customFormat="1" x14ac:dyDescent="0.15"/>
    <row r="1930" s="120" customFormat="1" x14ac:dyDescent="0.15"/>
    <row r="1931" s="120" customFormat="1" x14ac:dyDescent="0.15"/>
    <row r="1932" s="120" customFormat="1" x14ac:dyDescent="0.15"/>
    <row r="1933" s="120" customFormat="1" x14ac:dyDescent="0.15"/>
    <row r="1934" s="120" customFormat="1" x14ac:dyDescent="0.15"/>
    <row r="1935" s="120" customFormat="1" x14ac:dyDescent="0.15"/>
    <row r="1936" s="120" customFormat="1" x14ac:dyDescent="0.15"/>
    <row r="1937" s="120" customFormat="1" x14ac:dyDescent="0.15"/>
    <row r="1938" s="120" customFormat="1" x14ac:dyDescent="0.15"/>
    <row r="1939" s="120" customFormat="1" x14ac:dyDescent="0.15"/>
    <row r="1940" s="120" customFormat="1" x14ac:dyDescent="0.15"/>
    <row r="1941" s="120" customFormat="1" x14ac:dyDescent="0.15"/>
    <row r="1942" s="120" customFormat="1" x14ac:dyDescent="0.15"/>
    <row r="1943" s="120" customFormat="1" x14ac:dyDescent="0.15"/>
    <row r="1944" s="120" customFormat="1" x14ac:dyDescent="0.15"/>
    <row r="1945" s="120" customFormat="1" x14ac:dyDescent="0.15"/>
    <row r="1946" s="120" customFormat="1" x14ac:dyDescent="0.15"/>
    <row r="1947" s="120" customFormat="1" x14ac:dyDescent="0.15"/>
    <row r="1948" s="120" customFormat="1" x14ac:dyDescent="0.15"/>
    <row r="1949" s="120" customFormat="1" x14ac:dyDescent="0.15"/>
    <row r="1950" s="120" customFormat="1" x14ac:dyDescent="0.15"/>
    <row r="1951" s="120" customFormat="1" x14ac:dyDescent="0.15"/>
    <row r="1952" s="120" customFormat="1" x14ac:dyDescent="0.15"/>
    <row r="1953" s="120" customFormat="1" x14ac:dyDescent="0.15"/>
    <row r="1954" s="120" customFormat="1" x14ac:dyDescent="0.15"/>
    <row r="1955" s="120" customFormat="1" x14ac:dyDescent="0.15"/>
    <row r="1956" s="120" customFormat="1" x14ac:dyDescent="0.15"/>
    <row r="1957" s="120" customFormat="1" x14ac:dyDescent="0.15"/>
    <row r="1958" s="120" customFormat="1" x14ac:dyDescent="0.15"/>
    <row r="1959" s="120" customFormat="1" x14ac:dyDescent="0.15"/>
    <row r="1960" s="120" customFormat="1" x14ac:dyDescent="0.15"/>
    <row r="1961" s="120" customFormat="1" x14ac:dyDescent="0.15"/>
    <row r="1962" s="120" customFormat="1" x14ac:dyDescent="0.15"/>
    <row r="1963" s="120" customFormat="1" x14ac:dyDescent="0.15"/>
    <row r="1964" s="120" customFormat="1" x14ac:dyDescent="0.15"/>
    <row r="1965" s="120" customFormat="1" x14ac:dyDescent="0.15"/>
    <row r="1966" s="120" customFormat="1" x14ac:dyDescent="0.15"/>
    <row r="1967" s="120" customFormat="1" x14ac:dyDescent="0.15"/>
    <row r="1968" s="120" customFormat="1" x14ac:dyDescent="0.15"/>
    <row r="1969" s="120" customFormat="1" x14ac:dyDescent="0.15"/>
    <row r="1970" s="120" customFormat="1" x14ac:dyDescent="0.15"/>
    <row r="1971" s="120" customFormat="1" x14ac:dyDescent="0.15"/>
    <row r="1972" s="120" customFormat="1" x14ac:dyDescent="0.15"/>
    <row r="1973" s="120" customFormat="1" x14ac:dyDescent="0.15"/>
    <row r="1974" s="120" customFormat="1" x14ac:dyDescent="0.15"/>
    <row r="1975" s="120" customFormat="1" x14ac:dyDescent="0.15"/>
    <row r="1976" s="120" customFormat="1" x14ac:dyDescent="0.15"/>
    <row r="1977" s="120" customFormat="1" x14ac:dyDescent="0.15"/>
    <row r="1978" s="120" customFormat="1" x14ac:dyDescent="0.15"/>
    <row r="1979" s="120" customFormat="1" x14ac:dyDescent="0.15"/>
    <row r="1980" s="120" customFormat="1" x14ac:dyDescent="0.15"/>
    <row r="1981" s="120" customFormat="1" x14ac:dyDescent="0.15"/>
    <row r="1982" s="120" customFormat="1" x14ac:dyDescent="0.15"/>
    <row r="1983" s="120" customFormat="1" x14ac:dyDescent="0.15"/>
    <row r="1984" s="120" customFormat="1" x14ac:dyDescent="0.15"/>
    <row r="1985" s="120" customFormat="1" x14ac:dyDescent="0.15"/>
    <row r="1986" s="120" customFormat="1" x14ac:dyDescent="0.15"/>
    <row r="1987" s="120" customFormat="1" x14ac:dyDescent="0.15"/>
    <row r="1988" s="120" customFormat="1" x14ac:dyDescent="0.15"/>
    <row r="1989" s="120" customFormat="1" x14ac:dyDescent="0.15"/>
    <row r="1990" s="120" customFormat="1" x14ac:dyDescent="0.15"/>
    <row r="1991" s="120" customFormat="1" x14ac:dyDescent="0.15"/>
    <row r="1992" s="120" customFormat="1" x14ac:dyDescent="0.15"/>
    <row r="1993" s="120" customFormat="1" x14ac:dyDescent="0.15"/>
    <row r="1994" s="120" customFormat="1" x14ac:dyDescent="0.15"/>
    <row r="1995" s="120" customFormat="1" x14ac:dyDescent="0.15"/>
    <row r="1996" s="120" customFormat="1" x14ac:dyDescent="0.15"/>
    <row r="1997" s="120" customFormat="1" x14ac:dyDescent="0.15"/>
    <row r="1998" s="120" customFormat="1" x14ac:dyDescent="0.15"/>
    <row r="1999" s="120" customFormat="1" x14ac:dyDescent="0.15"/>
    <row r="2000" s="120" customFormat="1" x14ac:dyDescent="0.15"/>
    <row r="2001" s="120" customFormat="1" x14ac:dyDescent="0.15"/>
    <row r="2002" s="120" customFormat="1" x14ac:dyDescent="0.15"/>
    <row r="2003" s="120" customFormat="1" x14ac:dyDescent="0.15"/>
    <row r="2004" s="120" customFormat="1" x14ac:dyDescent="0.15"/>
    <row r="2005" s="120" customFormat="1" x14ac:dyDescent="0.15"/>
    <row r="2006" s="120" customFormat="1" x14ac:dyDescent="0.15"/>
    <row r="2007" s="120" customFormat="1" x14ac:dyDescent="0.15"/>
    <row r="2008" s="120" customFormat="1" x14ac:dyDescent="0.15"/>
    <row r="2009" s="120" customFormat="1" x14ac:dyDescent="0.15"/>
    <row r="2010" s="120" customFormat="1" x14ac:dyDescent="0.15"/>
    <row r="2011" s="120" customFormat="1" x14ac:dyDescent="0.15"/>
    <row r="2012" s="120" customFormat="1" x14ac:dyDescent="0.15"/>
    <row r="2013" s="120" customFormat="1" x14ac:dyDescent="0.15"/>
    <row r="2014" s="120" customFormat="1" x14ac:dyDescent="0.15"/>
    <row r="2015" s="120" customFormat="1" x14ac:dyDescent="0.15"/>
    <row r="2016" s="120" customFormat="1" x14ac:dyDescent="0.15"/>
    <row r="2017" s="120" customFormat="1" x14ac:dyDescent="0.15"/>
    <row r="2018" s="120" customFormat="1" x14ac:dyDescent="0.15"/>
    <row r="2019" s="120" customFormat="1" x14ac:dyDescent="0.15"/>
    <row r="2020" s="120" customFormat="1" x14ac:dyDescent="0.15"/>
    <row r="2021" s="120" customFormat="1" x14ac:dyDescent="0.15"/>
    <row r="2022" s="120" customFormat="1" x14ac:dyDescent="0.15"/>
    <row r="2023" s="120" customFormat="1" x14ac:dyDescent="0.15"/>
    <row r="2024" s="120" customFormat="1" x14ac:dyDescent="0.15"/>
    <row r="2025" s="120" customFormat="1" x14ac:dyDescent="0.15"/>
    <row r="2026" s="120" customFormat="1" x14ac:dyDescent="0.15"/>
    <row r="2027" s="120" customFormat="1" x14ac:dyDescent="0.15"/>
    <row r="2028" s="120" customFormat="1" x14ac:dyDescent="0.15"/>
    <row r="2029" s="120" customFormat="1" x14ac:dyDescent="0.15"/>
    <row r="2030" s="120" customFormat="1" x14ac:dyDescent="0.15"/>
    <row r="2031" s="120" customFormat="1" x14ac:dyDescent="0.15"/>
    <row r="2032" s="120" customFormat="1" x14ac:dyDescent="0.15"/>
    <row r="2033" s="120" customFormat="1" x14ac:dyDescent="0.15"/>
    <row r="2034" s="120" customFormat="1" x14ac:dyDescent="0.15"/>
    <row r="2035" s="120" customFormat="1" x14ac:dyDescent="0.15"/>
    <row r="2036" s="120" customFormat="1" x14ac:dyDescent="0.15"/>
    <row r="2037" s="120" customFormat="1" x14ac:dyDescent="0.15"/>
    <row r="2038" s="120" customFormat="1" x14ac:dyDescent="0.15"/>
    <row r="2039" s="120" customFormat="1" x14ac:dyDescent="0.15"/>
    <row r="2040" s="120" customFormat="1" x14ac:dyDescent="0.15"/>
    <row r="2041" s="120" customFormat="1" x14ac:dyDescent="0.15"/>
    <row r="2042" s="120" customFormat="1" x14ac:dyDescent="0.15"/>
    <row r="2043" s="120" customFormat="1" x14ac:dyDescent="0.15"/>
    <row r="2044" s="120" customFormat="1" x14ac:dyDescent="0.15"/>
    <row r="2045" s="120" customFormat="1" x14ac:dyDescent="0.15"/>
    <row r="2046" s="120" customFormat="1" x14ac:dyDescent="0.15"/>
    <row r="2047" s="120" customFormat="1" x14ac:dyDescent="0.15"/>
    <row r="2048" s="120" customFormat="1" x14ac:dyDescent="0.15"/>
    <row r="2049" s="120" customFormat="1" x14ac:dyDescent="0.15"/>
    <row r="2050" s="120" customFormat="1" x14ac:dyDescent="0.15"/>
    <row r="2051" s="120" customFormat="1" x14ac:dyDescent="0.15"/>
    <row r="2052" s="120" customFormat="1" x14ac:dyDescent="0.15"/>
    <row r="2053" s="120" customFormat="1" x14ac:dyDescent="0.15"/>
    <row r="2054" s="120" customFormat="1" x14ac:dyDescent="0.15"/>
    <row r="2055" s="120" customFormat="1" x14ac:dyDescent="0.15"/>
    <row r="2056" s="120" customFormat="1" x14ac:dyDescent="0.15"/>
    <row r="2057" s="120" customFormat="1" x14ac:dyDescent="0.15"/>
    <row r="2058" s="120" customFormat="1" x14ac:dyDescent="0.15"/>
    <row r="2059" s="120" customFormat="1" x14ac:dyDescent="0.15"/>
    <row r="2060" s="120" customFormat="1" x14ac:dyDescent="0.15"/>
    <row r="2061" s="120" customFormat="1" x14ac:dyDescent="0.15"/>
    <row r="2062" s="120" customFormat="1" x14ac:dyDescent="0.15"/>
    <row r="2063" s="120" customFormat="1" x14ac:dyDescent="0.15"/>
    <row r="2064" s="120" customFormat="1" x14ac:dyDescent="0.15"/>
    <row r="2065" s="120" customFormat="1" x14ac:dyDescent="0.15"/>
    <row r="2066" s="120" customFormat="1" x14ac:dyDescent="0.15"/>
    <row r="2067" s="120" customFormat="1" x14ac:dyDescent="0.15"/>
    <row r="2068" s="120" customFormat="1" x14ac:dyDescent="0.15"/>
    <row r="2069" s="120" customFormat="1" x14ac:dyDescent="0.15"/>
    <row r="2070" s="120" customFormat="1" x14ac:dyDescent="0.15"/>
    <row r="2071" s="120" customFormat="1" x14ac:dyDescent="0.15"/>
    <row r="2072" s="120" customFormat="1" x14ac:dyDescent="0.15"/>
    <row r="2073" s="120" customFormat="1" x14ac:dyDescent="0.15"/>
    <row r="2074" s="120" customFormat="1" x14ac:dyDescent="0.15"/>
    <row r="2075" s="120" customFormat="1" x14ac:dyDescent="0.15"/>
    <row r="2076" s="120" customFormat="1" x14ac:dyDescent="0.15"/>
    <row r="2077" s="120" customFormat="1" x14ac:dyDescent="0.15"/>
    <row r="2078" s="120" customFormat="1" x14ac:dyDescent="0.15"/>
    <row r="2079" s="120" customFormat="1" x14ac:dyDescent="0.15"/>
    <row r="2080" s="120" customFormat="1" x14ac:dyDescent="0.15"/>
    <row r="2081" s="120" customFormat="1" x14ac:dyDescent="0.15"/>
    <row r="2082" s="120" customFormat="1" x14ac:dyDescent="0.15"/>
    <row r="2083" s="120" customFormat="1" x14ac:dyDescent="0.15"/>
    <row r="2084" s="120" customFormat="1" x14ac:dyDescent="0.15"/>
    <row r="2085" s="120" customFormat="1" x14ac:dyDescent="0.15"/>
    <row r="2086" s="120" customFormat="1" x14ac:dyDescent="0.15"/>
    <row r="2087" s="120" customFormat="1" x14ac:dyDescent="0.15"/>
    <row r="2088" s="120" customFormat="1" x14ac:dyDescent="0.15"/>
    <row r="2089" s="120" customFormat="1" x14ac:dyDescent="0.15"/>
    <row r="2090" s="120" customFormat="1" x14ac:dyDescent="0.15"/>
    <row r="2091" s="120" customFormat="1" x14ac:dyDescent="0.15"/>
    <row r="2092" s="120" customFormat="1" x14ac:dyDescent="0.15"/>
    <row r="2093" s="120" customFormat="1" x14ac:dyDescent="0.15"/>
    <row r="2094" s="120" customFormat="1" x14ac:dyDescent="0.15"/>
    <row r="2095" s="120" customFormat="1" x14ac:dyDescent="0.15"/>
    <row r="2096" s="120" customFormat="1" x14ac:dyDescent="0.15"/>
    <row r="2097" s="120" customFormat="1" x14ac:dyDescent="0.15"/>
    <row r="2098" s="120" customFormat="1" x14ac:dyDescent="0.15"/>
    <row r="2099" s="120" customFormat="1" x14ac:dyDescent="0.15"/>
    <row r="2100" s="120" customFormat="1" x14ac:dyDescent="0.15"/>
    <row r="2101" s="120" customFormat="1" x14ac:dyDescent="0.15"/>
    <row r="2102" s="120" customFormat="1" x14ac:dyDescent="0.15"/>
    <row r="2103" s="120" customFormat="1" x14ac:dyDescent="0.15"/>
    <row r="2104" s="120" customFormat="1" x14ac:dyDescent="0.15"/>
    <row r="2105" s="120" customFormat="1" x14ac:dyDescent="0.15"/>
    <row r="2106" s="120" customFormat="1" x14ac:dyDescent="0.15"/>
    <row r="2107" s="120" customFormat="1" x14ac:dyDescent="0.15"/>
    <row r="2108" s="120" customFormat="1" x14ac:dyDescent="0.15"/>
    <row r="2109" s="120" customFormat="1" x14ac:dyDescent="0.15"/>
    <row r="2110" s="120" customFormat="1" x14ac:dyDescent="0.15"/>
    <row r="2111" s="120" customFormat="1" x14ac:dyDescent="0.15"/>
    <row r="2112" s="120" customFormat="1" x14ac:dyDescent="0.15"/>
    <row r="2113" s="120" customFormat="1" x14ac:dyDescent="0.15"/>
    <row r="2114" s="120" customFormat="1" x14ac:dyDescent="0.15"/>
    <row r="2115" s="120" customFormat="1" x14ac:dyDescent="0.15"/>
    <row r="2116" s="120" customFormat="1" x14ac:dyDescent="0.15"/>
    <row r="2117" s="120" customFormat="1" x14ac:dyDescent="0.15"/>
    <row r="2118" s="120" customFormat="1" x14ac:dyDescent="0.15"/>
    <row r="2119" s="120" customFormat="1" x14ac:dyDescent="0.15"/>
    <row r="2120" s="120" customFormat="1" x14ac:dyDescent="0.15"/>
    <row r="2121" s="120" customFormat="1" x14ac:dyDescent="0.15"/>
    <row r="2122" s="120" customFormat="1" x14ac:dyDescent="0.15"/>
    <row r="2123" s="120" customFormat="1" x14ac:dyDescent="0.15"/>
    <row r="2124" s="120" customFormat="1" x14ac:dyDescent="0.15"/>
    <row r="2125" s="120" customFormat="1" x14ac:dyDescent="0.15"/>
    <row r="2126" s="120" customFormat="1" x14ac:dyDescent="0.15"/>
    <row r="2127" s="120" customFormat="1" x14ac:dyDescent="0.15"/>
    <row r="2128" s="120" customFormat="1" x14ac:dyDescent="0.15"/>
    <row r="2129" s="120" customFormat="1" x14ac:dyDescent="0.15"/>
    <row r="2130" s="120" customFormat="1" x14ac:dyDescent="0.15"/>
    <row r="2131" s="120" customFormat="1" x14ac:dyDescent="0.15"/>
    <row r="2132" s="120" customFormat="1" x14ac:dyDescent="0.15"/>
    <row r="2133" s="120" customFormat="1" x14ac:dyDescent="0.15"/>
    <row r="2134" s="120" customFormat="1" x14ac:dyDescent="0.15"/>
    <row r="2135" s="120" customFormat="1" x14ac:dyDescent="0.15"/>
    <row r="2136" s="120" customFormat="1" x14ac:dyDescent="0.15"/>
    <row r="2137" s="120" customFormat="1" x14ac:dyDescent="0.15"/>
    <row r="2138" s="120" customFormat="1" x14ac:dyDescent="0.15"/>
    <row r="2139" s="120" customFormat="1" x14ac:dyDescent="0.15"/>
    <row r="2140" s="120" customFormat="1" x14ac:dyDescent="0.15"/>
    <row r="2141" s="120" customFormat="1" x14ac:dyDescent="0.15"/>
    <row r="2142" s="120" customFormat="1" x14ac:dyDescent="0.15"/>
    <row r="2143" s="120" customFormat="1" x14ac:dyDescent="0.15"/>
    <row r="2144" s="120" customFormat="1" x14ac:dyDescent="0.15"/>
    <row r="2145" s="120" customFormat="1" x14ac:dyDescent="0.15"/>
    <row r="2146" s="120" customFormat="1" x14ac:dyDescent="0.15"/>
    <row r="2147" s="120" customFormat="1" x14ac:dyDescent="0.15"/>
    <row r="2148" s="120" customFormat="1" x14ac:dyDescent="0.15"/>
    <row r="2149" s="120" customFormat="1" x14ac:dyDescent="0.15"/>
    <row r="2150" s="120" customFormat="1" x14ac:dyDescent="0.15"/>
    <row r="2151" s="120" customFormat="1" x14ac:dyDescent="0.15"/>
    <row r="2152" s="120" customFormat="1" x14ac:dyDescent="0.15"/>
    <row r="2153" s="120" customFormat="1" x14ac:dyDescent="0.15"/>
    <row r="2154" s="120" customFormat="1" x14ac:dyDescent="0.15"/>
    <row r="2155" s="120" customFormat="1" x14ac:dyDescent="0.15"/>
    <row r="2156" s="120" customFormat="1" x14ac:dyDescent="0.15"/>
    <row r="2157" s="120" customFormat="1" x14ac:dyDescent="0.15"/>
    <row r="2158" s="120" customFormat="1" x14ac:dyDescent="0.15"/>
    <row r="2159" s="120" customFormat="1" x14ac:dyDescent="0.15"/>
    <row r="2160" s="120" customFormat="1" x14ac:dyDescent="0.15"/>
    <row r="2161" s="120" customFormat="1" x14ac:dyDescent="0.15"/>
    <row r="2162" s="120" customFormat="1" x14ac:dyDescent="0.15"/>
    <row r="2163" s="120" customFormat="1" x14ac:dyDescent="0.15"/>
    <row r="2164" s="120" customFormat="1" x14ac:dyDescent="0.15"/>
    <row r="2165" s="120" customFormat="1" x14ac:dyDescent="0.15"/>
    <row r="2166" s="120" customFormat="1" x14ac:dyDescent="0.15"/>
    <row r="2167" s="120" customFormat="1" x14ac:dyDescent="0.15"/>
    <row r="2168" s="120" customFormat="1" x14ac:dyDescent="0.15"/>
    <row r="2169" s="120" customFormat="1" x14ac:dyDescent="0.15"/>
    <row r="2170" s="120" customFormat="1" x14ac:dyDescent="0.15"/>
    <row r="2171" s="120" customFormat="1" x14ac:dyDescent="0.15"/>
    <row r="2172" s="120" customFormat="1" x14ac:dyDescent="0.15"/>
    <row r="2173" s="120" customFormat="1" x14ac:dyDescent="0.15"/>
    <row r="2174" s="120" customFormat="1" x14ac:dyDescent="0.15"/>
    <row r="2175" s="120" customFormat="1" x14ac:dyDescent="0.15"/>
    <row r="2176" s="120" customFormat="1" x14ac:dyDescent="0.15"/>
    <row r="2177" s="120" customFormat="1" x14ac:dyDescent="0.15"/>
    <row r="2178" s="120" customFormat="1" x14ac:dyDescent="0.15"/>
    <row r="2179" s="120" customFormat="1" x14ac:dyDescent="0.15"/>
    <row r="2180" s="120" customFormat="1" x14ac:dyDescent="0.15"/>
    <row r="2181" s="120" customFormat="1" x14ac:dyDescent="0.15"/>
    <row r="2182" s="120" customFormat="1" x14ac:dyDescent="0.15"/>
    <row r="2183" s="120" customFormat="1" x14ac:dyDescent="0.15"/>
    <row r="2184" s="120" customFormat="1" x14ac:dyDescent="0.15"/>
    <row r="2185" s="120" customFormat="1" x14ac:dyDescent="0.15"/>
    <row r="2186" s="120" customFormat="1" x14ac:dyDescent="0.15"/>
    <row r="2187" s="120" customFormat="1" x14ac:dyDescent="0.15"/>
    <row r="2188" s="120" customFormat="1" x14ac:dyDescent="0.15"/>
    <row r="2189" s="120" customFormat="1" x14ac:dyDescent="0.15"/>
    <row r="2190" s="120" customFormat="1" x14ac:dyDescent="0.15"/>
    <row r="2191" s="120" customFormat="1" x14ac:dyDescent="0.15"/>
    <row r="2192" s="120" customFormat="1" x14ac:dyDescent="0.15"/>
    <row r="2193" s="120" customFormat="1" x14ac:dyDescent="0.15"/>
    <row r="2194" s="120" customFormat="1" x14ac:dyDescent="0.15"/>
    <row r="2195" s="120" customFormat="1" x14ac:dyDescent="0.15"/>
    <row r="2196" s="120" customFormat="1" x14ac:dyDescent="0.15"/>
    <row r="2197" s="120" customFormat="1" x14ac:dyDescent="0.15"/>
    <row r="2198" s="120" customFormat="1" x14ac:dyDescent="0.15"/>
    <row r="2199" s="120" customFormat="1" x14ac:dyDescent="0.15"/>
    <row r="2200" s="120" customFormat="1" x14ac:dyDescent="0.15"/>
    <row r="2201" s="120" customFormat="1" x14ac:dyDescent="0.15"/>
    <row r="2202" s="120" customFormat="1" x14ac:dyDescent="0.15"/>
    <row r="2203" s="120" customFormat="1" x14ac:dyDescent="0.15"/>
    <row r="2204" s="120" customFormat="1" x14ac:dyDescent="0.15"/>
    <row r="2205" s="120" customFormat="1" x14ac:dyDescent="0.15"/>
    <row r="2206" s="120" customFormat="1" x14ac:dyDescent="0.15"/>
    <row r="2207" s="120" customFormat="1" x14ac:dyDescent="0.15"/>
    <row r="2208" s="120" customFormat="1" x14ac:dyDescent="0.15"/>
    <row r="2209" s="120" customFormat="1" x14ac:dyDescent="0.15"/>
    <row r="2210" s="120" customFormat="1" x14ac:dyDescent="0.15"/>
    <row r="2211" s="120" customFormat="1" x14ac:dyDescent="0.15"/>
    <row r="2212" s="120" customFormat="1" x14ac:dyDescent="0.15"/>
    <row r="2213" s="120" customFormat="1" x14ac:dyDescent="0.15"/>
    <row r="2214" s="120" customFormat="1" x14ac:dyDescent="0.15"/>
    <row r="2215" s="120" customFormat="1" x14ac:dyDescent="0.15"/>
    <row r="2216" s="120" customFormat="1" x14ac:dyDescent="0.15"/>
    <row r="2217" s="120" customFormat="1" x14ac:dyDescent="0.15"/>
    <row r="2218" s="120" customFormat="1" x14ac:dyDescent="0.15"/>
    <row r="2219" s="120" customFormat="1" x14ac:dyDescent="0.15"/>
    <row r="2220" s="120" customFormat="1" x14ac:dyDescent="0.15"/>
    <row r="2221" s="120" customFormat="1" x14ac:dyDescent="0.15"/>
    <row r="2222" s="120" customFormat="1" x14ac:dyDescent="0.15"/>
    <row r="2223" s="120" customFormat="1" x14ac:dyDescent="0.15"/>
    <row r="2224" s="120" customFormat="1" x14ac:dyDescent="0.15"/>
    <row r="2225" s="120" customFormat="1" x14ac:dyDescent="0.15"/>
    <row r="2226" s="120" customFormat="1" x14ac:dyDescent="0.15"/>
    <row r="2227" s="120" customFormat="1" x14ac:dyDescent="0.15"/>
    <row r="2228" s="120" customFormat="1" x14ac:dyDescent="0.15"/>
    <row r="2229" s="120" customFormat="1" x14ac:dyDescent="0.15"/>
    <row r="2230" s="120" customFormat="1" x14ac:dyDescent="0.15"/>
    <row r="2231" s="120" customFormat="1" x14ac:dyDescent="0.15"/>
    <row r="2232" s="120" customFormat="1" x14ac:dyDescent="0.15"/>
    <row r="2233" s="120" customFormat="1" x14ac:dyDescent="0.15"/>
    <row r="2234" s="120" customFormat="1" x14ac:dyDescent="0.15"/>
    <row r="2235" s="120" customFormat="1" x14ac:dyDescent="0.15"/>
    <row r="2236" s="120" customFormat="1" x14ac:dyDescent="0.15"/>
    <row r="2237" s="120" customFormat="1" x14ac:dyDescent="0.15"/>
    <row r="2238" s="120" customFormat="1" x14ac:dyDescent="0.15"/>
    <row r="2239" s="120" customFormat="1" x14ac:dyDescent="0.15"/>
    <row r="2240" s="120" customFormat="1" x14ac:dyDescent="0.15"/>
    <row r="2241" s="120" customFormat="1" x14ac:dyDescent="0.15"/>
    <row r="2242" s="120" customFormat="1" x14ac:dyDescent="0.15"/>
    <row r="2243" s="120" customFormat="1" x14ac:dyDescent="0.15"/>
    <row r="2244" s="120" customFormat="1" x14ac:dyDescent="0.15"/>
    <row r="2245" s="120" customFormat="1" x14ac:dyDescent="0.15"/>
    <row r="2246" s="120" customFormat="1" x14ac:dyDescent="0.15"/>
    <row r="2247" s="120" customFormat="1" x14ac:dyDescent="0.15"/>
    <row r="2248" s="120" customFormat="1" x14ac:dyDescent="0.15"/>
    <row r="2249" s="120" customFormat="1" x14ac:dyDescent="0.15"/>
    <row r="2250" s="120" customFormat="1" x14ac:dyDescent="0.15"/>
    <row r="2251" s="120" customFormat="1" x14ac:dyDescent="0.15"/>
    <row r="2252" s="120" customFormat="1" x14ac:dyDescent="0.15"/>
    <row r="2253" s="120" customFormat="1" x14ac:dyDescent="0.15"/>
    <row r="2254" s="120" customFormat="1" x14ac:dyDescent="0.15"/>
    <row r="2255" s="120" customFormat="1" x14ac:dyDescent="0.15"/>
    <row r="2256" s="120" customFormat="1" x14ac:dyDescent="0.15"/>
    <row r="2257" s="120" customFormat="1" x14ac:dyDescent="0.15"/>
    <row r="2258" s="120" customFormat="1" x14ac:dyDescent="0.15"/>
    <row r="2259" s="120" customFormat="1" x14ac:dyDescent="0.15"/>
    <row r="2260" s="120" customFormat="1" x14ac:dyDescent="0.15"/>
    <row r="2261" s="120" customFormat="1" x14ac:dyDescent="0.15"/>
    <row r="2262" s="120" customFormat="1" x14ac:dyDescent="0.15"/>
    <row r="2263" s="120" customFormat="1" x14ac:dyDescent="0.15"/>
    <row r="2264" s="120" customFormat="1" x14ac:dyDescent="0.15"/>
    <row r="2265" s="120" customFormat="1" x14ac:dyDescent="0.15"/>
    <row r="2266" s="120" customFormat="1" x14ac:dyDescent="0.15"/>
    <row r="2267" s="120" customFormat="1" x14ac:dyDescent="0.15"/>
    <row r="2268" s="120" customFormat="1" x14ac:dyDescent="0.15"/>
    <row r="2269" s="120" customFormat="1" x14ac:dyDescent="0.15"/>
    <row r="2270" s="120" customFormat="1" x14ac:dyDescent="0.15"/>
    <row r="2271" s="120" customFormat="1" x14ac:dyDescent="0.15"/>
    <row r="2272" s="120" customFormat="1" x14ac:dyDescent="0.15"/>
    <row r="2273" s="120" customFormat="1" x14ac:dyDescent="0.15"/>
    <row r="2274" s="120" customFormat="1" x14ac:dyDescent="0.15"/>
    <row r="2275" s="120" customFormat="1" x14ac:dyDescent="0.15"/>
    <row r="2276" s="120" customFormat="1" x14ac:dyDescent="0.15"/>
    <row r="2277" s="120" customFormat="1" x14ac:dyDescent="0.15"/>
    <row r="2278" s="120" customFormat="1" x14ac:dyDescent="0.15"/>
    <row r="2279" s="120" customFormat="1" x14ac:dyDescent="0.15"/>
    <row r="2280" s="120" customFormat="1" x14ac:dyDescent="0.15"/>
    <row r="2281" s="120" customFormat="1" x14ac:dyDescent="0.15"/>
    <row r="2282" s="120" customFormat="1" x14ac:dyDescent="0.15"/>
    <row r="2283" s="120" customFormat="1" x14ac:dyDescent="0.15"/>
    <row r="2284" s="120" customFormat="1" x14ac:dyDescent="0.15"/>
    <row r="2285" s="120" customFormat="1" x14ac:dyDescent="0.15"/>
    <row r="2286" s="120" customFormat="1" x14ac:dyDescent="0.15"/>
    <row r="2287" s="120" customFormat="1" x14ac:dyDescent="0.15"/>
    <row r="2288" s="120" customFormat="1" x14ac:dyDescent="0.15"/>
    <row r="2289" s="120" customFormat="1" x14ac:dyDescent="0.15"/>
    <row r="2290" s="120" customFormat="1" x14ac:dyDescent="0.15"/>
    <row r="2291" s="120" customFormat="1" x14ac:dyDescent="0.15"/>
    <row r="2292" s="120" customFormat="1" x14ac:dyDescent="0.15"/>
    <row r="2293" s="120" customFormat="1" x14ac:dyDescent="0.15"/>
    <row r="2294" s="120" customFormat="1" x14ac:dyDescent="0.15"/>
    <row r="2295" s="120" customFormat="1" x14ac:dyDescent="0.15"/>
    <row r="2296" s="120" customFormat="1" x14ac:dyDescent="0.15"/>
    <row r="2297" s="120" customFormat="1" x14ac:dyDescent="0.15"/>
    <row r="2298" s="120" customFormat="1" x14ac:dyDescent="0.15"/>
    <row r="2299" s="120" customFormat="1" x14ac:dyDescent="0.15"/>
    <row r="2300" s="120" customFormat="1" x14ac:dyDescent="0.15"/>
    <row r="2301" s="120" customFormat="1" x14ac:dyDescent="0.15"/>
    <row r="2302" s="120" customFormat="1" x14ac:dyDescent="0.15"/>
    <row r="2303" s="120" customFormat="1" x14ac:dyDescent="0.15"/>
    <row r="2304" s="120" customFormat="1" x14ac:dyDescent="0.15"/>
    <row r="2305" s="120" customFormat="1" x14ac:dyDescent="0.15"/>
    <row r="2306" s="120" customFormat="1" x14ac:dyDescent="0.15"/>
    <row r="2307" s="120" customFormat="1" x14ac:dyDescent="0.15"/>
    <row r="2308" s="120" customFormat="1" x14ac:dyDescent="0.15"/>
    <row r="2309" s="120" customFormat="1" x14ac:dyDescent="0.15"/>
    <row r="2310" s="120" customFormat="1" x14ac:dyDescent="0.15"/>
    <row r="2311" s="120" customFormat="1" x14ac:dyDescent="0.15"/>
    <row r="2312" s="120" customFormat="1" x14ac:dyDescent="0.15"/>
    <row r="2313" s="120" customFormat="1" x14ac:dyDescent="0.15"/>
    <row r="2314" s="120" customFormat="1" x14ac:dyDescent="0.15"/>
    <row r="2315" s="120" customFormat="1" x14ac:dyDescent="0.15"/>
    <row r="2316" s="120" customFormat="1" x14ac:dyDescent="0.15"/>
    <row r="2317" s="120" customFormat="1" x14ac:dyDescent="0.15"/>
    <row r="2318" s="120" customFormat="1" x14ac:dyDescent="0.15"/>
    <row r="2319" s="120" customFormat="1" x14ac:dyDescent="0.15"/>
    <row r="2320" s="120" customFormat="1" x14ac:dyDescent="0.15"/>
    <row r="2321" s="120" customFormat="1" x14ac:dyDescent="0.15"/>
    <row r="2322" s="120" customFormat="1" x14ac:dyDescent="0.15"/>
    <row r="2323" s="120" customFormat="1" x14ac:dyDescent="0.15"/>
    <row r="2324" s="120" customFormat="1" x14ac:dyDescent="0.15"/>
    <row r="2325" s="120" customFormat="1" x14ac:dyDescent="0.15"/>
    <row r="2326" s="120" customFormat="1" x14ac:dyDescent="0.15"/>
    <row r="2327" s="120" customFormat="1" x14ac:dyDescent="0.15"/>
    <row r="2328" s="120" customFormat="1" x14ac:dyDescent="0.15"/>
    <row r="2329" s="120" customFormat="1" x14ac:dyDescent="0.15"/>
    <row r="2330" s="120" customFormat="1" x14ac:dyDescent="0.15"/>
    <row r="2331" s="120" customFormat="1" x14ac:dyDescent="0.15"/>
    <row r="2332" s="120" customFormat="1" x14ac:dyDescent="0.15"/>
    <row r="2333" s="120" customFormat="1" x14ac:dyDescent="0.15"/>
    <row r="2334" s="120" customFormat="1" x14ac:dyDescent="0.15"/>
    <row r="2335" s="120" customFormat="1" x14ac:dyDescent="0.15"/>
    <row r="2336" s="120" customFormat="1" x14ac:dyDescent="0.15"/>
    <row r="2337" s="120" customFormat="1" x14ac:dyDescent="0.15"/>
    <row r="2338" s="120" customFormat="1" x14ac:dyDescent="0.15"/>
    <row r="2339" s="120" customFormat="1" x14ac:dyDescent="0.15"/>
    <row r="2340" s="120" customFormat="1" x14ac:dyDescent="0.15"/>
    <row r="2341" s="120" customFormat="1" x14ac:dyDescent="0.15"/>
    <row r="2342" s="120" customFormat="1" x14ac:dyDescent="0.15"/>
    <row r="2343" s="120" customFormat="1" x14ac:dyDescent="0.15"/>
    <row r="2344" s="120" customFormat="1" x14ac:dyDescent="0.15"/>
    <row r="2345" s="120" customFormat="1" x14ac:dyDescent="0.15"/>
    <row r="2346" s="120" customFormat="1" x14ac:dyDescent="0.15"/>
    <row r="2347" s="120" customFormat="1" x14ac:dyDescent="0.15"/>
    <row r="2348" s="120" customFormat="1" x14ac:dyDescent="0.15"/>
    <row r="2349" s="120" customFormat="1" x14ac:dyDescent="0.15"/>
    <row r="2350" s="120" customFormat="1" x14ac:dyDescent="0.15"/>
    <row r="2351" s="120" customFormat="1" x14ac:dyDescent="0.15"/>
    <row r="2352" s="120" customFormat="1" x14ac:dyDescent="0.15"/>
    <row r="2353" s="120" customFormat="1" x14ac:dyDescent="0.15"/>
    <row r="2354" s="120" customFormat="1" x14ac:dyDescent="0.15"/>
    <row r="2355" s="120" customFormat="1" x14ac:dyDescent="0.15"/>
    <row r="2356" s="120" customFormat="1" x14ac:dyDescent="0.15"/>
    <row r="2357" s="120" customFormat="1" x14ac:dyDescent="0.15"/>
    <row r="2358" s="120" customFormat="1" x14ac:dyDescent="0.15"/>
    <row r="2359" s="120" customFormat="1" x14ac:dyDescent="0.15"/>
    <row r="2360" s="120" customFormat="1" x14ac:dyDescent="0.15"/>
    <row r="2361" s="120" customFormat="1" x14ac:dyDescent="0.15"/>
    <row r="2362" s="120" customFormat="1" x14ac:dyDescent="0.15"/>
    <row r="2363" s="120" customFormat="1" x14ac:dyDescent="0.15"/>
    <row r="2364" s="120" customFormat="1" x14ac:dyDescent="0.15"/>
    <row r="2365" s="120" customFormat="1" x14ac:dyDescent="0.15"/>
    <row r="2366" s="120" customFormat="1" x14ac:dyDescent="0.15"/>
    <row r="2367" s="120" customFormat="1" x14ac:dyDescent="0.15"/>
    <row r="2368" s="120" customFormat="1" x14ac:dyDescent="0.15"/>
    <row r="2369" s="120" customFormat="1" x14ac:dyDescent="0.15"/>
    <row r="2370" s="120" customFormat="1" x14ac:dyDescent="0.15"/>
    <row r="2371" s="120" customFormat="1" x14ac:dyDescent="0.15"/>
    <row r="2372" s="120" customFormat="1" x14ac:dyDescent="0.15"/>
    <row r="2373" s="120" customFormat="1" x14ac:dyDescent="0.15"/>
    <row r="2374" s="120" customFormat="1" x14ac:dyDescent="0.15"/>
    <row r="2375" s="120" customFormat="1" x14ac:dyDescent="0.15"/>
    <row r="2376" s="120" customFormat="1" x14ac:dyDescent="0.15"/>
    <row r="2377" s="120" customFormat="1" x14ac:dyDescent="0.15"/>
    <row r="2378" s="120" customFormat="1" x14ac:dyDescent="0.15"/>
    <row r="2379" s="120" customFormat="1" x14ac:dyDescent="0.15"/>
    <row r="2380" s="120" customFormat="1" x14ac:dyDescent="0.15"/>
    <row r="2381" s="120" customFormat="1" x14ac:dyDescent="0.15"/>
    <row r="2382" s="120" customFormat="1" x14ac:dyDescent="0.15"/>
    <row r="2383" s="120" customFormat="1" x14ac:dyDescent="0.15"/>
    <row r="2384" s="120" customFormat="1" x14ac:dyDescent="0.15"/>
    <row r="2385" s="120" customFormat="1" x14ac:dyDescent="0.15"/>
    <row r="2386" s="120" customFormat="1" x14ac:dyDescent="0.15"/>
    <row r="2387" s="120" customFormat="1" x14ac:dyDescent="0.15"/>
    <row r="2388" s="120" customFormat="1" x14ac:dyDescent="0.15"/>
    <row r="2389" s="120" customFormat="1" x14ac:dyDescent="0.15"/>
    <row r="2390" s="120" customFormat="1" x14ac:dyDescent="0.15"/>
    <row r="2391" s="120" customFormat="1" x14ac:dyDescent="0.15"/>
    <row r="2392" s="120" customFormat="1" x14ac:dyDescent="0.15"/>
    <row r="2393" s="120" customFormat="1" x14ac:dyDescent="0.15"/>
    <row r="2394" s="120" customFormat="1" x14ac:dyDescent="0.15"/>
    <row r="2395" s="120" customFormat="1" x14ac:dyDescent="0.15"/>
    <row r="2396" s="120" customFormat="1" x14ac:dyDescent="0.15"/>
    <row r="2397" s="120" customFormat="1" x14ac:dyDescent="0.15"/>
    <row r="2398" s="120" customFormat="1" x14ac:dyDescent="0.15"/>
    <row r="2399" s="120" customFormat="1" x14ac:dyDescent="0.15"/>
    <row r="2400" s="120" customFormat="1" x14ac:dyDescent="0.15"/>
    <row r="2401" s="120" customFormat="1" x14ac:dyDescent="0.15"/>
    <row r="2402" s="120" customFormat="1" x14ac:dyDescent="0.15"/>
    <row r="2403" s="120" customFormat="1" x14ac:dyDescent="0.15"/>
    <row r="2404" s="120" customFormat="1" x14ac:dyDescent="0.15"/>
    <row r="2405" s="120" customFormat="1" x14ac:dyDescent="0.15"/>
    <row r="2406" s="120" customFormat="1" x14ac:dyDescent="0.15"/>
    <row r="2407" s="120" customFormat="1" x14ac:dyDescent="0.15"/>
    <row r="2408" s="120" customFormat="1" x14ac:dyDescent="0.15"/>
    <row r="2409" s="120" customFormat="1" x14ac:dyDescent="0.15"/>
    <row r="2410" s="120" customFormat="1" x14ac:dyDescent="0.15"/>
    <row r="2411" s="120" customFormat="1" x14ac:dyDescent="0.15"/>
    <row r="2412" s="120" customFormat="1" x14ac:dyDescent="0.15"/>
    <row r="2413" s="120" customFormat="1" x14ac:dyDescent="0.15"/>
    <row r="2414" s="120" customFormat="1" x14ac:dyDescent="0.15"/>
    <row r="2415" s="120" customFormat="1" x14ac:dyDescent="0.15"/>
    <row r="2416" s="120" customFormat="1" x14ac:dyDescent="0.15"/>
    <row r="2417" s="120" customFormat="1" x14ac:dyDescent="0.15"/>
    <row r="2418" s="120" customFormat="1" x14ac:dyDescent="0.15"/>
    <row r="2419" s="120" customFormat="1" x14ac:dyDescent="0.15"/>
    <row r="2420" s="120" customFormat="1" x14ac:dyDescent="0.15"/>
    <row r="2421" s="120" customFormat="1" x14ac:dyDescent="0.15"/>
    <row r="2422" s="120" customFormat="1" x14ac:dyDescent="0.15"/>
    <row r="2423" s="120" customFormat="1" x14ac:dyDescent="0.15"/>
    <row r="2424" s="120" customFormat="1" x14ac:dyDescent="0.15"/>
    <row r="2425" s="120" customFormat="1" x14ac:dyDescent="0.15"/>
    <row r="2426" s="120" customFormat="1" x14ac:dyDescent="0.15"/>
    <row r="2427" s="120" customFormat="1" x14ac:dyDescent="0.15"/>
    <row r="2428" s="120" customFormat="1" x14ac:dyDescent="0.15"/>
    <row r="2429" s="120" customFormat="1" x14ac:dyDescent="0.15"/>
    <row r="2430" s="120" customFormat="1" x14ac:dyDescent="0.15"/>
    <row r="2431" s="120" customFormat="1" x14ac:dyDescent="0.15"/>
    <row r="2432" s="120" customFormat="1" x14ac:dyDescent="0.15"/>
    <row r="2433" s="120" customFormat="1" x14ac:dyDescent="0.15"/>
    <row r="2434" s="120" customFormat="1" x14ac:dyDescent="0.15"/>
    <row r="2435" s="120" customFormat="1" x14ac:dyDescent="0.15"/>
    <row r="2436" s="120" customFormat="1" x14ac:dyDescent="0.15"/>
    <row r="2437" s="120" customFormat="1" x14ac:dyDescent="0.15"/>
    <row r="2438" s="120" customFormat="1" x14ac:dyDescent="0.15"/>
    <row r="2439" s="120" customFormat="1" x14ac:dyDescent="0.15"/>
    <row r="2440" s="120" customFormat="1" x14ac:dyDescent="0.15"/>
    <row r="2441" s="120" customFormat="1" x14ac:dyDescent="0.15"/>
    <row r="2442" s="120" customFormat="1" x14ac:dyDescent="0.15"/>
    <row r="2443" s="120" customFormat="1" x14ac:dyDescent="0.15"/>
    <row r="2444" s="120" customFormat="1" x14ac:dyDescent="0.15"/>
    <row r="2445" s="120" customFormat="1" x14ac:dyDescent="0.15"/>
    <row r="2446" s="120" customFormat="1" x14ac:dyDescent="0.15"/>
    <row r="2447" s="120" customFormat="1" x14ac:dyDescent="0.15"/>
    <row r="2448" s="120" customFormat="1" x14ac:dyDescent="0.15"/>
    <row r="2449" s="120" customFormat="1" x14ac:dyDescent="0.15"/>
    <row r="2450" s="120" customFormat="1" x14ac:dyDescent="0.15"/>
    <row r="2451" s="120" customFormat="1" x14ac:dyDescent="0.15"/>
    <row r="2452" s="120" customFormat="1" x14ac:dyDescent="0.15"/>
    <row r="2453" s="120" customFormat="1" x14ac:dyDescent="0.15"/>
    <row r="2454" s="120" customFormat="1" x14ac:dyDescent="0.15"/>
    <row r="2455" s="120" customFormat="1" x14ac:dyDescent="0.15"/>
    <row r="2456" s="120" customFormat="1" x14ac:dyDescent="0.15"/>
    <row r="2457" s="120" customFormat="1" x14ac:dyDescent="0.15"/>
    <row r="2458" s="120" customFormat="1" x14ac:dyDescent="0.15"/>
    <row r="2459" s="120" customFormat="1" x14ac:dyDescent="0.15"/>
    <row r="2460" s="120" customFormat="1" x14ac:dyDescent="0.15"/>
    <row r="2461" s="120" customFormat="1" x14ac:dyDescent="0.15"/>
    <row r="2462" s="120" customFormat="1" x14ac:dyDescent="0.15"/>
    <row r="2463" s="120" customFormat="1" x14ac:dyDescent="0.15"/>
    <row r="2464" s="120" customFormat="1" x14ac:dyDescent="0.15"/>
    <row r="2465" s="120" customFormat="1" x14ac:dyDescent="0.15"/>
    <row r="2466" s="120" customFormat="1" x14ac:dyDescent="0.15"/>
    <row r="2467" s="120" customFormat="1" x14ac:dyDescent="0.15"/>
    <row r="2468" s="120" customFormat="1" x14ac:dyDescent="0.15"/>
    <row r="2469" s="120" customFormat="1" x14ac:dyDescent="0.15"/>
    <row r="2470" s="120" customFormat="1" x14ac:dyDescent="0.15"/>
    <row r="2471" s="120" customFormat="1" x14ac:dyDescent="0.15"/>
    <row r="2472" s="120" customFormat="1" x14ac:dyDescent="0.15"/>
    <row r="2473" s="120" customFormat="1" x14ac:dyDescent="0.15"/>
    <row r="2474" s="120" customFormat="1" x14ac:dyDescent="0.15"/>
    <row r="2475" s="120" customFormat="1" x14ac:dyDescent="0.15"/>
    <row r="2476" s="120" customFormat="1" x14ac:dyDescent="0.15"/>
    <row r="2477" s="120" customFormat="1" x14ac:dyDescent="0.15"/>
    <row r="2478" s="120" customFormat="1" x14ac:dyDescent="0.15"/>
    <row r="2479" s="120" customFormat="1" x14ac:dyDescent="0.15"/>
    <row r="2480" s="120" customFormat="1" x14ac:dyDescent="0.15"/>
    <row r="2481" s="120" customFormat="1" x14ac:dyDescent="0.15"/>
    <row r="2482" s="120" customFormat="1" x14ac:dyDescent="0.15"/>
    <row r="2483" s="120" customFormat="1" x14ac:dyDescent="0.15"/>
    <row r="2484" s="120" customFormat="1" x14ac:dyDescent="0.15"/>
    <row r="2485" s="120" customFormat="1" x14ac:dyDescent="0.15"/>
    <row r="2486" s="120" customFormat="1" x14ac:dyDescent="0.15"/>
    <row r="2487" s="120" customFormat="1" x14ac:dyDescent="0.15"/>
    <row r="2488" s="120" customFormat="1" x14ac:dyDescent="0.15"/>
    <row r="2489" s="120" customFormat="1" x14ac:dyDescent="0.15"/>
    <row r="2490" s="120" customFormat="1" x14ac:dyDescent="0.15"/>
    <row r="2491" s="120" customFormat="1" x14ac:dyDescent="0.15"/>
    <row r="2492" s="120" customFormat="1" x14ac:dyDescent="0.15"/>
    <row r="2493" s="120" customFormat="1" x14ac:dyDescent="0.15"/>
    <row r="2494" s="120" customFormat="1" x14ac:dyDescent="0.15"/>
    <row r="2495" s="120" customFormat="1" x14ac:dyDescent="0.15"/>
    <row r="2496" s="120" customFormat="1" x14ac:dyDescent="0.15"/>
    <row r="2497" s="120" customFormat="1" x14ac:dyDescent="0.15"/>
    <row r="2498" s="120" customFormat="1" x14ac:dyDescent="0.15"/>
    <row r="2499" s="120" customFormat="1" x14ac:dyDescent="0.15"/>
    <row r="2500" s="120" customFormat="1" x14ac:dyDescent="0.15"/>
    <row r="2501" s="120" customFormat="1" x14ac:dyDescent="0.15"/>
    <row r="2502" s="120" customFormat="1" x14ac:dyDescent="0.15"/>
    <row r="2503" s="120" customFormat="1" x14ac:dyDescent="0.15"/>
    <row r="2504" s="120" customFormat="1" x14ac:dyDescent="0.15"/>
    <row r="2505" s="120" customFormat="1" x14ac:dyDescent="0.15"/>
    <row r="2506" s="120" customFormat="1" x14ac:dyDescent="0.15"/>
    <row r="2507" s="120" customFormat="1" x14ac:dyDescent="0.15"/>
    <row r="2508" s="120" customFormat="1" x14ac:dyDescent="0.15"/>
    <row r="2509" s="120" customFormat="1" x14ac:dyDescent="0.15"/>
    <row r="2510" s="120" customFormat="1" x14ac:dyDescent="0.15"/>
    <row r="2511" s="120" customFormat="1" x14ac:dyDescent="0.15"/>
    <row r="2512" s="120" customFormat="1" x14ac:dyDescent="0.15"/>
    <row r="2513" s="120" customFormat="1" x14ac:dyDescent="0.15"/>
    <row r="2514" s="120" customFormat="1" x14ac:dyDescent="0.15"/>
    <row r="2515" s="120" customFormat="1" x14ac:dyDescent="0.15"/>
    <row r="2516" s="120" customFormat="1" x14ac:dyDescent="0.15"/>
    <row r="2517" s="120" customFormat="1" x14ac:dyDescent="0.15"/>
    <row r="2518" s="120" customFormat="1" x14ac:dyDescent="0.15"/>
    <row r="2519" s="120" customFormat="1" x14ac:dyDescent="0.15"/>
    <row r="2520" s="120" customFormat="1" x14ac:dyDescent="0.15"/>
    <row r="2521" s="120" customFormat="1" x14ac:dyDescent="0.15"/>
    <row r="2522" s="120" customFormat="1" x14ac:dyDescent="0.15"/>
    <row r="2523" s="120" customFormat="1" x14ac:dyDescent="0.15"/>
    <row r="2524" s="120" customFormat="1" x14ac:dyDescent="0.15"/>
    <row r="2525" s="120" customFormat="1" x14ac:dyDescent="0.15"/>
    <row r="2526" s="120" customFormat="1" x14ac:dyDescent="0.15"/>
    <row r="2527" s="120" customFormat="1" x14ac:dyDescent="0.15"/>
    <row r="2528" s="120" customFormat="1" x14ac:dyDescent="0.15"/>
    <row r="2529" s="120" customFormat="1" x14ac:dyDescent="0.15"/>
    <row r="2530" s="120" customFormat="1" x14ac:dyDescent="0.15"/>
    <row r="2531" s="120" customFormat="1" x14ac:dyDescent="0.15"/>
    <row r="2532" s="120" customFormat="1" x14ac:dyDescent="0.15"/>
    <row r="2533" s="120" customFormat="1" x14ac:dyDescent="0.15"/>
    <row r="2534" s="120" customFormat="1" x14ac:dyDescent="0.15"/>
    <row r="2535" s="120" customFormat="1" x14ac:dyDescent="0.15"/>
    <row r="2536" s="120" customFormat="1" x14ac:dyDescent="0.15"/>
    <row r="2537" s="120" customFormat="1" x14ac:dyDescent="0.15"/>
    <row r="2538" s="120" customFormat="1" x14ac:dyDescent="0.15"/>
    <row r="2539" s="120" customFormat="1" x14ac:dyDescent="0.15"/>
    <row r="2540" s="120" customFormat="1" x14ac:dyDescent="0.15"/>
    <row r="2541" s="120" customFormat="1" x14ac:dyDescent="0.15"/>
    <row r="2542" s="120" customFormat="1" x14ac:dyDescent="0.15"/>
    <row r="2543" s="120" customFormat="1" x14ac:dyDescent="0.15"/>
    <row r="2544" s="120" customFormat="1" x14ac:dyDescent="0.15"/>
    <row r="2545" s="120" customFormat="1" x14ac:dyDescent="0.15"/>
    <row r="2546" s="120" customFormat="1" x14ac:dyDescent="0.15"/>
    <row r="2547" s="120" customFormat="1" x14ac:dyDescent="0.15"/>
    <row r="2548" s="120" customFormat="1" x14ac:dyDescent="0.15"/>
    <row r="2549" s="120" customFormat="1" x14ac:dyDescent="0.15"/>
    <row r="2550" s="120" customFormat="1" x14ac:dyDescent="0.15"/>
    <row r="2551" s="120" customFormat="1" x14ac:dyDescent="0.15"/>
    <row r="2552" s="120" customFormat="1" x14ac:dyDescent="0.15"/>
    <row r="2553" s="120" customFormat="1" x14ac:dyDescent="0.15"/>
    <row r="2554" s="120" customFormat="1" x14ac:dyDescent="0.15"/>
    <row r="2555" s="120" customFormat="1" x14ac:dyDescent="0.15"/>
    <row r="2556" s="120" customFormat="1" x14ac:dyDescent="0.15"/>
    <row r="2557" s="120" customFormat="1" x14ac:dyDescent="0.15"/>
    <row r="2558" s="120" customFormat="1" x14ac:dyDescent="0.15"/>
    <row r="2559" s="120" customFormat="1" x14ac:dyDescent="0.15"/>
    <row r="2560" s="120" customFormat="1" x14ac:dyDescent="0.15"/>
    <row r="2561" s="120" customFormat="1" x14ac:dyDescent="0.15"/>
    <row r="2562" s="120" customFormat="1" x14ac:dyDescent="0.15"/>
    <row r="2563" s="120" customFormat="1" x14ac:dyDescent="0.15"/>
    <row r="2564" s="120" customFormat="1" x14ac:dyDescent="0.15"/>
    <row r="2565" s="120" customFormat="1" x14ac:dyDescent="0.15"/>
    <row r="2566" s="120" customFormat="1" x14ac:dyDescent="0.15"/>
    <row r="2567" s="120" customFormat="1" x14ac:dyDescent="0.15"/>
    <row r="2568" s="120" customFormat="1" x14ac:dyDescent="0.15"/>
    <row r="2569" s="120" customFormat="1" x14ac:dyDescent="0.15"/>
    <row r="2570" s="120" customFormat="1" x14ac:dyDescent="0.15"/>
    <row r="2571" s="120" customFormat="1" x14ac:dyDescent="0.15"/>
    <row r="2572" s="120" customFormat="1" x14ac:dyDescent="0.15"/>
    <row r="2573" s="120" customFormat="1" x14ac:dyDescent="0.15"/>
    <row r="2574" s="120" customFormat="1" x14ac:dyDescent="0.15"/>
    <row r="2575" s="120" customFormat="1" x14ac:dyDescent="0.15"/>
    <row r="2576" s="120" customFormat="1" x14ac:dyDescent="0.15"/>
    <row r="2577" s="120" customFormat="1" x14ac:dyDescent="0.15"/>
    <row r="2578" s="120" customFormat="1" x14ac:dyDescent="0.15"/>
    <row r="2579" s="120" customFormat="1" x14ac:dyDescent="0.15"/>
    <row r="2580" s="120" customFormat="1" x14ac:dyDescent="0.15"/>
    <row r="2581" s="120" customFormat="1" x14ac:dyDescent="0.15"/>
    <row r="2582" s="120" customFormat="1" x14ac:dyDescent="0.15"/>
    <row r="2583" s="120" customFormat="1" x14ac:dyDescent="0.15"/>
    <row r="2584" s="120" customFormat="1" x14ac:dyDescent="0.15"/>
    <row r="2585" s="120" customFormat="1" x14ac:dyDescent="0.15"/>
    <row r="2586" s="120" customFormat="1" x14ac:dyDescent="0.15"/>
    <row r="2587" s="120" customFormat="1" x14ac:dyDescent="0.15"/>
    <row r="2588" s="120" customFormat="1" x14ac:dyDescent="0.15"/>
    <row r="2589" s="120" customFormat="1" x14ac:dyDescent="0.15"/>
    <row r="2590" s="120" customFormat="1" x14ac:dyDescent="0.15"/>
    <row r="2591" s="120" customFormat="1" x14ac:dyDescent="0.15"/>
    <row r="2592" s="120" customFormat="1" x14ac:dyDescent="0.15"/>
    <row r="2593" s="120" customFormat="1" x14ac:dyDescent="0.15"/>
    <row r="2594" s="120" customFormat="1" x14ac:dyDescent="0.15"/>
    <row r="2595" s="120" customFormat="1" x14ac:dyDescent="0.15"/>
    <row r="2596" s="120" customFormat="1" x14ac:dyDescent="0.15"/>
    <row r="2597" s="120" customFormat="1" x14ac:dyDescent="0.15"/>
    <row r="2598" s="120" customFormat="1" x14ac:dyDescent="0.15"/>
    <row r="2599" s="120" customFormat="1" x14ac:dyDescent="0.15"/>
    <row r="2600" s="120" customFormat="1" x14ac:dyDescent="0.15"/>
    <row r="2601" s="120" customFormat="1" x14ac:dyDescent="0.15"/>
    <row r="2602" s="120" customFormat="1" x14ac:dyDescent="0.15"/>
    <row r="2603" s="120" customFormat="1" x14ac:dyDescent="0.15"/>
    <row r="2604" s="120" customFormat="1" x14ac:dyDescent="0.15"/>
    <row r="2605" s="120" customFormat="1" x14ac:dyDescent="0.15"/>
    <row r="2606" s="120" customFormat="1" x14ac:dyDescent="0.15"/>
    <row r="2607" s="120" customFormat="1" x14ac:dyDescent="0.15"/>
    <row r="2608" s="120" customFormat="1" x14ac:dyDescent="0.15"/>
    <row r="2609" s="120" customFormat="1" x14ac:dyDescent="0.15"/>
    <row r="2610" s="120" customFormat="1" x14ac:dyDescent="0.15"/>
    <row r="2611" s="120" customFormat="1" x14ac:dyDescent="0.15"/>
    <row r="2612" s="120" customFormat="1" x14ac:dyDescent="0.15"/>
    <row r="2613" s="120" customFormat="1" x14ac:dyDescent="0.15"/>
    <row r="2614" s="120" customFormat="1" x14ac:dyDescent="0.15"/>
    <row r="2615" s="120" customFormat="1" x14ac:dyDescent="0.15"/>
    <row r="2616" s="120" customFormat="1" x14ac:dyDescent="0.15"/>
    <row r="2617" s="120" customFormat="1" x14ac:dyDescent="0.15"/>
    <row r="2618" s="120" customFormat="1" x14ac:dyDescent="0.15"/>
    <row r="2619" s="120" customFormat="1" x14ac:dyDescent="0.15"/>
    <row r="2620" s="120" customFormat="1" x14ac:dyDescent="0.15"/>
    <row r="2621" s="120" customFormat="1" x14ac:dyDescent="0.15"/>
    <row r="2622" s="120" customFormat="1" x14ac:dyDescent="0.15"/>
    <row r="2623" s="120" customFormat="1" x14ac:dyDescent="0.15"/>
    <row r="2624" s="120" customFormat="1" x14ac:dyDescent="0.15"/>
    <row r="2625" s="120" customFormat="1" x14ac:dyDescent="0.15"/>
    <row r="2626" s="120" customFormat="1" x14ac:dyDescent="0.15"/>
    <row r="2627" s="120" customFormat="1" x14ac:dyDescent="0.15"/>
    <row r="2628" s="120" customFormat="1" x14ac:dyDescent="0.15"/>
    <row r="2629" s="120" customFormat="1" x14ac:dyDescent="0.15"/>
    <row r="2630" s="120" customFormat="1" x14ac:dyDescent="0.15"/>
    <row r="2631" s="120" customFormat="1" x14ac:dyDescent="0.15"/>
    <row r="2632" s="120" customFormat="1" x14ac:dyDescent="0.15"/>
    <row r="2633" s="120" customFormat="1" x14ac:dyDescent="0.15"/>
    <row r="2634" s="120" customFormat="1" x14ac:dyDescent="0.15"/>
    <row r="2635" s="120" customFormat="1" x14ac:dyDescent="0.15"/>
    <row r="2636" s="120" customFormat="1" x14ac:dyDescent="0.15"/>
    <row r="2637" s="120" customFormat="1" x14ac:dyDescent="0.15"/>
    <row r="2638" s="120" customFormat="1" x14ac:dyDescent="0.15"/>
    <row r="2639" s="120" customFormat="1" x14ac:dyDescent="0.15"/>
    <row r="2640" s="120" customFormat="1" x14ac:dyDescent="0.15"/>
    <row r="2641" s="120" customFormat="1" x14ac:dyDescent="0.15"/>
    <row r="2642" s="120" customFormat="1" x14ac:dyDescent="0.15"/>
    <row r="2643" s="120" customFormat="1" x14ac:dyDescent="0.15"/>
    <row r="2644" s="120" customFormat="1" x14ac:dyDescent="0.15"/>
    <row r="2645" s="120" customFormat="1" x14ac:dyDescent="0.15"/>
    <row r="2646" s="120" customFormat="1" x14ac:dyDescent="0.15"/>
    <row r="2647" s="120" customFormat="1" x14ac:dyDescent="0.15"/>
    <row r="2648" s="120" customFormat="1" x14ac:dyDescent="0.15"/>
    <row r="2649" s="120" customFormat="1" x14ac:dyDescent="0.15"/>
    <row r="2650" s="120" customFormat="1" x14ac:dyDescent="0.15"/>
    <row r="2651" s="120" customFormat="1" x14ac:dyDescent="0.15"/>
    <row r="2652" s="120" customFormat="1" x14ac:dyDescent="0.15"/>
    <row r="2653" s="120" customFormat="1" x14ac:dyDescent="0.15"/>
    <row r="2654" s="120" customFormat="1" x14ac:dyDescent="0.15"/>
    <row r="2655" s="120" customFormat="1" x14ac:dyDescent="0.15"/>
    <row r="2656" s="120" customFormat="1" x14ac:dyDescent="0.15"/>
    <row r="2657" s="120" customFormat="1" x14ac:dyDescent="0.15"/>
    <row r="2658" s="120" customFormat="1" x14ac:dyDescent="0.15"/>
    <row r="2659" s="120" customFormat="1" x14ac:dyDescent="0.15"/>
    <row r="2660" s="120" customFormat="1" x14ac:dyDescent="0.15"/>
    <row r="2661" s="120" customFormat="1" x14ac:dyDescent="0.15"/>
    <row r="2662" s="120" customFormat="1" x14ac:dyDescent="0.15"/>
    <row r="2663" s="120" customFormat="1" x14ac:dyDescent="0.15"/>
    <row r="2664" s="120" customFormat="1" x14ac:dyDescent="0.15"/>
    <row r="2665" s="120" customFormat="1" x14ac:dyDescent="0.15"/>
    <row r="2666" s="120" customFormat="1" x14ac:dyDescent="0.15"/>
    <row r="2667" s="120" customFormat="1" x14ac:dyDescent="0.15"/>
    <row r="2668" s="120" customFormat="1" x14ac:dyDescent="0.15"/>
    <row r="2669" s="120" customFormat="1" x14ac:dyDescent="0.15"/>
    <row r="2670" s="120" customFormat="1" x14ac:dyDescent="0.15"/>
    <row r="2671" s="120" customFormat="1" x14ac:dyDescent="0.15"/>
    <row r="2672" s="120" customFormat="1" x14ac:dyDescent="0.15"/>
    <row r="2673" s="120" customFormat="1" x14ac:dyDescent="0.15"/>
    <row r="2674" s="120" customFormat="1" x14ac:dyDescent="0.15"/>
    <row r="2675" s="120" customFormat="1" x14ac:dyDescent="0.15"/>
    <row r="2676" s="120" customFormat="1" x14ac:dyDescent="0.15"/>
    <row r="2677" s="120" customFormat="1" x14ac:dyDescent="0.15"/>
    <row r="2678" s="120" customFormat="1" x14ac:dyDescent="0.15"/>
    <row r="2679" s="120" customFormat="1" x14ac:dyDescent="0.15"/>
    <row r="2680" s="120" customFormat="1" x14ac:dyDescent="0.15"/>
    <row r="2681" s="120" customFormat="1" x14ac:dyDescent="0.15"/>
    <row r="2682" s="120" customFormat="1" x14ac:dyDescent="0.15"/>
    <row r="2683" s="120" customFormat="1" x14ac:dyDescent="0.15"/>
    <row r="2684" s="120" customFormat="1" x14ac:dyDescent="0.15"/>
    <row r="2685" s="120" customFormat="1" x14ac:dyDescent="0.15"/>
    <row r="2686" s="120" customFormat="1" x14ac:dyDescent="0.15"/>
    <row r="2687" s="120" customFormat="1" x14ac:dyDescent="0.15"/>
    <row r="2688" s="120" customFormat="1" x14ac:dyDescent="0.15"/>
    <row r="2689" s="120" customFormat="1" x14ac:dyDescent="0.15"/>
    <row r="2690" s="120" customFormat="1" x14ac:dyDescent="0.15"/>
    <row r="2691" s="120" customFormat="1" x14ac:dyDescent="0.15"/>
    <row r="2692" s="120" customFormat="1" x14ac:dyDescent="0.15"/>
    <row r="2693" s="120" customFormat="1" x14ac:dyDescent="0.15"/>
    <row r="2694" s="120" customFormat="1" x14ac:dyDescent="0.15"/>
    <row r="2695" s="120" customFormat="1" x14ac:dyDescent="0.15"/>
    <row r="2696" s="120" customFormat="1" x14ac:dyDescent="0.15"/>
    <row r="2697" s="120" customFormat="1" x14ac:dyDescent="0.15"/>
    <row r="2698" s="120" customFormat="1" x14ac:dyDescent="0.15"/>
    <row r="2699" s="120" customFormat="1" x14ac:dyDescent="0.15"/>
    <row r="2700" s="120" customFormat="1" x14ac:dyDescent="0.15"/>
    <row r="2701" s="120" customFormat="1" x14ac:dyDescent="0.15"/>
    <row r="2702" s="120" customFormat="1" x14ac:dyDescent="0.15"/>
    <row r="2703" s="120" customFormat="1" x14ac:dyDescent="0.15"/>
    <row r="2704" s="120" customFormat="1" x14ac:dyDescent="0.15"/>
    <row r="2705" s="120" customFormat="1" x14ac:dyDescent="0.15"/>
    <row r="2706" s="120" customFormat="1" x14ac:dyDescent="0.15"/>
    <row r="2707" s="120" customFormat="1" x14ac:dyDescent="0.15"/>
    <row r="2708" s="120" customFormat="1" x14ac:dyDescent="0.15"/>
    <row r="2709" s="120" customFormat="1" x14ac:dyDescent="0.15"/>
    <row r="2710" s="120" customFormat="1" x14ac:dyDescent="0.15"/>
    <row r="2711" s="120" customFormat="1" x14ac:dyDescent="0.15"/>
    <row r="2712" s="120" customFormat="1" x14ac:dyDescent="0.15"/>
    <row r="2713" s="120" customFormat="1" x14ac:dyDescent="0.15"/>
    <row r="2714" s="120" customFormat="1" x14ac:dyDescent="0.15"/>
    <row r="2715" s="120" customFormat="1" x14ac:dyDescent="0.15"/>
    <row r="2716" s="120" customFormat="1" x14ac:dyDescent="0.15"/>
    <row r="2717" s="120" customFormat="1" x14ac:dyDescent="0.15"/>
  </sheetData>
  <mergeCells count="744">
    <mergeCell ref="J403:J404"/>
    <mergeCell ref="B405:C405"/>
    <mergeCell ref="A406:J406"/>
    <mergeCell ref="A407:Q407"/>
    <mergeCell ref="B73:C73"/>
    <mergeCell ref="A403:A404"/>
    <mergeCell ref="B403:C404"/>
    <mergeCell ref="D403:D404"/>
    <mergeCell ref="E403:G403"/>
    <mergeCell ref="H403:H404"/>
    <mergeCell ref="I403:I404"/>
    <mergeCell ref="B398:C398"/>
    <mergeCell ref="A399:J399"/>
    <mergeCell ref="A400:Q400"/>
    <mergeCell ref="B401:N401"/>
    <mergeCell ref="P401:Q401"/>
    <mergeCell ref="A402:Q402"/>
    <mergeCell ref="A395:Q395"/>
    <mergeCell ref="A396:A397"/>
    <mergeCell ref="B396:C397"/>
    <mergeCell ref="D396:D397"/>
    <mergeCell ref="E396:G396"/>
    <mergeCell ref="H396:H397"/>
    <mergeCell ref="I396:I397"/>
    <mergeCell ref="A392:J392"/>
    <mergeCell ref="I374:I375"/>
    <mergeCell ref="J374:J375"/>
    <mergeCell ref="B376:C376"/>
    <mergeCell ref="A377:J377"/>
    <mergeCell ref="J396:J397"/>
    <mergeCell ref="A393:Q393"/>
    <mergeCell ref="B394:N394"/>
    <mergeCell ref="P394:Q394"/>
    <mergeCell ref="J388:J389"/>
    <mergeCell ref="B390:C390"/>
    <mergeCell ref="A388:A389"/>
    <mergeCell ref="B388:C389"/>
    <mergeCell ref="D388:D389"/>
    <mergeCell ref="E388:G388"/>
    <mergeCell ref="H388:H389"/>
    <mergeCell ref="I388:I389"/>
    <mergeCell ref="B391:C391"/>
    <mergeCell ref="B383:C383"/>
    <mergeCell ref="A384:J384"/>
    <mergeCell ref="A385:Q385"/>
    <mergeCell ref="B386:N386"/>
    <mergeCell ref="P386:Q386"/>
    <mergeCell ref="A387:Q387"/>
    <mergeCell ref="H367:H368"/>
    <mergeCell ref="I367:I368"/>
    <mergeCell ref="A380:Q380"/>
    <mergeCell ref="A381:A382"/>
    <mergeCell ref="B381:C382"/>
    <mergeCell ref="D381:D382"/>
    <mergeCell ref="E381:G381"/>
    <mergeCell ref="H381:H382"/>
    <mergeCell ref="I381:I382"/>
    <mergeCell ref="J381:J382"/>
    <mergeCell ref="A378:Q378"/>
    <mergeCell ref="B379:N379"/>
    <mergeCell ref="P379:Q379"/>
    <mergeCell ref="B369:C369"/>
    <mergeCell ref="A370:J370"/>
    <mergeCell ref="A371:Q371"/>
    <mergeCell ref="B372:N372"/>
    <mergeCell ref="P372:Q372"/>
    <mergeCell ref="A373:Q373"/>
    <mergeCell ref="A374:A375"/>
    <mergeCell ref="B374:C375"/>
    <mergeCell ref="D374:D375"/>
    <mergeCell ref="E374:G374"/>
    <mergeCell ref="H374:H375"/>
    <mergeCell ref="J367:J368"/>
    <mergeCell ref="A359:Q359"/>
    <mergeCell ref="B355:C355"/>
    <mergeCell ref="A356:J356"/>
    <mergeCell ref="A357:Q357"/>
    <mergeCell ref="B358:N358"/>
    <mergeCell ref="P358:Q358"/>
    <mergeCell ref="A360:A361"/>
    <mergeCell ref="B360:C361"/>
    <mergeCell ref="D360:D361"/>
    <mergeCell ref="E360:G360"/>
    <mergeCell ref="H360:H361"/>
    <mergeCell ref="I360:I361"/>
    <mergeCell ref="J360:J361"/>
    <mergeCell ref="A366:Q366"/>
    <mergeCell ref="B362:C362"/>
    <mergeCell ref="A363:J363"/>
    <mergeCell ref="A364:Q364"/>
    <mergeCell ref="B365:N365"/>
    <mergeCell ref="P365:Q365"/>
    <mergeCell ref="A367:A368"/>
    <mergeCell ref="B367:C368"/>
    <mergeCell ref="D367:D368"/>
    <mergeCell ref="E367:G367"/>
    <mergeCell ref="B327:C327"/>
    <mergeCell ref="A328:J328"/>
    <mergeCell ref="A329:Q329"/>
    <mergeCell ref="B330:N330"/>
    <mergeCell ref="P330:Q330"/>
    <mergeCell ref="A331:Q331"/>
    <mergeCell ref="A332:A333"/>
    <mergeCell ref="B332:C333"/>
    <mergeCell ref="D332:G332"/>
    <mergeCell ref="H332:H333"/>
    <mergeCell ref="I332:I333"/>
    <mergeCell ref="J318:J319"/>
    <mergeCell ref="B320:C320"/>
    <mergeCell ref="A321:J321"/>
    <mergeCell ref="A318:A319"/>
    <mergeCell ref="B318:C319"/>
    <mergeCell ref="D318:D319"/>
    <mergeCell ref="E318:G318"/>
    <mergeCell ref="H318:H319"/>
    <mergeCell ref="I318:I319"/>
    <mergeCell ref="A308:Q308"/>
    <mergeCell ref="B309:N309"/>
    <mergeCell ref="P309:Q309"/>
    <mergeCell ref="B313:C313"/>
    <mergeCell ref="A314:J314"/>
    <mergeCell ref="A315:Q315"/>
    <mergeCell ref="B316:N316"/>
    <mergeCell ref="P316:Q316"/>
    <mergeCell ref="A317:Q317"/>
    <mergeCell ref="A310:Q310"/>
    <mergeCell ref="A311:A312"/>
    <mergeCell ref="B311:C312"/>
    <mergeCell ref="D311:D312"/>
    <mergeCell ref="E311:G311"/>
    <mergeCell ref="H311:H312"/>
    <mergeCell ref="I311:I312"/>
    <mergeCell ref="J311:J312"/>
    <mergeCell ref="H297:H298"/>
    <mergeCell ref="I297:I298"/>
    <mergeCell ref="B306:C306"/>
    <mergeCell ref="A307:J307"/>
    <mergeCell ref="A303:Q303"/>
    <mergeCell ref="A304:A305"/>
    <mergeCell ref="B304:C305"/>
    <mergeCell ref="D304:D305"/>
    <mergeCell ref="E304:G304"/>
    <mergeCell ref="H304:H305"/>
    <mergeCell ref="I304:I305"/>
    <mergeCell ref="J304:J305"/>
    <mergeCell ref="J297:J298"/>
    <mergeCell ref="B299:C299"/>
    <mergeCell ref="A300:J300"/>
    <mergeCell ref="A301:Q301"/>
    <mergeCell ref="B302:N302"/>
    <mergeCell ref="P302:Q302"/>
    <mergeCell ref="A297:A298"/>
    <mergeCell ref="B297:C298"/>
    <mergeCell ref="D297:D298"/>
    <mergeCell ref="E297:G297"/>
    <mergeCell ref="B285:C285"/>
    <mergeCell ref="B292:C292"/>
    <mergeCell ref="A293:J293"/>
    <mergeCell ref="A294:Q294"/>
    <mergeCell ref="B295:N295"/>
    <mergeCell ref="P295:Q295"/>
    <mergeCell ref="A296:Q296"/>
    <mergeCell ref="A289:Q289"/>
    <mergeCell ref="A290:A291"/>
    <mergeCell ref="B290:C291"/>
    <mergeCell ref="D290:D291"/>
    <mergeCell ref="E290:G290"/>
    <mergeCell ref="H290:H291"/>
    <mergeCell ref="I290:I291"/>
    <mergeCell ref="J290:J291"/>
    <mergeCell ref="A286:J286"/>
    <mergeCell ref="A287:Q287"/>
    <mergeCell ref="B288:N288"/>
    <mergeCell ref="P288:Q288"/>
    <mergeCell ref="A280:Q280"/>
    <mergeCell ref="B281:N281"/>
    <mergeCell ref="P281:Q281"/>
    <mergeCell ref="A282:Q282"/>
    <mergeCell ref="A283:A284"/>
    <mergeCell ref="B283:C284"/>
    <mergeCell ref="D283:D284"/>
    <mergeCell ref="E283:G283"/>
    <mergeCell ref="H283:H284"/>
    <mergeCell ref="I283:I284"/>
    <mergeCell ref="J283:J284"/>
    <mergeCell ref="B278:C278"/>
    <mergeCell ref="A279:J279"/>
    <mergeCell ref="A275:Q275"/>
    <mergeCell ref="A276:A277"/>
    <mergeCell ref="B276:C277"/>
    <mergeCell ref="D276:D277"/>
    <mergeCell ref="E276:G276"/>
    <mergeCell ref="H276:H277"/>
    <mergeCell ref="I276:I277"/>
    <mergeCell ref="J276:J277"/>
    <mergeCell ref="J269:J270"/>
    <mergeCell ref="B271:C271"/>
    <mergeCell ref="A272:J272"/>
    <mergeCell ref="A273:Q273"/>
    <mergeCell ref="B274:N274"/>
    <mergeCell ref="P274:Q274"/>
    <mergeCell ref="A269:A270"/>
    <mergeCell ref="B269:C270"/>
    <mergeCell ref="D269:D270"/>
    <mergeCell ref="E269:G269"/>
    <mergeCell ref="H269:H270"/>
    <mergeCell ref="I269:I270"/>
    <mergeCell ref="B264:C264"/>
    <mergeCell ref="A265:J265"/>
    <mergeCell ref="A266:Q266"/>
    <mergeCell ref="B267:N267"/>
    <mergeCell ref="P267:Q267"/>
    <mergeCell ref="A268:Q268"/>
    <mergeCell ref="A261:Q261"/>
    <mergeCell ref="A262:A263"/>
    <mergeCell ref="B262:C263"/>
    <mergeCell ref="D262:D263"/>
    <mergeCell ref="E262:G262"/>
    <mergeCell ref="H262:H263"/>
    <mergeCell ref="I262:I263"/>
    <mergeCell ref="J262:J263"/>
    <mergeCell ref="J255:J256"/>
    <mergeCell ref="B257:C257"/>
    <mergeCell ref="A258:J258"/>
    <mergeCell ref="A259:Q259"/>
    <mergeCell ref="B260:N260"/>
    <mergeCell ref="P260:Q260"/>
    <mergeCell ref="A255:A256"/>
    <mergeCell ref="B255:C256"/>
    <mergeCell ref="D255:D256"/>
    <mergeCell ref="E255:G255"/>
    <mergeCell ref="H255:H256"/>
    <mergeCell ref="I255:I256"/>
    <mergeCell ref="B250:C250"/>
    <mergeCell ref="A251:J251"/>
    <mergeCell ref="A252:Q252"/>
    <mergeCell ref="B253:N253"/>
    <mergeCell ref="P253:Q253"/>
    <mergeCell ref="A254:Q254"/>
    <mergeCell ref="B246:N246"/>
    <mergeCell ref="P246:Q246"/>
    <mergeCell ref="A247:Q247"/>
    <mergeCell ref="A248:A249"/>
    <mergeCell ref="B248:C249"/>
    <mergeCell ref="D248:D249"/>
    <mergeCell ref="E248:G248"/>
    <mergeCell ref="H248:H249"/>
    <mergeCell ref="I248:I249"/>
    <mergeCell ref="J248:J249"/>
    <mergeCell ref="B232:C232"/>
    <mergeCell ref="A233:J233"/>
    <mergeCell ref="A245:Q245"/>
    <mergeCell ref="B228:N228"/>
    <mergeCell ref="P228:Q228"/>
    <mergeCell ref="A229:Q229"/>
    <mergeCell ref="A230:A231"/>
    <mergeCell ref="B230:C231"/>
    <mergeCell ref="D230:D231"/>
    <mergeCell ref="E230:G230"/>
    <mergeCell ref="H230:H231"/>
    <mergeCell ref="I230:I231"/>
    <mergeCell ref="J230:J231"/>
    <mergeCell ref="B239:C239"/>
    <mergeCell ref="B240:C240"/>
    <mergeCell ref="B241:C241"/>
    <mergeCell ref="B242:C242"/>
    <mergeCell ref="B243:C243"/>
    <mergeCell ref="A244:J244"/>
    <mergeCell ref="B224:C224"/>
    <mergeCell ref="B225:C225"/>
    <mergeCell ref="A226:J226"/>
    <mergeCell ref="A227:Q227"/>
    <mergeCell ref="A221:Q221"/>
    <mergeCell ref="A222:A223"/>
    <mergeCell ref="B222:C223"/>
    <mergeCell ref="D222:D223"/>
    <mergeCell ref="E222:G222"/>
    <mergeCell ref="H222:H223"/>
    <mergeCell ref="I222:I223"/>
    <mergeCell ref="J222:J223"/>
    <mergeCell ref="J215:J216"/>
    <mergeCell ref="B217:C217"/>
    <mergeCell ref="A218:J218"/>
    <mergeCell ref="A219:Q219"/>
    <mergeCell ref="B220:N220"/>
    <mergeCell ref="P220:Q220"/>
    <mergeCell ref="A215:A216"/>
    <mergeCell ref="B215:C216"/>
    <mergeCell ref="D215:D216"/>
    <mergeCell ref="E215:G215"/>
    <mergeCell ref="H215:H216"/>
    <mergeCell ref="I215:I216"/>
    <mergeCell ref="A214:Q214"/>
    <mergeCell ref="A207:Q207"/>
    <mergeCell ref="A208:A209"/>
    <mergeCell ref="B208:C209"/>
    <mergeCell ref="D208:D209"/>
    <mergeCell ref="E208:G208"/>
    <mergeCell ref="H208:H209"/>
    <mergeCell ref="I208:I209"/>
    <mergeCell ref="J208:J209"/>
    <mergeCell ref="I201:I202"/>
    <mergeCell ref="J201:J202"/>
    <mergeCell ref="A205:Q205"/>
    <mergeCell ref="B206:N206"/>
    <mergeCell ref="P206:Q206"/>
    <mergeCell ref="B210:C210"/>
    <mergeCell ref="A211:J211"/>
    <mergeCell ref="A212:Q212"/>
    <mergeCell ref="B213:N213"/>
    <mergeCell ref="P213:Q213"/>
    <mergeCell ref="A180:J180"/>
    <mergeCell ref="A181:Q181"/>
    <mergeCell ref="B182:N182"/>
    <mergeCell ref="P182:Q182"/>
    <mergeCell ref="A183:Q183"/>
    <mergeCell ref="B189:C189"/>
    <mergeCell ref="A174:Q174"/>
    <mergeCell ref="B175:N175"/>
    <mergeCell ref="P175:Q175"/>
    <mergeCell ref="A176:Q176"/>
    <mergeCell ref="A184:A185"/>
    <mergeCell ref="B184:C185"/>
    <mergeCell ref="D184:D185"/>
    <mergeCell ref="E184:G184"/>
    <mergeCell ref="H184:H185"/>
    <mergeCell ref="I184:I185"/>
    <mergeCell ref="J184:J185"/>
    <mergeCell ref="B186:C186"/>
    <mergeCell ref="B187:C187"/>
    <mergeCell ref="B188:C188"/>
    <mergeCell ref="B171:C171"/>
    <mergeCell ref="A173:J173"/>
    <mergeCell ref="B172:C172"/>
    <mergeCell ref="J177:J178"/>
    <mergeCell ref="B179:C179"/>
    <mergeCell ref="A177:A178"/>
    <mergeCell ref="B177:C178"/>
    <mergeCell ref="D177:D178"/>
    <mergeCell ref="E177:G177"/>
    <mergeCell ref="H177:H178"/>
    <mergeCell ref="I177:I178"/>
    <mergeCell ref="A159:Q159"/>
    <mergeCell ref="B160:N160"/>
    <mergeCell ref="P160:Q160"/>
    <mergeCell ref="A166:Q166"/>
    <mergeCell ref="B167:N167"/>
    <mergeCell ref="P167:Q167"/>
    <mergeCell ref="A168:Q168"/>
    <mergeCell ref="A169:A170"/>
    <mergeCell ref="B169:C170"/>
    <mergeCell ref="D169:D170"/>
    <mergeCell ref="B164:C164"/>
    <mergeCell ref="A165:J165"/>
    <mergeCell ref="A161:Q161"/>
    <mergeCell ref="A162:A163"/>
    <mergeCell ref="B162:C163"/>
    <mergeCell ref="D162:D163"/>
    <mergeCell ref="E162:G162"/>
    <mergeCell ref="H162:H163"/>
    <mergeCell ref="I162:I163"/>
    <mergeCell ref="J162:J163"/>
    <mergeCell ref="E169:G169"/>
    <mergeCell ref="H169:H170"/>
    <mergeCell ref="I169:I170"/>
    <mergeCell ref="J169:J170"/>
    <mergeCell ref="A152:Q152"/>
    <mergeCell ref="B153:N153"/>
    <mergeCell ref="P153:Q153"/>
    <mergeCell ref="B157:C157"/>
    <mergeCell ref="A158:J158"/>
    <mergeCell ref="A154:Q154"/>
    <mergeCell ref="A155:A156"/>
    <mergeCell ref="B155:C156"/>
    <mergeCell ref="D155:D156"/>
    <mergeCell ref="E155:G155"/>
    <mergeCell ref="H155:H156"/>
    <mergeCell ref="I155:I156"/>
    <mergeCell ref="J155:J156"/>
    <mergeCell ref="B150:C150"/>
    <mergeCell ref="A151:J151"/>
    <mergeCell ref="A147:Q147"/>
    <mergeCell ref="A148:A149"/>
    <mergeCell ref="B148:C149"/>
    <mergeCell ref="D148:D149"/>
    <mergeCell ref="E148:G148"/>
    <mergeCell ref="H148:H149"/>
    <mergeCell ref="I148:I149"/>
    <mergeCell ref="J148:J149"/>
    <mergeCell ref="B143:C143"/>
    <mergeCell ref="A144:J144"/>
    <mergeCell ref="A145:Q145"/>
    <mergeCell ref="B146:N146"/>
    <mergeCell ref="P146:Q146"/>
    <mergeCell ref="A140:Q140"/>
    <mergeCell ref="A141:A142"/>
    <mergeCell ref="B141:C142"/>
    <mergeCell ref="D141:D142"/>
    <mergeCell ref="E141:G141"/>
    <mergeCell ref="H141:H142"/>
    <mergeCell ref="I141:I142"/>
    <mergeCell ref="J141:J142"/>
    <mergeCell ref="B136:C136"/>
    <mergeCell ref="A137:J137"/>
    <mergeCell ref="A138:Q138"/>
    <mergeCell ref="B139:N139"/>
    <mergeCell ref="P139:Q139"/>
    <mergeCell ref="A133:Q133"/>
    <mergeCell ref="A134:A135"/>
    <mergeCell ref="B134:C135"/>
    <mergeCell ref="D134:D135"/>
    <mergeCell ref="E134:G134"/>
    <mergeCell ref="H134:H135"/>
    <mergeCell ref="I134:I135"/>
    <mergeCell ref="J134:J135"/>
    <mergeCell ref="A124:Q124"/>
    <mergeCell ref="B125:N125"/>
    <mergeCell ref="P125:Q125"/>
    <mergeCell ref="B129:C129"/>
    <mergeCell ref="A130:J130"/>
    <mergeCell ref="A131:Q131"/>
    <mergeCell ref="B132:N132"/>
    <mergeCell ref="P132:Q132"/>
    <mergeCell ref="A126:Q126"/>
    <mergeCell ref="A127:A128"/>
    <mergeCell ref="B127:C128"/>
    <mergeCell ref="D127:D128"/>
    <mergeCell ref="E127:G127"/>
    <mergeCell ref="H127:H128"/>
    <mergeCell ref="I127:I128"/>
    <mergeCell ref="J127:J128"/>
    <mergeCell ref="J120:J121"/>
    <mergeCell ref="B122:C122"/>
    <mergeCell ref="A123:J123"/>
    <mergeCell ref="A120:A121"/>
    <mergeCell ref="B120:C121"/>
    <mergeCell ref="D120:D121"/>
    <mergeCell ref="E120:G120"/>
    <mergeCell ref="H120:H121"/>
    <mergeCell ref="I120:I121"/>
    <mergeCell ref="A109:J109"/>
    <mergeCell ref="A117:Q117"/>
    <mergeCell ref="B118:N118"/>
    <mergeCell ref="P118:Q118"/>
    <mergeCell ref="A119:Q119"/>
    <mergeCell ref="I104:I105"/>
    <mergeCell ref="J104:J105"/>
    <mergeCell ref="B106:K106"/>
    <mergeCell ref="B107:C107"/>
    <mergeCell ref="B108:C108"/>
    <mergeCell ref="A112:Q112"/>
    <mergeCell ref="A113:A114"/>
    <mergeCell ref="B113:C114"/>
    <mergeCell ref="D113:D114"/>
    <mergeCell ref="E113:G113"/>
    <mergeCell ref="H113:H114"/>
    <mergeCell ref="I113:I114"/>
    <mergeCell ref="J113:J114"/>
    <mergeCell ref="B115:C115"/>
    <mergeCell ref="A116:J116"/>
    <mergeCell ref="A101:Q101"/>
    <mergeCell ref="B102:N102"/>
    <mergeCell ref="P102:Q102"/>
    <mergeCell ref="A103:Q103"/>
    <mergeCell ref="A104:A105"/>
    <mergeCell ref="B104:C105"/>
    <mergeCell ref="D104:D105"/>
    <mergeCell ref="E104:G104"/>
    <mergeCell ref="H104:H105"/>
    <mergeCell ref="A92:Q92"/>
    <mergeCell ref="A93:Q93"/>
    <mergeCell ref="A94:Q94"/>
    <mergeCell ref="B95:N95"/>
    <mergeCell ref="P95:Q95"/>
    <mergeCell ref="B89:C89"/>
    <mergeCell ref="B90:C90"/>
    <mergeCell ref="A96:Q96"/>
    <mergeCell ref="A97:A98"/>
    <mergeCell ref="B97:C98"/>
    <mergeCell ref="D97:D98"/>
    <mergeCell ref="E97:G97"/>
    <mergeCell ref="H97:H98"/>
    <mergeCell ref="I97:I98"/>
    <mergeCell ref="J97:J98"/>
    <mergeCell ref="L97:Q100"/>
    <mergeCell ref="B99:C99"/>
    <mergeCell ref="A100:J100"/>
    <mergeCell ref="A85:Q85"/>
    <mergeCell ref="A86:A87"/>
    <mergeCell ref="B86:C87"/>
    <mergeCell ref="D86:G86"/>
    <mergeCell ref="H86:H87"/>
    <mergeCell ref="I86:I87"/>
    <mergeCell ref="J86:J87"/>
    <mergeCell ref="K86:K87"/>
    <mergeCell ref="M86:Q91"/>
    <mergeCell ref="B88:C88"/>
    <mergeCell ref="A91:K91"/>
    <mergeCell ref="B80:C80"/>
    <mergeCell ref="B81:C81"/>
    <mergeCell ref="A82:J82"/>
    <mergeCell ref="A83:Q83"/>
    <mergeCell ref="B84:N84"/>
    <mergeCell ref="P84:Q84"/>
    <mergeCell ref="A77:Q77"/>
    <mergeCell ref="A78:A79"/>
    <mergeCell ref="B78:C79"/>
    <mergeCell ref="D78:D79"/>
    <mergeCell ref="E78:G78"/>
    <mergeCell ref="H78:H79"/>
    <mergeCell ref="I78:I79"/>
    <mergeCell ref="J78:J79"/>
    <mergeCell ref="A66:Q66"/>
    <mergeCell ref="B62:C62"/>
    <mergeCell ref="E62:F62"/>
    <mergeCell ref="A74:J74"/>
    <mergeCell ref="A75:Q75"/>
    <mergeCell ref="B76:N76"/>
    <mergeCell ref="P76:Q76"/>
    <mergeCell ref="B71:C71"/>
    <mergeCell ref="B72:C72"/>
    <mergeCell ref="B67:N67"/>
    <mergeCell ref="P67:Q67"/>
    <mergeCell ref="A68:Q68"/>
    <mergeCell ref="A69:A70"/>
    <mergeCell ref="B69:C70"/>
    <mergeCell ref="D69:D70"/>
    <mergeCell ref="E69:G69"/>
    <mergeCell ref="H69:H70"/>
    <mergeCell ref="I69:I70"/>
    <mergeCell ref="J69:J70"/>
    <mergeCell ref="A59:Q59"/>
    <mergeCell ref="A60:A61"/>
    <mergeCell ref="B60:C61"/>
    <mergeCell ref="D60:D61"/>
    <mergeCell ref="E60:G60"/>
    <mergeCell ref="H60:H61"/>
    <mergeCell ref="I60:I61"/>
    <mergeCell ref="J60:J61"/>
    <mergeCell ref="L60:Q65"/>
    <mergeCell ref="E61:F61"/>
    <mergeCell ref="B63:C63"/>
    <mergeCell ref="E63:F63"/>
    <mergeCell ref="B64:C64"/>
    <mergeCell ref="E64:F64"/>
    <mergeCell ref="A65:J65"/>
    <mergeCell ref="A57:Q57"/>
    <mergeCell ref="B58:N58"/>
    <mergeCell ref="P58:Q58"/>
    <mergeCell ref="A43:Q43"/>
    <mergeCell ref="B44:N44"/>
    <mergeCell ref="P44:Q44"/>
    <mergeCell ref="A45:Q45"/>
    <mergeCell ref="A46:A47"/>
    <mergeCell ref="B46:C47"/>
    <mergeCell ref="D46:D47"/>
    <mergeCell ref="E46:G46"/>
    <mergeCell ref="H46:H47"/>
    <mergeCell ref="I46:I47"/>
    <mergeCell ref="A52:Q52"/>
    <mergeCell ref="I53:I54"/>
    <mergeCell ref="J53:J54"/>
    <mergeCell ref="L53:Q56"/>
    <mergeCell ref="B55:C55"/>
    <mergeCell ref="A56:J56"/>
    <mergeCell ref="A50:Q50"/>
    <mergeCell ref="B51:N51"/>
    <mergeCell ref="P51:Q51"/>
    <mergeCell ref="A53:A54"/>
    <mergeCell ref="B53:C54"/>
    <mergeCell ref="D53:D54"/>
    <mergeCell ref="E53:G53"/>
    <mergeCell ref="H53:H54"/>
    <mergeCell ref="L39:Q42"/>
    <mergeCell ref="B41:C41"/>
    <mergeCell ref="A42:J42"/>
    <mergeCell ref="J46:J47"/>
    <mergeCell ref="L46:Q49"/>
    <mergeCell ref="B48:C48"/>
    <mergeCell ref="A49:J49"/>
    <mergeCell ref="B37:N37"/>
    <mergeCell ref="P37:Q37"/>
    <mergeCell ref="A38:Q38"/>
    <mergeCell ref="A39:A40"/>
    <mergeCell ref="B39:C40"/>
    <mergeCell ref="D39:D40"/>
    <mergeCell ref="E39:G39"/>
    <mergeCell ref="H39:H40"/>
    <mergeCell ref="I39:I40"/>
    <mergeCell ref="J39:J40"/>
    <mergeCell ref="I32:I33"/>
    <mergeCell ref="J32:J33"/>
    <mergeCell ref="L32:Q35"/>
    <mergeCell ref="B34:C34"/>
    <mergeCell ref="A35:J35"/>
    <mergeCell ref="A36:Q36"/>
    <mergeCell ref="A28:J28"/>
    <mergeCell ref="A29:Q29"/>
    <mergeCell ref="B30:N30"/>
    <mergeCell ref="P30:Q30"/>
    <mergeCell ref="A31:Q31"/>
    <mergeCell ref="A32:A33"/>
    <mergeCell ref="B32:C33"/>
    <mergeCell ref="D32:D33"/>
    <mergeCell ref="E32:G32"/>
    <mergeCell ref="H32:H33"/>
    <mergeCell ref="A24:Q24"/>
    <mergeCell ref="A25:A26"/>
    <mergeCell ref="B25:C26"/>
    <mergeCell ref="D25:D26"/>
    <mergeCell ref="E25:G25"/>
    <mergeCell ref="H25:H26"/>
    <mergeCell ref="I25:I26"/>
    <mergeCell ref="J25:J26"/>
    <mergeCell ref="L25:Q28"/>
    <mergeCell ref="B27:C27"/>
    <mergeCell ref="H10:H11"/>
    <mergeCell ref="J18:J19"/>
    <mergeCell ref="L18:Q21"/>
    <mergeCell ref="B20:C20"/>
    <mergeCell ref="A21:J21"/>
    <mergeCell ref="A22:Q22"/>
    <mergeCell ref="B23:N23"/>
    <mergeCell ref="P23:Q23"/>
    <mergeCell ref="A15:Q15"/>
    <mergeCell ref="B16:N16"/>
    <mergeCell ref="P16:Q16"/>
    <mergeCell ref="A17:Q17"/>
    <mergeCell ref="A18:A19"/>
    <mergeCell ref="B18:C19"/>
    <mergeCell ref="D18:D19"/>
    <mergeCell ref="E18:G18"/>
    <mergeCell ref="H18:H19"/>
    <mergeCell ref="I18:I19"/>
    <mergeCell ref="A1:N1"/>
    <mergeCell ref="O1:Q4"/>
    <mergeCell ref="A2:N2"/>
    <mergeCell ref="A3:N3"/>
    <mergeCell ref="A4:N4"/>
    <mergeCell ref="A5:Q5"/>
    <mergeCell ref="A110:Q110"/>
    <mergeCell ref="B111:N111"/>
    <mergeCell ref="P111:Q111"/>
    <mergeCell ref="I10:I11"/>
    <mergeCell ref="J10:J11"/>
    <mergeCell ref="L10:Q14"/>
    <mergeCell ref="B12:C12"/>
    <mergeCell ref="B13:C13"/>
    <mergeCell ref="A14:J14"/>
    <mergeCell ref="A6:Q6"/>
    <mergeCell ref="B7:Q7"/>
    <mergeCell ref="B8:N8"/>
    <mergeCell ref="P8:Q8"/>
    <mergeCell ref="A9:Q9"/>
    <mergeCell ref="A10:A11"/>
    <mergeCell ref="B10:C11"/>
    <mergeCell ref="D10:D11"/>
    <mergeCell ref="E10:G10"/>
    <mergeCell ref="A190:J190"/>
    <mergeCell ref="A191:Q191"/>
    <mergeCell ref="B192:N192"/>
    <mergeCell ref="P192:Q192"/>
    <mergeCell ref="A193:Q193"/>
    <mergeCell ref="A194:A195"/>
    <mergeCell ref="B194:C195"/>
    <mergeCell ref="D194:D195"/>
    <mergeCell ref="E194:G194"/>
    <mergeCell ref="H194:H195"/>
    <mergeCell ref="I194:I195"/>
    <mergeCell ref="J194:J195"/>
    <mergeCell ref="B196:C196"/>
    <mergeCell ref="A197:J197"/>
    <mergeCell ref="A234:Q234"/>
    <mergeCell ref="B235:N235"/>
    <mergeCell ref="P235:Q235"/>
    <mergeCell ref="A236:Q236"/>
    <mergeCell ref="A237:A238"/>
    <mergeCell ref="B237:C238"/>
    <mergeCell ref="D237:D238"/>
    <mergeCell ref="E237:G237"/>
    <mergeCell ref="H237:H238"/>
    <mergeCell ref="I237:I238"/>
    <mergeCell ref="J237:J238"/>
    <mergeCell ref="A198:Q198"/>
    <mergeCell ref="B203:C203"/>
    <mergeCell ref="A204:J204"/>
    <mergeCell ref="B199:N199"/>
    <mergeCell ref="P199:Q199"/>
    <mergeCell ref="A200:Q200"/>
    <mergeCell ref="A201:A202"/>
    <mergeCell ref="B201:C202"/>
    <mergeCell ref="D201:D202"/>
    <mergeCell ref="E201:G201"/>
    <mergeCell ref="H201:H202"/>
    <mergeCell ref="A322:Q322"/>
    <mergeCell ref="B323:N323"/>
    <mergeCell ref="P323:Q323"/>
    <mergeCell ref="A324:Q324"/>
    <mergeCell ref="A325:A326"/>
    <mergeCell ref="B325:C326"/>
    <mergeCell ref="D325:G325"/>
    <mergeCell ref="H325:H326"/>
    <mergeCell ref="I325:I326"/>
    <mergeCell ref="J325:J326"/>
    <mergeCell ref="H346:H347"/>
    <mergeCell ref="I346:I347"/>
    <mergeCell ref="J346:J347"/>
    <mergeCell ref="J332:J333"/>
    <mergeCell ref="A335:J335"/>
    <mergeCell ref="A336:Q336"/>
    <mergeCell ref="B337:N337"/>
    <mergeCell ref="P337:Q337"/>
    <mergeCell ref="A338:P338"/>
    <mergeCell ref="A339:A340"/>
    <mergeCell ref="B339:C340"/>
    <mergeCell ref="D339:D340"/>
    <mergeCell ref="E339:G339"/>
    <mergeCell ref="H339:H340"/>
    <mergeCell ref="I339:I340"/>
    <mergeCell ref="J339:J340"/>
    <mergeCell ref="B348:C348"/>
    <mergeCell ref="A349:J349"/>
    <mergeCell ref="B334:C334"/>
    <mergeCell ref="A350:Q350"/>
    <mergeCell ref="B351:N351"/>
    <mergeCell ref="P351:Q351"/>
    <mergeCell ref="A352:Q352"/>
    <mergeCell ref="A353:A354"/>
    <mergeCell ref="B353:C354"/>
    <mergeCell ref="D353:D354"/>
    <mergeCell ref="E353:G353"/>
    <mergeCell ref="H353:H354"/>
    <mergeCell ref="I353:I354"/>
    <mergeCell ref="J353:J354"/>
    <mergeCell ref="B341:C341"/>
    <mergeCell ref="A342:J342"/>
    <mergeCell ref="A343:Q343"/>
    <mergeCell ref="B344:N344"/>
    <mergeCell ref="P344:Q344"/>
    <mergeCell ref="A345:P345"/>
    <mergeCell ref="A346:A347"/>
    <mergeCell ref="B346:C347"/>
    <mergeCell ref="D346:D347"/>
    <mergeCell ref="E346:G346"/>
  </mergeCells>
  <pageMargins left="0.39370078740157483" right="0.27559055118110237" top="0.6692913385826772" bottom="0.55118110236220474" header="0.31496062992125984" footer="0.31496062992125984"/>
  <pageSetup scale="7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66FF33"/>
  </sheetPr>
  <dimension ref="A1:T2824"/>
  <sheetViews>
    <sheetView topLeftCell="A126" zoomScaleNormal="100" zoomScaleSheetLayoutView="100" workbookViewId="0">
      <selection activeCell="A135" sqref="A135:Q135"/>
    </sheetView>
  </sheetViews>
  <sheetFormatPr baseColWidth="10" defaultColWidth="15.83203125" defaultRowHeight="13" x14ac:dyDescent="0.15"/>
  <cols>
    <col min="1" max="1" width="6.83203125" style="120" customWidth="1"/>
    <col min="2" max="3" width="12.1640625" style="120" customWidth="1"/>
    <col min="4" max="6" width="10.6640625" style="120" customWidth="1"/>
    <col min="7" max="7" width="9.33203125" style="120" customWidth="1"/>
    <col min="8" max="8" width="10.6640625" style="120" customWidth="1"/>
    <col min="9" max="10" width="10.6640625" style="145" customWidth="1"/>
    <col min="11" max="11" width="12.5" style="120" customWidth="1"/>
    <col min="12" max="12" width="13.33203125" style="120" customWidth="1"/>
    <col min="13" max="17" width="10.6640625" style="120" customWidth="1"/>
    <col min="18" max="19" width="10.83203125" style="120" customWidth="1"/>
    <col min="20" max="20" width="22.5" style="120" customWidth="1"/>
    <col min="21" max="256" width="10.83203125" style="120" customWidth="1"/>
    <col min="257" max="16384" width="15.83203125" style="120"/>
  </cols>
  <sheetData>
    <row r="1" spans="1:17" customFormat="1" ht="41.25" customHeight="1" x14ac:dyDescent="0.15">
      <c r="A1" s="765" t="s">
        <v>874</v>
      </c>
      <c r="B1" s="765"/>
      <c r="C1" s="765"/>
      <c r="D1" s="765"/>
      <c r="E1" s="765"/>
      <c r="F1" s="765"/>
      <c r="G1" s="765"/>
      <c r="H1" s="765"/>
      <c r="I1" s="765"/>
      <c r="J1" s="765"/>
      <c r="K1" s="765"/>
      <c r="L1" s="765"/>
      <c r="M1" s="765"/>
      <c r="N1" s="765"/>
      <c r="O1" s="797"/>
      <c r="P1" s="797"/>
      <c r="Q1" s="797"/>
    </row>
    <row r="2" spans="1:17" customFormat="1" ht="14.25" customHeight="1" x14ac:dyDescent="0.15">
      <c r="A2" s="798" t="s">
        <v>875</v>
      </c>
      <c r="B2" s="798"/>
      <c r="C2" s="798"/>
      <c r="D2" s="798"/>
      <c r="E2" s="798"/>
      <c r="F2" s="798"/>
      <c r="G2" s="798"/>
      <c r="H2" s="798"/>
      <c r="I2" s="798"/>
      <c r="J2" s="798"/>
      <c r="K2" s="798"/>
      <c r="L2" s="798"/>
      <c r="M2" s="798"/>
      <c r="N2" s="798"/>
      <c r="O2" s="797"/>
      <c r="P2" s="797"/>
      <c r="Q2" s="797"/>
    </row>
    <row r="3" spans="1:17" customFormat="1" ht="14.25" customHeight="1" x14ac:dyDescent="0.15">
      <c r="A3" s="798" t="s">
        <v>876</v>
      </c>
      <c r="B3" s="798"/>
      <c r="C3" s="798"/>
      <c r="D3" s="798"/>
      <c r="E3" s="798"/>
      <c r="F3" s="798"/>
      <c r="G3" s="798"/>
      <c r="H3" s="798"/>
      <c r="I3" s="798"/>
      <c r="J3" s="798"/>
      <c r="K3" s="798"/>
      <c r="L3" s="798"/>
      <c r="M3" s="798"/>
      <c r="N3" s="798"/>
      <c r="O3" s="797"/>
      <c r="P3" s="797"/>
      <c r="Q3" s="797"/>
    </row>
    <row r="4" spans="1:17" customFormat="1" ht="30.75" customHeight="1" x14ac:dyDescent="0.15">
      <c r="A4" s="768" t="s">
        <v>836</v>
      </c>
      <c r="B4" s="768"/>
      <c r="C4" s="768"/>
      <c r="D4" s="768"/>
      <c r="E4" s="768"/>
      <c r="F4" s="768"/>
      <c r="G4" s="768"/>
      <c r="H4" s="768"/>
      <c r="I4" s="768"/>
      <c r="J4" s="768"/>
      <c r="K4" s="768"/>
      <c r="L4" s="768"/>
      <c r="M4" s="768"/>
      <c r="N4" s="768"/>
      <c r="O4" s="797"/>
      <c r="P4" s="797"/>
      <c r="Q4" s="797"/>
    </row>
    <row r="5" spans="1:17" customFormat="1" ht="19.5" customHeight="1" x14ac:dyDescent="0.15">
      <c r="A5" s="799" t="s">
        <v>966</v>
      </c>
      <c r="B5" s="800"/>
      <c r="C5" s="800"/>
      <c r="D5" s="800"/>
      <c r="E5" s="800"/>
      <c r="F5" s="800"/>
      <c r="G5" s="800"/>
      <c r="H5" s="800"/>
      <c r="I5" s="800"/>
      <c r="J5" s="800"/>
      <c r="K5" s="800"/>
      <c r="L5" s="800"/>
      <c r="M5" s="800"/>
      <c r="N5" s="800"/>
      <c r="O5" s="800"/>
      <c r="P5" s="800"/>
      <c r="Q5" s="801"/>
    </row>
    <row r="6" spans="1:17" x14ac:dyDescent="0.15">
      <c r="A6" s="790"/>
      <c r="B6" s="791"/>
      <c r="C6" s="791"/>
      <c r="D6" s="791"/>
      <c r="E6" s="791"/>
      <c r="F6" s="791"/>
      <c r="G6" s="791"/>
      <c r="H6" s="791"/>
      <c r="I6" s="791"/>
      <c r="J6" s="791"/>
      <c r="K6" s="791"/>
      <c r="L6" s="791"/>
      <c r="M6" s="791"/>
      <c r="N6" s="791"/>
      <c r="O6" s="791"/>
      <c r="P6" s="791"/>
      <c r="Q6" s="792"/>
    </row>
    <row r="7" spans="1:17" customFormat="1" ht="19.5" customHeight="1" x14ac:dyDescent="0.15">
      <c r="A7" s="132" t="s">
        <v>353</v>
      </c>
      <c r="B7" s="818" t="s">
        <v>1157</v>
      </c>
      <c r="C7" s="819"/>
      <c r="D7" s="819"/>
      <c r="E7" s="819"/>
      <c r="F7" s="819"/>
      <c r="G7" s="819"/>
      <c r="H7" s="819"/>
      <c r="I7" s="819"/>
      <c r="J7" s="819"/>
      <c r="K7" s="819"/>
      <c r="L7" s="819"/>
      <c r="M7" s="819"/>
      <c r="N7" s="819"/>
      <c r="O7" s="819"/>
      <c r="P7" s="819"/>
      <c r="Q7" s="820"/>
    </row>
    <row r="8" spans="1:17" s="121" customFormat="1" ht="18" customHeight="1" x14ac:dyDescent="0.15">
      <c r="A8" s="218" t="s">
        <v>0</v>
      </c>
      <c r="B8" s="793" t="s">
        <v>166</v>
      </c>
      <c r="C8" s="794"/>
      <c r="D8" s="794"/>
      <c r="E8" s="794"/>
      <c r="F8" s="794"/>
      <c r="G8" s="794"/>
      <c r="H8" s="794"/>
      <c r="I8" s="794"/>
      <c r="J8" s="794"/>
      <c r="K8" s="794"/>
      <c r="L8" s="794"/>
      <c r="M8" s="794"/>
      <c r="N8" s="821"/>
      <c r="O8" s="216" t="s">
        <v>73</v>
      </c>
      <c r="P8" s="795" t="s">
        <v>5</v>
      </c>
      <c r="Q8" s="796"/>
    </row>
    <row r="9" spans="1:17" x14ac:dyDescent="0.15">
      <c r="A9" s="790"/>
      <c r="B9" s="791"/>
      <c r="C9" s="791"/>
      <c r="D9" s="791"/>
      <c r="E9" s="791"/>
      <c r="F9" s="791"/>
      <c r="G9" s="791"/>
      <c r="H9" s="791"/>
      <c r="I9" s="791"/>
      <c r="J9" s="791"/>
      <c r="K9" s="791"/>
      <c r="L9" s="791"/>
      <c r="M9" s="791"/>
      <c r="N9" s="791"/>
      <c r="O9" s="791"/>
      <c r="P9" s="791"/>
      <c r="Q9" s="792"/>
    </row>
    <row r="10" spans="1:17" s="126" customFormat="1" x14ac:dyDescent="0.15">
      <c r="A10" s="822" t="s">
        <v>150</v>
      </c>
      <c r="B10" s="823" t="s">
        <v>151</v>
      </c>
      <c r="C10" s="823"/>
      <c r="D10" s="802" t="s">
        <v>658</v>
      </c>
      <c r="E10" s="823" t="s">
        <v>152</v>
      </c>
      <c r="F10" s="823"/>
      <c r="G10" s="823"/>
      <c r="H10" s="804" t="s">
        <v>153</v>
      </c>
      <c r="I10" s="802" t="s">
        <v>159</v>
      </c>
      <c r="J10" s="804" t="s">
        <v>73</v>
      </c>
      <c r="K10" s="216" t="s">
        <v>154</v>
      </c>
      <c r="L10" s="806"/>
      <c r="M10" s="807"/>
      <c r="N10" s="807"/>
      <c r="O10" s="807"/>
      <c r="P10" s="807"/>
      <c r="Q10" s="808"/>
    </row>
    <row r="11" spans="1:17" s="130" customFormat="1" x14ac:dyDescent="0.15">
      <c r="A11" s="822"/>
      <c r="B11" s="823"/>
      <c r="C11" s="823"/>
      <c r="D11" s="803"/>
      <c r="E11" s="217" t="s">
        <v>155</v>
      </c>
      <c r="F11" s="217" t="s">
        <v>156</v>
      </c>
      <c r="G11" s="217" t="s">
        <v>157</v>
      </c>
      <c r="H11" s="805"/>
      <c r="I11" s="803"/>
      <c r="J11" s="805"/>
      <c r="K11" s="216" t="s">
        <v>158</v>
      </c>
      <c r="L11" s="809"/>
      <c r="M11" s="810"/>
      <c r="N11" s="810"/>
      <c r="O11" s="810"/>
      <c r="P11" s="810"/>
      <c r="Q11" s="811"/>
    </row>
    <row r="12" spans="1:17" ht="22.5" customHeight="1" x14ac:dyDescent="0.15">
      <c r="A12" s="131"/>
      <c r="B12" s="815" t="s">
        <v>1144</v>
      </c>
      <c r="C12" s="816"/>
      <c r="D12" s="219">
        <v>0</v>
      </c>
      <c r="E12" s="132">
        <v>42</v>
      </c>
      <c r="F12" s="144">
        <v>0.5</v>
      </c>
      <c r="G12" s="144">
        <v>0</v>
      </c>
      <c r="H12" s="132">
        <v>1</v>
      </c>
      <c r="I12" s="132">
        <f>E12*F12</f>
        <v>21</v>
      </c>
      <c r="J12" s="144" t="s">
        <v>5</v>
      </c>
      <c r="K12" s="219">
        <f>I12*H12</f>
        <v>21</v>
      </c>
      <c r="L12" s="809"/>
      <c r="M12" s="810"/>
      <c r="N12" s="810"/>
      <c r="O12" s="810"/>
      <c r="P12" s="810"/>
      <c r="Q12" s="811"/>
    </row>
    <row r="13" spans="1:17" ht="22.5" customHeight="1" x14ac:dyDescent="0.15">
      <c r="A13" s="131"/>
      <c r="B13" s="815" t="s">
        <v>968</v>
      </c>
      <c r="C13" s="816"/>
      <c r="D13" s="219">
        <v>0</v>
      </c>
      <c r="E13" s="132">
        <v>17.79</v>
      </c>
      <c r="F13" s="144">
        <v>2</v>
      </c>
      <c r="G13" s="144">
        <v>0</v>
      </c>
      <c r="H13" s="132">
        <v>1</v>
      </c>
      <c r="I13" s="132">
        <f>E13*F13</f>
        <v>35.58</v>
      </c>
      <c r="J13" s="144" t="s">
        <v>5</v>
      </c>
      <c r="K13" s="219">
        <f>I13*H13</f>
        <v>35.58</v>
      </c>
      <c r="L13" s="809"/>
      <c r="M13" s="810"/>
      <c r="N13" s="810"/>
      <c r="O13" s="810"/>
      <c r="P13" s="810"/>
      <c r="Q13" s="811"/>
    </row>
    <row r="14" spans="1:17" ht="22.5" customHeight="1" x14ac:dyDescent="0.15">
      <c r="A14" s="131"/>
      <c r="B14" s="815" t="s">
        <v>1165</v>
      </c>
      <c r="C14" s="816"/>
      <c r="D14" s="219">
        <v>0</v>
      </c>
      <c r="E14" s="132">
        <v>19.05</v>
      </c>
      <c r="F14" s="144">
        <v>0.6</v>
      </c>
      <c r="G14" s="144">
        <v>0</v>
      </c>
      <c r="H14" s="132">
        <v>1</v>
      </c>
      <c r="I14" s="132">
        <f>E14*F14</f>
        <v>11.43</v>
      </c>
      <c r="J14" s="144" t="s">
        <v>5</v>
      </c>
      <c r="K14" s="219">
        <f>I14*H14</f>
        <v>11.43</v>
      </c>
      <c r="L14" s="809"/>
      <c r="M14" s="810"/>
      <c r="N14" s="810"/>
      <c r="O14" s="810"/>
      <c r="P14" s="810"/>
      <c r="Q14" s="811"/>
    </row>
    <row r="15" spans="1:17" ht="22.5" customHeight="1" x14ac:dyDescent="0.15">
      <c r="A15" s="795" t="s">
        <v>149</v>
      </c>
      <c r="B15" s="817"/>
      <c r="C15" s="817"/>
      <c r="D15" s="817"/>
      <c r="E15" s="817"/>
      <c r="F15" s="817"/>
      <c r="G15" s="817"/>
      <c r="H15" s="817"/>
      <c r="I15" s="817"/>
      <c r="J15" s="796"/>
      <c r="K15" s="418">
        <f>SUM(K12:K14)</f>
        <v>68.009999999999991</v>
      </c>
      <c r="L15" s="812"/>
      <c r="M15" s="813"/>
      <c r="N15" s="813"/>
      <c r="O15" s="813"/>
      <c r="P15" s="813"/>
      <c r="Q15" s="814"/>
    </row>
    <row r="16" spans="1:17" x14ac:dyDescent="0.15">
      <c r="A16" s="790"/>
      <c r="B16" s="791"/>
      <c r="C16" s="791"/>
      <c r="D16" s="791"/>
      <c r="E16" s="791"/>
      <c r="F16" s="791"/>
      <c r="G16" s="791"/>
      <c r="H16" s="791"/>
      <c r="I16" s="791"/>
      <c r="J16" s="791"/>
      <c r="K16" s="791"/>
      <c r="L16" s="791"/>
      <c r="M16" s="791"/>
      <c r="N16" s="791"/>
      <c r="O16" s="791"/>
      <c r="P16" s="791"/>
      <c r="Q16" s="792"/>
    </row>
    <row r="17" spans="1:17" s="121" customFormat="1" ht="18" customHeight="1" x14ac:dyDescent="0.15">
      <c r="A17" s="218" t="s">
        <v>0</v>
      </c>
      <c r="B17" s="793" t="s">
        <v>970</v>
      </c>
      <c r="C17" s="794"/>
      <c r="D17" s="794"/>
      <c r="E17" s="794"/>
      <c r="F17" s="794"/>
      <c r="G17" s="794"/>
      <c r="H17" s="794"/>
      <c r="I17" s="794"/>
      <c r="J17" s="794"/>
      <c r="K17" s="794"/>
      <c r="L17" s="794"/>
      <c r="M17" s="794"/>
      <c r="N17" s="821"/>
      <c r="O17" s="216" t="s">
        <v>73</v>
      </c>
      <c r="P17" s="795" t="s">
        <v>5</v>
      </c>
      <c r="Q17" s="796"/>
    </row>
    <row r="18" spans="1:17" x14ac:dyDescent="0.15">
      <c r="A18" s="790"/>
      <c r="B18" s="791"/>
      <c r="C18" s="791"/>
      <c r="D18" s="791"/>
      <c r="E18" s="791"/>
      <c r="F18" s="791"/>
      <c r="G18" s="791"/>
      <c r="H18" s="791"/>
      <c r="I18" s="791"/>
      <c r="J18" s="791"/>
      <c r="K18" s="791"/>
      <c r="L18" s="791"/>
      <c r="M18" s="791"/>
      <c r="N18" s="791"/>
      <c r="O18" s="791"/>
      <c r="P18" s="791"/>
      <c r="Q18" s="792"/>
    </row>
    <row r="19" spans="1:17" s="126" customFormat="1" x14ac:dyDescent="0.15">
      <c r="A19" s="822" t="s">
        <v>150</v>
      </c>
      <c r="B19" s="823" t="s">
        <v>151</v>
      </c>
      <c r="C19" s="823"/>
      <c r="D19" s="802" t="s">
        <v>658</v>
      </c>
      <c r="E19" s="823" t="s">
        <v>152</v>
      </c>
      <c r="F19" s="823"/>
      <c r="G19" s="823"/>
      <c r="H19" s="804" t="s">
        <v>153</v>
      </c>
      <c r="I19" s="802" t="s">
        <v>159</v>
      </c>
      <c r="J19" s="804" t="s">
        <v>73</v>
      </c>
      <c r="K19" s="216" t="s">
        <v>154</v>
      </c>
      <c r="L19" s="806"/>
      <c r="M19" s="807"/>
      <c r="N19" s="807"/>
      <c r="O19" s="807"/>
      <c r="P19" s="807"/>
      <c r="Q19" s="808"/>
    </row>
    <row r="20" spans="1:17" s="130" customFormat="1" x14ac:dyDescent="0.15">
      <c r="A20" s="822"/>
      <c r="B20" s="823"/>
      <c r="C20" s="823"/>
      <c r="D20" s="803"/>
      <c r="E20" s="217" t="s">
        <v>155</v>
      </c>
      <c r="F20" s="217" t="s">
        <v>156</v>
      </c>
      <c r="G20" s="217" t="s">
        <v>157</v>
      </c>
      <c r="H20" s="805"/>
      <c r="I20" s="803"/>
      <c r="J20" s="805"/>
      <c r="K20" s="216" t="s">
        <v>158</v>
      </c>
      <c r="L20" s="809"/>
      <c r="M20" s="810"/>
      <c r="N20" s="810"/>
      <c r="O20" s="810"/>
      <c r="P20" s="810"/>
      <c r="Q20" s="811"/>
    </row>
    <row r="21" spans="1:17" ht="22.5" customHeight="1" x14ac:dyDescent="0.15">
      <c r="A21" s="131"/>
      <c r="B21" s="815" t="s">
        <v>1059</v>
      </c>
      <c r="C21" s="816"/>
      <c r="D21" s="219">
        <v>93.85</v>
      </c>
      <c r="E21" s="132">
        <v>0</v>
      </c>
      <c r="F21" s="144">
        <v>0</v>
      </c>
      <c r="G21" s="144">
        <v>0</v>
      </c>
      <c r="H21" s="132">
        <v>1</v>
      </c>
      <c r="I21" s="132">
        <f>D21</f>
        <v>93.85</v>
      </c>
      <c r="J21" s="144" t="s">
        <v>5</v>
      </c>
      <c r="K21" s="219">
        <f>I21*H21</f>
        <v>93.85</v>
      </c>
      <c r="L21" s="809"/>
      <c r="M21" s="810"/>
      <c r="N21" s="810"/>
      <c r="O21" s="810"/>
      <c r="P21" s="810"/>
      <c r="Q21" s="811"/>
    </row>
    <row r="22" spans="1:17" ht="22.5" customHeight="1" x14ac:dyDescent="0.15">
      <c r="A22" s="795" t="s">
        <v>149</v>
      </c>
      <c r="B22" s="817"/>
      <c r="C22" s="817"/>
      <c r="D22" s="817"/>
      <c r="E22" s="817"/>
      <c r="F22" s="817"/>
      <c r="G22" s="817"/>
      <c r="H22" s="817"/>
      <c r="I22" s="817"/>
      <c r="J22" s="796"/>
      <c r="K22" s="418">
        <f>SUM(K21:K21)</f>
        <v>93.85</v>
      </c>
      <c r="L22" s="812"/>
      <c r="M22" s="813"/>
      <c r="N22" s="813"/>
      <c r="O22" s="813"/>
      <c r="P22" s="813"/>
      <c r="Q22" s="814"/>
    </row>
    <row r="23" spans="1:17" x14ac:dyDescent="0.15">
      <c r="A23" s="790"/>
      <c r="B23" s="791"/>
      <c r="C23" s="791"/>
      <c r="D23" s="791"/>
      <c r="E23" s="791"/>
      <c r="F23" s="791"/>
      <c r="G23" s="791"/>
      <c r="H23" s="791"/>
      <c r="I23" s="791"/>
      <c r="J23" s="791"/>
      <c r="K23" s="791"/>
      <c r="L23" s="791"/>
      <c r="M23" s="791"/>
      <c r="N23" s="791"/>
      <c r="O23" s="791"/>
      <c r="P23" s="791"/>
      <c r="Q23" s="792"/>
    </row>
    <row r="24" spans="1:17" s="121" customFormat="1" ht="18" customHeight="1" x14ac:dyDescent="0.15">
      <c r="A24" s="218" t="s">
        <v>0</v>
      </c>
      <c r="B24" s="793" t="s">
        <v>973</v>
      </c>
      <c r="C24" s="794"/>
      <c r="D24" s="794"/>
      <c r="E24" s="794"/>
      <c r="F24" s="794"/>
      <c r="G24" s="794"/>
      <c r="H24" s="794"/>
      <c r="I24" s="794"/>
      <c r="J24" s="794"/>
      <c r="K24" s="794"/>
      <c r="L24" s="794"/>
      <c r="M24" s="794"/>
      <c r="N24" s="821"/>
      <c r="O24" s="216" t="s">
        <v>73</v>
      </c>
      <c r="P24" s="795" t="s">
        <v>193</v>
      </c>
      <c r="Q24" s="796"/>
    </row>
    <row r="25" spans="1:17" x14ac:dyDescent="0.15">
      <c r="A25" s="790"/>
      <c r="B25" s="791"/>
      <c r="C25" s="791"/>
      <c r="D25" s="791"/>
      <c r="E25" s="791"/>
      <c r="F25" s="791"/>
      <c r="G25" s="791"/>
      <c r="H25" s="791"/>
      <c r="I25" s="791"/>
      <c r="J25" s="791"/>
      <c r="K25" s="791"/>
      <c r="L25" s="791"/>
      <c r="M25" s="791"/>
      <c r="N25" s="791"/>
      <c r="O25" s="791"/>
      <c r="P25" s="791"/>
      <c r="Q25" s="792"/>
    </row>
    <row r="26" spans="1:17" s="126" customFormat="1" x14ac:dyDescent="0.15">
      <c r="A26" s="822" t="s">
        <v>150</v>
      </c>
      <c r="B26" s="823" t="s">
        <v>151</v>
      </c>
      <c r="C26" s="823"/>
      <c r="D26" s="802" t="s">
        <v>658</v>
      </c>
      <c r="E26" s="823" t="s">
        <v>152</v>
      </c>
      <c r="F26" s="823"/>
      <c r="G26" s="823"/>
      <c r="H26" s="804" t="s">
        <v>153</v>
      </c>
      <c r="I26" s="802" t="s">
        <v>242</v>
      </c>
      <c r="J26" s="804" t="s">
        <v>73</v>
      </c>
      <c r="K26" s="216" t="s">
        <v>154</v>
      </c>
      <c r="L26" s="806"/>
      <c r="M26" s="807"/>
      <c r="N26" s="807"/>
      <c r="O26" s="807"/>
      <c r="P26" s="807"/>
      <c r="Q26" s="808"/>
    </row>
    <row r="27" spans="1:17" s="130" customFormat="1" x14ac:dyDescent="0.15">
      <c r="A27" s="822"/>
      <c r="B27" s="823"/>
      <c r="C27" s="823"/>
      <c r="D27" s="803"/>
      <c r="E27" s="217" t="s">
        <v>155</v>
      </c>
      <c r="F27" s="217" t="s">
        <v>156</v>
      </c>
      <c r="G27" s="217" t="s">
        <v>157</v>
      </c>
      <c r="H27" s="805"/>
      <c r="I27" s="803"/>
      <c r="J27" s="805"/>
      <c r="K27" s="216" t="s">
        <v>158</v>
      </c>
      <c r="L27" s="809"/>
      <c r="M27" s="810"/>
      <c r="N27" s="810"/>
      <c r="O27" s="810"/>
      <c r="P27" s="810"/>
      <c r="Q27" s="811"/>
    </row>
    <row r="28" spans="1:17" ht="22.5" customHeight="1" x14ac:dyDescent="0.15">
      <c r="A28" s="131"/>
      <c r="B28" s="815" t="s">
        <v>1084</v>
      </c>
      <c r="C28" s="816"/>
      <c r="D28" s="219">
        <v>0</v>
      </c>
      <c r="E28" s="132">
        <v>9.3800000000000008</v>
      </c>
      <c r="F28" s="144">
        <v>0</v>
      </c>
      <c r="G28" s="144">
        <v>0</v>
      </c>
      <c r="H28" s="132">
        <v>3</v>
      </c>
      <c r="I28" s="132">
        <f>E28</f>
        <v>9.3800000000000008</v>
      </c>
      <c r="J28" s="144" t="s">
        <v>193</v>
      </c>
      <c r="K28" s="219">
        <f>I28*H28</f>
        <v>28.14</v>
      </c>
      <c r="L28" s="809"/>
      <c r="M28" s="810"/>
      <c r="N28" s="810"/>
      <c r="O28" s="810"/>
      <c r="P28" s="810"/>
      <c r="Q28" s="811"/>
    </row>
    <row r="29" spans="1:17" ht="22.5" customHeight="1" x14ac:dyDescent="0.15">
      <c r="A29" s="131"/>
      <c r="B29" s="815" t="s">
        <v>1085</v>
      </c>
      <c r="C29" s="816"/>
      <c r="D29" s="219">
        <v>0</v>
      </c>
      <c r="E29" s="132">
        <v>10.88</v>
      </c>
      <c r="F29" s="144">
        <v>0</v>
      </c>
      <c r="G29" s="144">
        <v>0</v>
      </c>
      <c r="H29" s="132">
        <v>3</v>
      </c>
      <c r="I29" s="132">
        <f>E29</f>
        <v>10.88</v>
      </c>
      <c r="J29" s="144" t="s">
        <v>193</v>
      </c>
      <c r="K29" s="219">
        <f>I29*H29</f>
        <v>32.64</v>
      </c>
      <c r="L29" s="809"/>
      <c r="M29" s="810"/>
      <c r="N29" s="810"/>
      <c r="O29" s="810"/>
      <c r="P29" s="810"/>
      <c r="Q29" s="811"/>
    </row>
    <row r="30" spans="1:17" ht="22.5" customHeight="1" x14ac:dyDescent="0.15">
      <c r="A30" s="795" t="s">
        <v>149</v>
      </c>
      <c r="B30" s="817"/>
      <c r="C30" s="817"/>
      <c r="D30" s="817"/>
      <c r="E30" s="817"/>
      <c r="F30" s="817"/>
      <c r="G30" s="817"/>
      <c r="H30" s="817"/>
      <c r="I30" s="817"/>
      <c r="J30" s="796"/>
      <c r="K30" s="418">
        <f>SUM(K28:K29)</f>
        <v>60.78</v>
      </c>
      <c r="L30" s="812"/>
      <c r="M30" s="813"/>
      <c r="N30" s="813"/>
      <c r="O30" s="813"/>
      <c r="P30" s="813"/>
      <c r="Q30" s="814"/>
    </row>
    <row r="31" spans="1:17" x14ac:dyDescent="0.15">
      <c r="A31" s="790"/>
      <c r="B31" s="791"/>
      <c r="C31" s="791"/>
      <c r="D31" s="791"/>
      <c r="E31" s="791"/>
      <c r="F31" s="791"/>
      <c r="G31" s="791"/>
      <c r="H31" s="791"/>
      <c r="I31" s="791"/>
      <c r="J31" s="791"/>
      <c r="K31" s="791"/>
      <c r="L31" s="791"/>
      <c r="M31" s="791"/>
      <c r="N31" s="791"/>
      <c r="O31" s="791"/>
      <c r="P31" s="791"/>
      <c r="Q31" s="792"/>
    </row>
    <row r="32" spans="1:17" s="121" customFormat="1" ht="18" customHeight="1" x14ac:dyDescent="0.15">
      <c r="A32" s="218" t="s">
        <v>0</v>
      </c>
      <c r="B32" s="793" t="s">
        <v>977</v>
      </c>
      <c r="C32" s="794"/>
      <c r="D32" s="794"/>
      <c r="E32" s="794"/>
      <c r="F32" s="794"/>
      <c r="G32" s="794"/>
      <c r="H32" s="794"/>
      <c r="I32" s="794"/>
      <c r="J32" s="794"/>
      <c r="K32" s="794"/>
      <c r="L32" s="794"/>
      <c r="M32" s="794"/>
      <c r="N32" s="821"/>
      <c r="O32" s="216" t="s">
        <v>73</v>
      </c>
      <c r="P32" s="795" t="s">
        <v>19</v>
      </c>
      <c r="Q32" s="796"/>
    </row>
    <row r="33" spans="1:17" x14ac:dyDescent="0.15">
      <c r="A33" s="790"/>
      <c r="B33" s="791"/>
      <c r="C33" s="791"/>
      <c r="D33" s="791"/>
      <c r="E33" s="791"/>
      <c r="F33" s="791"/>
      <c r="G33" s="791"/>
      <c r="H33" s="791"/>
      <c r="I33" s="791"/>
      <c r="J33" s="791"/>
      <c r="K33" s="791"/>
      <c r="L33" s="791"/>
      <c r="M33" s="791"/>
      <c r="N33" s="791"/>
      <c r="O33" s="791"/>
      <c r="P33" s="791"/>
      <c r="Q33" s="792"/>
    </row>
    <row r="34" spans="1:17" s="126" customFormat="1" x14ac:dyDescent="0.15">
      <c r="A34" s="822" t="s">
        <v>150</v>
      </c>
      <c r="B34" s="823" t="s">
        <v>151</v>
      </c>
      <c r="C34" s="823"/>
      <c r="D34" s="802" t="s">
        <v>658</v>
      </c>
      <c r="E34" s="823" t="s">
        <v>152</v>
      </c>
      <c r="F34" s="823"/>
      <c r="G34" s="823"/>
      <c r="H34" s="804" t="s">
        <v>153</v>
      </c>
      <c r="I34" s="802" t="s">
        <v>976</v>
      </c>
      <c r="J34" s="804" t="s">
        <v>73</v>
      </c>
      <c r="K34" s="216" t="s">
        <v>154</v>
      </c>
      <c r="L34" s="806"/>
      <c r="M34" s="807"/>
      <c r="N34" s="807"/>
      <c r="O34" s="807"/>
      <c r="P34" s="807"/>
      <c r="Q34" s="808"/>
    </row>
    <row r="35" spans="1:17" s="130" customFormat="1" x14ac:dyDescent="0.15">
      <c r="A35" s="822"/>
      <c r="B35" s="823"/>
      <c r="C35" s="823"/>
      <c r="D35" s="803"/>
      <c r="E35" s="217" t="s">
        <v>155</v>
      </c>
      <c r="F35" s="217" t="s">
        <v>156</v>
      </c>
      <c r="G35" s="217" t="s">
        <v>157</v>
      </c>
      <c r="H35" s="805"/>
      <c r="I35" s="803"/>
      <c r="J35" s="805"/>
      <c r="K35" s="216" t="s">
        <v>158</v>
      </c>
      <c r="L35" s="809"/>
      <c r="M35" s="810"/>
      <c r="N35" s="810"/>
      <c r="O35" s="810"/>
      <c r="P35" s="810"/>
      <c r="Q35" s="811"/>
    </row>
    <row r="36" spans="1:17" ht="22.5" customHeight="1" x14ac:dyDescent="0.15">
      <c r="A36" s="131"/>
      <c r="B36" s="815" t="s">
        <v>975</v>
      </c>
      <c r="C36" s="816"/>
      <c r="D36" s="219">
        <v>0</v>
      </c>
      <c r="E36" s="132">
        <v>0</v>
      </c>
      <c r="F36" s="144">
        <v>0</v>
      </c>
      <c r="G36" s="144">
        <v>0</v>
      </c>
      <c r="H36" s="132">
        <v>1</v>
      </c>
      <c r="I36" s="132">
        <v>1</v>
      </c>
      <c r="J36" s="144" t="s">
        <v>19</v>
      </c>
      <c r="K36" s="219">
        <f>I36*H36</f>
        <v>1</v>
      </c>
      <c r="L36" s="809"/>
      <c r="M36" s="810"/>
      <c r="N36" s="810"/>
      <c r="O36" s="810"/>
      <c r="P36" s="810"/>
      <c r="Q36" s="811"/>
    </row>
    <row r="37" spans="1:17" ht="22.5" customHeight="1" x14ac:dyDescent="0.15">
      <c r="A37" s="795" t="s">
        <v>149</v>
      </c>
      <c r="B37" s="817"/>
      <c r="C37" s="817"/>
      <c r="D37" s="817"/>
      <c r="E37" s="817"/>
      <c r="F37" s="817"/>
      <c r="G37" s="817"/>
      <c r="H37" s="817"/>
      <c r="I37" s="817"/>
      <c r="J37" s="796"/>
      <c r="K37" s="418">
        <f>SUM(K36:K36)</f>
        <v>1</v>
      </c>
      <c r="L37" s="812"/>
      <c r="M37" s="813"/>
      <c r="N37" s="813"/>
      <c r="O37" s="813"/>
      <c r="P37" s="813"/>
      <c r="Q37" s="814"/>
    </row>
    <row r="38" spans="1:17" x14ac:dyDescent="0.15">
      <c r="A38" s="790"/>
      <c r="B38" s="791"/>
      <c r="C38" s="791"/>
      <c r="D38" s="791"/>
      <c r="E38" s="791"/>
      <c r="F38" s="791"/>
      <c r="G38" s="791"/>
      <c r="H38" s="791"/>
      <c r="I38" s="791"/>
      <c r="J38" s="791"/>
      <c r="K38" s="791"/>
      <c r="L38" s="791"/>
      <c r="M38" s="791"/>
      <c r="N38" s="791"/>
      <c r="O38" s="791"/>
      <c r="P38" s="791"/>
      <c r="Q38" s="792"/>
    </row>
    <row r="39" spans="1:17" s="121" customFormat="1" ht="18" customHeight="1" x14ac:dyDescent="0.15">
      <c r="A39" s="218" t="s">
        <v>0</v>
      </c>
      <c r="B39" s="793" t="s">
        <v>978</v>
      </c>
      <c r="C39" s="794"/>
      <c r="D39" s="794"/>
      <c r="E39" s="794"/>
      <c r="F39" s="794"/>
      <c r="G39" s="794"/>
      <c r="H39" s="794"/>
      <c r="I39" s="794"/>
      <c r="J39" s="794"/>
      <c r="K39" s="794"/>
      <c r="L39" s="794"/>
      <c r="M39" s="794"/>
      <c r="N39" s="821"/>
      <c r="O39" s="216" t="s">
        <v>73</v>
      </c>
      <c r="P39" s="795" t="s">
        <v>319</v>
      </c>
      <c r="Q39" s="796"/>
    </row>
    <row r="40" spans="1:17" x14ac:dyDescent="0.15">
      <c r="A40" s="790"/>
      <c r="B40" s="791"/>
      <c r="C40" s="791"/>
      <c r="D40" s="791"/>
      <c r="E40" s="791"/>
      <c r="F40" s="791"/>
      <c r="G40" s="791"/>
      <c r="H40" s="791"/>
      <c r="I40" s="791"/>
      <c r="J40" s="791"/>
      <c r="K40" s="791"/>
      <c r="L40" s="791"/>
      <c r="M40" s="791"/>
      <c r="N40" s="791"/>
      <c r="O40" s="791"/>
      <c r="P40" s="791"/>
      <c r="Q40" s="792"/>
    </row>
    <row r="41" spans="1:17" s="126" customFormat="1" x14ac:dyDescent="0.15">
      <c r="A41" s="822" t="s">
        <v>150</v>
      </c>
      <c r="B41" s="823" t="s">
        <v>151</v>
      </c>
      <c r="C41" s="823"/>
      <c r="D41" s="802" t="s">
        <v>658</v>
      </c>
      <c r="E41" s="823" t="s">
        <v>152</v>
      </c>
      <c r="F41" s="823"/>
      <c r="G41" s="823"/>
      <c r="H41" s="804" t="s">
        <v>153</v>
      </c>
      <c r="I41" s="802" t="s">
        <v>479</v>
      </c>
      <c r="J41" s="804" t="s">
        <v>73</v>
      </c>
      <c r="K41" s="216" t="s">
        <v>154</v>
      </c>
      <c r="L41" s="806"/>
      <c r="M41" s="807"/>
      <c r="N41" s="807"/>
      <c r="O41" s="807"/>
      <c r="P41" s="807"/>
      <c r="Q41" s="808"/>
    </row>
    <row r="42" spans="1:17" s="130" customFormat="1" x14ac:dyDescent="0.15">
      <c r="A42" s="822"/>
      <c r="B42" s="823"/>
      <c r="C42" s="823"/>
      <c r="D42" s="803"/>
      <c r="E42" s="217" t="s">
        <v>155</v>
      </c>
      <c r="F42" s="217" t="s">
        <v>156</v>
      </c>
      <c r="G42" s="217" t="s">
        <v>157</v>
      </c>
      <c r="H42" s="805"/>
      <c r="I42" s="803"/>
      <c r="J42" s="805"/>
      <c r="K42" s="216" t="s">
        <v>158</v>
      </c>
      <c r="L42" s="809"/>
      <c r="M42" s="810"/>
      <c r="N42" s="810"/>
      <c r="O42" s="810"/>
      <c r="P42" s="810"/>
      <c r="Q42" s="811"/>
    </row>
    <row r="43" spans="1:17" ht="22.5" customHeight="1" x14ac:dyDescent="0.15">
      <c r="A43" s="131"/>
      <c r="B43" s="815" t="s">
        <v>254</v>
      </c>
      <c r="C43" s="816"/>
      <c r="D43" s="219">
        <v>0</v>
      </c>
      <c r="E43" s="132">
        <v>0</v>
      </c>
      <c r="F43" s="144">
        <v>0</v>
      </c>
      <c r="G43" s="144">
        <v>0</v>
      </c>
      <c r="H43" s="132">
        <v>2</v>
      </c>
      <c r="I43" s="132">
        <v>1</v>
      </c>
      <c r="J43" s="144" t="s">
        <v>519</v>
      </c>
      <c r="K43" s="219">
        <f>I43*H43</f>
        <v>2</v>
      </c>
      <c r="L43" s="809"/>
      <c r="M43" s="810"/>
      <c r="N43" s="810"/>
      <c r="O43" s="810"/>
      <c r="P43" s="810"/>
      <c r="Q43" s="811"/>
    </row>
    <row r="44" spans="1:17" ht="22.5" customHeight="1" x14ac:dyDescent="0.15">
      <c r="A44" s="795" t="s">
        <v>149</v>
      </c>
      <c r="B44" s="817"/>
      <c r="C44" s="817"/>
      <c r="D44" s="817"/>
      <c r="E44" s="817"/>
      <c r="F44" s="817"/>
      <c r="G44" s="817"/>
      <c r="H44" s="817"/>
      <c r="I44" s="817"/>
      <c r="J44" s="796"/>
      <c r="K44" s="418">
        <f>SUM(K43:K43)</f>
        <v>2</v>
      </c>
      <c r="L44" s="812"/>
      <c r="M44" s="813"/>
      <c r="N44" s="813"/>
      <c r="O44" s="813"/>
      <c r="P44" s="813"/>
      <c r="Q44" s="814"/>
    </row>
    <row r="45" spans="1:17" x14ac:dyDescent="0.15">
      <c r="A45" s="790"/>
      <c r="B45" s="791"/>
      <c r="C45" s="791"/>
      <c r="D45" s="791"/>
      <c r="E45" s="791"/>
      <c r="F45" s="791"/>
      <c r="G45" s="791"/>
      <c r="H45" s="791"/>
      <c r="I45" s="791"/>
      <c r="J45" s="791"/>
      <c r="K45" s="791"/>
      <c r="L45" s="791"/>
      <c r="M45" s="791"/>
      <c r="N45" s="791"/>
      <c r="O45" s="791"/>
      <c r="P45" s="791"/>
      <c r="Q45" s="792"/>
    </row>
    <row r="46" spans="1:17" s="121" customFormat="1" ht="18" customHeight="1" x14ac:dyDescent="0.15">
      <c r="A46" s="218" t="s">
        <v>0</v>
      </c>
      <c r="B46" s="793" t="s">
        <v>979</v>
      </c>
      <c r="C46" s="794"/>
      <c r="D46" s="794"/>
      <c r="E46" s="794"/>
      <c r="F46" s="794"/>
      <c r="G46" s="794"/>
      <c r="H46" s="794"/>
      <c r="I46" s="794"/>
      <c r="J46" s="794"/>
      <c r="K46" s="794"/>
      <c r="L46" s="794"/>
      <c r="M46" s="794"/>
      <c r="N46" s="821"/>
      <c r="O46" s="216" t="s">
        <v>73</v>
      </c>
      <c r="P46" s="795" t="s">
        <v>319</v>
      </c>
      <c r="Q46" s="796"/>
    </row>
    <row r="47" spans="1:17" x14ac:dyDescent="0.15">
      <c r="A47" s="790"/>
      <c r="B47" s="791"/>
      <c r="C47" s="791"/>
      <c r="D47" s="791"/>
      <c r="E47" s="791"/>
      <c r="F47" s="791"/>
      <c r="G47" s="791"/>
      <c r="H47" s="791"/>
      <c r="I47" s="791"/>
      <c r="J47" s="791"/>
      <c r="K47" s="791"/>
      <c r="L47" s="791"/>
      <c r="M47" s="791"/>
      <c r="N47" s="791"/>
      <c r="O47" s="791"/>
      <c r="P47" s="791"/>
      <c r="Q47" s="792"/>
    </row>
    <row r="48" spans="1:17" s="126" customFormat="1" x14ac:dyDescent="0.15">
      <c r="A48" s="822" t="s">
        <v>150</v>
      </c>
      <c r="B48" s="823" t="s">
        <v>151</v>
      </c>
      <c r="C48" s="823"/>
      <c r="D48" s="802" t="s">
        <v>658</v>
      </c>
      <c r="E48" s="823" t="s">
        <v>152</v>
      </c>
      <c r="F48" s="823"/>
      <c r="G48" s="823"/>
      <c r="H48" s="804" t="s">
        <v>153</v>
      </c>
      <c r="I48" s="802" t="s">
        <v>479</v>
      </c>
      <c r="J48" s="804" t="s">
        <v>73</v>
      </c>
      <c r="K48" s="216" t="s">
        <v>154</v>
      </c>
      <c r="L48" s="806"/>
      <c r="M48" s="807"/>
      <c r="N48" s="807"/>
      <c r="O48" s="807"/>
      <c r="P48" s="807"/>
      <c r="Q48" s="808"/>
    </row>
    <row r="49" spans="1:17" s="130" customFormat="1" x14ac:dyDescent="0.15">
      <c r="A49" s="822"/>
      <c r="B49" s="823"/>
      <c r="C49" s="823"/>
      <c r="D49" s="803"/>
      <c r="E49" s="217" t="s">
        <v>155</v>
      </c>
      <c r="F49" s="217" t="s">
        <v>156</v>
      </c>
      <c r="G49" s="217" t="s">
        <v>157</v>
      </c>
      <c r="H49" s="805"/>
      <c r="I49" s="803"/>
      <c r="J49" s="805"/>
      <c r="K49" s="216" t="s">
        <v>158</v>
      </c>
      <c r="L49" s="809"/>
      <c r="M49" s="810"/>
      <c r="N49" s="810"/>
      <c r="O49" s="810"/>
      <c r="P49" s="810"/>
      <c r="Q49" s="811"/>
    </row>
    <row r="50" spans="1:17" ht="22.5" customHeight="1" x14ac:dyDescent="0.15">
      <c r="A50" s="131"/>
      <c r="B50" s="815" t="s">
        <v>168</v>
      </c>
      <c r="C50" s="816"/>
      <c r="D50" s="219">
        <v>0</v>
      </c>
      <c r="E50" s="132">
        <v>0</v>
      </c>
      <c r="F50" s="144">
        <v>0</v>
      </c>
      <c r="G50" s="144">
        <v>0</v>
      </c>
      <c r="H50" s="132">
        <v>2</v>
      </c>
      <c r="I50" s="132">
        <v>1</v>
      </c>
      <c r="J50" s="144" t="s">
        <v>519</v>
      </c>
      <c r="K50" s="219">
        <f>I50*H50</f>
        <v>2</v>
      </c>
      <c r="L50" s="809"/>
      <c r="M50" s="810"/>
      <c r="N50" s="810"/>
      <c r="O50" s="810"/>
      <c r="P50" s="810"/>
      <c r="Q50" s="811"/>
    </row>
    <row r="51" spans="1:17" ht="22.5" customHeight="1" x14ac:dyDescent="0.15">
      <c r="A51" s="795" t="s">
        <v>149</v>
      </c>
      <c r="B51" s="817"/>
      <c r="C51" s="817"/>
      <c r="D51" s="817"/>
      <c r="E51" s="817"/>
      <c r="F51" s="817"/>
      <c r="G51" s="817"/>
      <c r="H51" s="817"/>
      <c r="I51" s="817"/>
      <c r="J51" s="796"/>
      <c r="K51" s="418">
        <f>SUM(K50:K50)</f>
        <v>2</v>
      </c>
      <c r="L51" s="812"/>
      <c r="M51" s="813"/>
      <c r="N51" s="813"/>
      <c r="O51" s="813"/>
      <c r="P51" s="813"/>
      <c r="Q51" s="814"/>
    </row>
    <row r="52" spans="1:17" x14ac:dyDescent="0.15">
      <c r="A52" s="790"/>
      <c r="B52" s="791"/>
      <c r="C52" s="791"/>
      <c r="D52" s="791"/>
      <c r="E52" s="791"/>
      <c r="F52" s="791"/>
      <c r="G52" s="791"/>
      <c r="H52" s="791"/>
      <c r="I52" s="791"/>
      <c r="J52" s="791"/>
      <c r="K52" s="791"/>
      <c r="L52" s="791"/>
      <c r="M52" s="791"/>
      <c r="N52" s="791"/>
      <c r="O52" s="791"/>
      <c r="P52" s="791"/>
      <c r="Q52" s="792"/>
    </row>
    <row r="53" spans="1:17" s="121" customFormat="1" ht="18" customHeight="1" x14ac:dyDescent="0.15">
      <c r="A53" s="218" t="s">
        <v>0</v>
      </c>
      <c r="B53" s="793" t="s">
        <v>995</v>
      </c>
      <c r="C53" s="794"/>
      <c r="D53" s="794"/>
      <c r="E53" s="794"/>
      <c r="F53" s="794"/>
      <c r="G53" s="794"/>
      <c r="H53" s="794"/>
      <c r="I53" s="794"/>
      <c r="J53" s="794"/>
      <c r="K53" s="794"/>
      <c r="L53" s="794"/>
      <c r="M53" s="794"/>
      <c r="N53" s="821"/>
      <c r="O53" s="216" t="s">
        <v>73</v>
      </c>
      <c r="P53" s="795" t="s">
        <v>5</v>
      </c>
      <c r="Q53" s="796"/>
    </row>
    <row r="54" spans="1:17" x14ac:dyDescent="0.15">
      <c r="A54" s="790"/>
      <c r="B54" s="791"/>
      <c r="C54" s="791"/>
      <c r="D54" s="791"/>
      <c r="E54" s="791"/>
      <c r="F54" s="791"/>
      <c r="G54" s="791"/>
      <c r="H54" s="791"/>
      <c r="I54" s="791"/>
      <c r="J54" s="791"/>
      <c r="K54" s="791"/>
      <c r="L54" s="791"/>
      <c r="M54" s="791"/>
      <c r="N54" s="791"/>
      <c r="O54" s="791"/>
      <c r="P54" s="791"/>
      <c r="Q54" s="792"/>
    </row>
    <row r="55" spans="1:17" s="126" customFormat="1" x14ac:dyDescent="0.15">
      <c r="A55" s="822" t="s">
        <v>150</v>
      </c>
      <c r="B55" s="823" t="s">
        <v>151</v>
      </c>
      <c r="C55" s="823"/>
      <c r="D55" s="802" t="s">
        <v>658</v>
      </c>
      <c r="E55" s="823" t="s">
        <v>152</v>
      </c>
      <c r="F55" s="823"/>
      <c r="G55" s="823"/>
      <c r="H55" s="804" t="s">
        <v>153</v>
      </c>
      <c r="I55" s="802" t="s">
        <v>159</v>
      </c>
      <c r="J55" s="804" t="s">
        <v>73</v>
      </c>
      <c r="K55" s="216" t="s">
        <v>154</v>
      </c>
      <c r="L55" s="806"/>
      <c r="M55" s="807"/>
      <c r="N55" s="807"/>
      <c r="O55" s="807"/>
      <c r="P55" s="807"/>
      <c r="Q55" s="808"/>
    </row>
    <row r="56" spans="1:17" s="130" customFormat="1" x14ac:dyDescent="0.15">
      <c r="A56" s="822"/>
      <c r="B56" s="823"/>
      <c r="C56" s="823"/>
      <c r="D56" s="803"/>
      <c r="E56" s="217" t="s">
        <v>155</v>
      </c>
      <c r="F56" s="217" t="s">
        <v>156</v>
      </c>
      <c r="G56" s="217" t="s">
        <v>157</v>
      </c>
      <c r="H56" s="805"/>
      <c r="I56" s="803"/>
      <c r="J56" s="805"/>
      <c r="K56" s="216" t="s">
        <v>158</v>
      </c>
      <c r="L56" s="809"/>
      <c r="M56" s="810"/>
      <c r="N56" s="810"/>
      <c r="O56" s="810"/>
      <c r="P56" s="810"/>
      <c r="Q56" s="811"/>
    </row>
    <row r="57" spans="1:17" ht="22.5" customHeight="1" x14ac:dyDescent="0.15">
      <c r="A57" s="131"/>
      <c r="B57" s="815" t="s">
        <v>1187</v>
      </c>
      <c r="C57" s="816"/>
      <c r="D57" s="219">
        <f>89.64*2</f>
        <v>179.28</v>
      </c>
      <c r="E57" s="132">
        <v>0</v>
      </c>
      <c r="F57" s="144">
        <v>0</v>
      </c>
      <c r="G57" s="144">
        <v>5.0000000000000001E-3</v>
      </c>
      <c r="H57" s="132">
        <v>1</v>
      </c>
      <c r="I57" s="132">
        <f>D57</f>
        <v>179.28</v>
      </c>
      <c r="J57" s="144" t="s">
        <v>5</v>
      </c>
      <c r="K57" s="219">
        <f>I57*H57</f>
        <v>179.28</v>
      </c>
      <c r="L57" s="809"/>
      <c r="M57" s="810"/>
      <c r="N57" s="810"/>
      <c r="O57" s="810"/>
      <c r="P57" s="810"/>
      <c r="Q57" s="811"/>
    </row>
    <row r="58" spans="1:17" ht="22.5" customHeight="1" x14ac:dyDescent="0.15">
      <c r="A58" s="131"/>
      <c r="B58" s="815" t="s">
        <v>1188</v>
      </c>
      <c r="C58" s="816"/>
      <c r="D58" s="219">
        <f>28.35*2</f>
        <v>56.7</v>
      </c>
      <c r="E58" s="132">
        <v>0</v>
      </c>
      <c r="F58" s="144">
        <v>0</v>
      </c>
      <c r="G58" s="144">
        <v>5.0000000000000001E-3</v>
      </c>
      <c r="H58" s="132">
        <v>1</v>
      </c>
      <c r="I58" s="132">
        <f>D58</f>
        <v>56.7</v>
      </c>
      <c r="J58" s="144" t="s">
        <v>5</v>
      </c>
      <c r="K58" s="219">
        <f>I58*H58</f>
        <v>56.7</v>
      </c>
      <c r="L58" s="809"/>
      <c r="M58" s="810"/>
      <c r="N58" s="810"/>
      <c r="O58" s="810"/>
      <c r="P58" s="810"/>
      <c r="Q58" s="811"/>
    </row>
    <row r="59" spans="1:17" ht="22.5" customHeight="1" x14ac:dyDescent="0.15">
      <c r="A59" s="795" t="s">
        <v>149</v>
      </c>
      <c r="B59" s="817"/>
      <c r="C59" s="817"/>
      <c r="D59" s="817"/>
      <c r="E59" s="817"/>
      <c r="F59" s="817"/>
      <c r="G59" s="817"/>
      <c r="H59" s="817"/>
      <c r="I59" s="817"/>
      <c r="J59" s="796"/>
      <c r="K59" s="418">
        <f>SUM(K57:K58)</f>
        <v>235.98000000000002</v>
      </c>
      <c r="L59" s="812"/>
      <c r="M59" s="813"/>
      <c r="N59" s="813"/>
      <c r="O59" s="813"/>
      <c r="P59" s="813"/>
      <c r="Q59" s="814"/>
    </row>
    <row r="60" spans="1:17" x14ac:dyDescent="0.15">
      <c r="A60" s="790"/>
      <c r="B60" s="791"/>
      <c r="C60" s="791"/>
      <c r="D60" s="791"/>
      <c r="E60" s="791"/>
      <c r="F60" s="791"/>
      <c r="G60" s="791"/>
      <c r="H60" s="791"/>
      <c r="I60" s="791"/>
      <c r="J60" s="791"/>
      <c r="K60" s="791"/>
      <c r="L60" s="791"/>
      <c r="M60" s="791"/>
      <c r="N60" s="791"/>
      <c r="O60" s="791"/>
      <c r="P60" s="791"/>
      <c r="Q60" s="792"/>
    </row>
    <row r="61" spans="1:17" s="121" customFormat="1" ht="18" customHeight="1" x14ac:dyDescent="0.15">
      <c r="A61" s="218" t="s">
        <v>0</v>
      </c>
      <c r="B61" s="793" t="s">
        <v>1184</v>
      </c>
      <c r="C61" s="794"/>
      <c r="D61" s="794"/>
      <c r="E61" s="794"/>
      <c r="F61" s="794"/>
      <c r="G61" s="794"/>
      <c r="H61" s="794"/>
      <c r="I61" s="794"/>
      <c r="J61" s="794"/>
      <c r="K61" s="794"/>
      <c r="L61" s="794"/>
      <c r="M61" s="794"/>
      <c r="N61" s="821"/>
      <c r="O61" s="216" t="s">
        <v>73</v>
      </c>
      <c r="P61" s="795" t="s">
        <v>319</v>
      </c>
      <c r="Q61" s="796"/>
    </row>
    <row r="62" spans="1:17" x14ac:dyDescent="0.15">
      <c r="A62" s="790"/>
      <c r="B62" s="791"/>
      <c r="C62" s="791"/>
      <c r="D62" s="791"/>
      <c r="E62" s="791"/>
      <c r="F62" s="791"/>
      <c r="G62" s="791"/>
      <c r="H62" s="791"/>
      <c r="I62" s="791"/>
      <c r="J62" s="791"/>
      <c r="K62" s="791"/>
      <c r="L62" s="791"/>
      <c r="M62" s="791"/>
      <c r="N62" s="791"/>
      <c r="O62" s="791"/>
      <c r="P62" s="791"/>
      <c r="Q62" s="792"/>
    </row>
    <row r="63" spans="1:17" s="126" customFormat="1" x14ac:dyDescent="0.15">
      <c r="A63" s="822" t="s">
        <v>150</v>
      </c>
      <c r="B63" s="823" t="s">
        <v>151</v>
      </c>
      <c r="C63" s="823"/>
      <c r="D63" s="802"/>
      <c r="E63" s="823" t="s">
        <v>152</v>
      </c>
      <c r="F63" s="823"/>
      <c r="G63" s="823"/>
      <c r="H63" s="802" t="s">
        <v>153</v>
      </c>
      <c r="I63" s="802" t="s">
        <v>479</v>
      </c>
      <c r="J63" s="804" t="s">
        <v>73</v>
      </c>
      <c r="K63" s="216" t="s">
        <v>154</v>
      </c>
      <c r="L63" s="123"/>
      <c r="M63" s="124"/>
      <c r="N63" s="124"/>
      <c r="O63" s="124"/>
      <c r="P63" s="124"/>
      <c r="Q63" s="125"/>
    </row>
    <row r="64" spans="1:17" s="130" customFormat="1" x14ac:dyDescent="0.15">
      <c r="A64" s="822"/>
      <c r="B64" s="823"/>
      <c r="C64" s="823"/>
      <c r="D64" s="803"/>
      <c r="E64" s="217" t="s">
        <v>155</v>
      </c>
      <c r="F64" s="217" t="s">
        <v>156</v>
      </c>
      <c r="G64" s="217" t="s">
        <v>157</v>
      </c>
      <c r="H64" s="803"/>
      <c r="I64" s="803"/>
      <c r="J64" s="805"/>
      <c r="K64" s="216" t="s">
        <v>158</v>
      </c>
      <c r="L64" s="127"/>
      <c r="M64" s="128"/>
      <c r="N64" s="128"/>
      <c r="O64" s="128"/>
      <c r="P64" s="128"/>
      <c r="Q64" s="129"/>
    </row>
    <row r="65" spans="1:17" ht="21.75" customHeight="1" x14ac:dyDescent="0.15">
      <c r="A65" s="148"/>
      <c r="B65" s="788" t="s">
        <v>1183</v>
      </c>
      <c r="C65" s="789"/>
      <c r="D65" s="149"/>
      <c r="E65" s="143">
        <v>2</v>
      </c>
      <c r="F65" s="143">
        <v>0</v>
      </c>
      <c r="G65" s="143">
        <v>1</v>
      </c>
      <c r="H65" s="143">
        <v>2</v>
      </c>
      <c r="I65" s="143">
        <v>1</v>
      </c>
      <c r="J65" s="133" t="s">
        <v>319</v>
      </c>
      <c r="K65" s="143">
        <f>I65*H65</f>
        <v>2</v>
      </c>
      <c r="L65" s="127"/>
      <c r="M65" s="128"/>
      <c r="N65" s="128"/>
      <c r="O65" s="128"/>
      <c r="P65" s="128"/>
      <c r="Q65" s="129"/>
    </row>
    <row r="66" spans="1:17" ht="21.75" customHeight="1" x14ac:dyDescent="0.15">
      <c r="A66" s="148"/>
      <c r="B66" s="788" t="s">
        <v>1223</v>
      </c>
      <c r="C66" s="789"/>
      <c r="D66" s="149"/>
      <c r="E66" s="143">
        <v>1</v>
      </c>
      <c r="F66" s="143">
        <v>0</v>
      </c>
      <c r="G66" s="143">
        <v>1</v>
      </c>
      <c r="H66" s="143">
        <v>1</v>
      </c>
      <c r="I66" s="143">
        <v>1</v>
      </c>
      <c r="J66" s="133" t="s">
        <v>319</v>
      </c>
      <c r="K66" s="143">
        <f>I66*H66</f>
        <v>1</v>
      </c>
      <c r="L66" s="127"/>
      <c r="M66" s="128"/>
      <c r="N66" s="128"/>
      <c r="O66" s="128"/>
      <c r="P66" s="128"/>
      <c r="Q66" s="129"/>
    </row>
    <row r="67" spans="1:17" ht="21.75" customHeight="1" x14ac:dyDescent="0.15">
      <c r="A67" s="148"/>
      <c r="B67" s="788" t="s">
        <v>1224</v>
      </c>
      <c r="C67" s="789"/>
      <c r="D67" s="149"/>
      <c r="E67" s="143">
        <v>1.2</v>
      </c>
      <c r="F67" s="143">
        <v>0</v>
      </c>
      <c r="G67" s="143">
        <v>1.2</v>
      </c>
      <c r="H67" s="143">
        <v>2</v>
      </c>
      <c r="I67" s="143">
        <v>1</v>
      </c>
      <c r="J67" s="133" t="s">
        <v>319</v>
      </c>
      <c r="K67" s="143">
        <f>I67*H67</f>
        <v>2</v>
      </c>
      <c r="L67" s="127"/>
      <c r="M67" s="128"/>
      <c r="N67" s="128"/>
      <c r="O67" s="128"/>
      <c r="P67" s="128"/>
      <c r="Q67" s="129"/>
    </row>
    <row r="68" spans="1:17" ht="14" x14ac:dyDescent="0.15">
      <c r="A68" s="795" t="s">
        <v>149</v>
      </c>
      <c r="B68" s="817"/>
      <c r="C68" s="817"/>
      <c r="D68" s="817"/>
      <c r="E68" s="817"/>
      <c r="F68" s="817"/>
      <c r="G68" s="817"/>
      <c r="H68" s="817"/>
      <c r="I68" s="817"/>
      <c r="J68" s="796"/>
      <c r="K68" s="418">
        <f>SUM(K65:K67)</f>
        <v>5</v>
      </c>
      <c r="L68" s="134"/>
      <c r="M68" s="135"/>
      <c r="N68" s="135"/>
      <c r="O68" s="135"/>
      <c r="P68" s="135"/>
      <c r="Q68" s="136"/>
    </row>
    <row r="69" spans="1:17" x14ac:dyDescent="0.15">
      <c r="A69" s="790"/>
      <c r="B69" s="791"/>
      <c r="C69" s="791"/>
      <c r="D69" s="791"/>
      <c r="E69" s="791"/>
      <c r="F69" s="791"/>
      <c r="G69" s="791"/>
      <c r="H69" s="791"/>
      <c r="I69" s="791"/>
      <c r="J69" s="791"/>
      <c r="K69" s="791"/>
      <c r="L69" s="791"/>
      <c r="M69" s="791"/>
      <c r="N69" s="791"/>
      <c r="O69" s="791"/>
      <c r="P69" s="791"/>
      <c r="Q69" s="792"/>
    </row>
    <row r="70" spans="1:17" s="121" customFormat="1" ht="18" customHeight="1" x14ac:dyDescent="0.15">
      <c r="A70" s="218" t="s">
        <v>0</v>
      </c>
      <c r="B70" s="793" t="s">
        <v>1145</v>
      </c>
      <c r="C70" s="794"/>
      <c r="D70" s="794"/>
      <c r="E70" s="794"/>
      <c r="F70" s="794"/>
      <c r="G70" s="794"/>
      <c r="H70" s="794"/>
      <c r="I70" s="794"/>
      <c r="J70" s="794"/>
      <c r="K70" s="794"/>
      <c r="L70" s="794"/>
      <c r="M70" s="794"/>
      <c r="N70" s="821"/>
      <c r="O70" s="216" t="s">
        <v>73</v>
      </c>
      <c r="P70" s="795" t="s">
        <v>5</v>
      </c>
      <c r="Q70" s="796"/>
    </row>
    <row r="71" spans="1:17" x14ac:dyDescent="0.15">
      <c r="A71" s="790"/>
      <c r="B71" s="791"/>
      <c r="C71" s="791"/>
      <c r="D71" s="791"/>
      <c r="E71" s="791"/>
      <c r="F71" s="791"/>
      <c r="G71" s="791"/>
      <c r="H71" s="791"/>
      <c r="I71" s="791"/>
      <c r="J71" s="791"/>
      <c r="K71" s="791"/>
      <c r="L71" s="791"/>
      <c r="M71" s="791"/>
      <c r="N71" s="791"/>
      <c r="O71" s="791"/>
      <c r="P71" s="791"/>
      <c r="Q71" s="792"/>
    </row>
    <row r="72" spans="1:17" s="126" customFormat="1" x14ac:dyDescent="0.15">
      <c r="A72" s="822" t="s">
        <v>150</v>
      </c>
      <c r="B72" s="823" t="s">
        <v>151</v>
      </c>
      <c r="C72" s="823"/>
      <c r="D72" s="802" t="s">
        <v>658</v>
      </c>
      <c r="E72" s="823" t="s">
        <v>152</v>
      </c>
      <c r="F72" s="823"/>
      <c r="G72" s="823"/>
      <c r="H72" s="804" t="s">
        <v>153</v>
      </c>
      <c r="I72" s="802" t="s">
        <v>159</v>
      </c>
      <c r="J72" s="804" t="s">
        <v>73</v>
      </c>
      <c r="K72" s="216" t="s">
        <v>154</v>
      </c>
      <c r="L72" s="806"/>
      <c r="M72" s="807"/>
      <c r="N72" s="807"/>
      <c r="O72" s="807"/>
      <c r="P72" s="807"/>
      <c r="Q72" s="808"/>
    </row>
    <row r="73" spans="1:17" s="130" customFormat="1" x14ac:dyDescent="0.15">
      <c r="A73" s="822"/>
      <c r="B73" s="823"/>
      <c r="C73" s="823"/>
      <c r="D73" s="803"/>
      <c r="E73" s="217" t="s">
        <v>155</v>
      </c>
      <c r="F73" s="217" t="s">
        <v>156</v>
      </c>
      <c r="G73" s="217" t="s">
        <v>157</v>
      </c>
      <c r="H73" s="805"/>
      <c r="I73" s="803"/>
      <c r="J73" s="805"/>
      <c r="K73" s="216" t="s">
        <v>158</v>
      </c>
      <c r="L73" s="809"/>
      <c r="M73" s="810"/>
      <c r="N73" s="810"/>
      <c r="O73" s="810"/>
      <c r="P73" s="810"/>
      <c r="Q73" s="811"/>
    </row>
    <row r="74" spans="1:17" ht="22.5" customHeight="1" x14ac:dyDescent="0.15">
      <c r="A74" s="131"/>
      <c r="B74" s="815" t="s">
        <v>1564</v>
      </c>
      <c r="C74" s="816"/>
      <c r="D74" s="219">
        <v>0</v>
      </c>
      <c r="E74" s="132">
        <v>42</v>
      </c>
      <c r="F74" s="144">
        <v>0</v>
      </c>
      <c r="G74" s="144">
        <v>2.5</v>
      </c>
      <c r="H74" s="132">
        <v>1</v>
      </c>
      <c r="I74" s="132">
        <f>E74*G74</f>
        <v>105</v>
      </c>
      <c r="J74" s="144" t="s">
        <v>5</v>
      </c>
      <c r="K74" s="219">
        <f>I74*H74</f>
        <v>105</v>
      </c>
      <c r="L74" s="809"/>
      <c r="M74" s="810"/>
      <c r="N74" s="810"/>
      <c r="O74" s="810"/>
      <c r="P74" s="810"/>
      <c r="Q74" s="811"/>
    </row>
    <row r="75" spans="1:17" ht="22.5" customHeight="1" x14ac:dyDescent="0.15">
      <c r="A75" s="795" t="s">
        <v>149</v>
      </c>
      <c r="B75" s="817"/>
      <c r="C75" s="817"/>
      <c r="D75" s="817"/>
      <c r="E75" s="817"/>
      <c r="F75" s="817"/>
      <c r="G75" s="817"/>
      <c r="H75" s="817"/>
      <c r="I75" s="817"/>
      <c r="J75" s="796"/>
      <c r="K75" s="418">
        <f>SUM(K74:K74)</f>
        <v>105</v>
      </c>
      <c r="L75" s="812"/>
      <c r="M75" s="813"/>
      <c r="N75" s="813"/>
      <c r="O75" s="813"/>
      <c r="P75" s="813"/>
      <c r="Q75" s="814"/>
    </row>
    <row r="76" spans="1:17" x14ac:dyDescent="0.15">
      <c r="A76" s="790"/>
      <c r="B76" s="791"/>
      <c r="C76" s="791"/>
      <c r="D76" s="791"/>
      <c r="E76" s="791"/>
      <c r="F76" s="791"/>
      <c r="G76" s="791"/>
      <c r="H76" s="791"/>
      <c r="I76" s="791"/>
      <c r="J76" s="791"/>
      <c r="K76" s="791"/>
      <c r="L76" s="791"/>
      <c r="M76" s="791"/>
      <c r="N76" s="791"/>
      <c r="O76" s="791"/>
      <c r="P76" s="791"/>
      <c r="Q76" s="792"/>
    </row>
    <row r="77" spans="1:17" s="121" customFormat="1" ht="18" customHeight="1" x14ac:dyDescent="0.15">
      <c r="A77" s="218" t="s">
        <v>0</v>
      </c>
      <c r="B77" s="793" t="s">
        <v>1167</v>
      </c>
      <c r="C77" s="794"/>
      <c r="D77" s="794"/>
      <c r="E77" s="794"/>
      <c r="F77" s="794"/>
      <c r="G77" s="794"/>
      <c r="H77" s="794"/>
      <c r="I77" s="794"/>
      <c r="J77" s="794"/>
      <c r="K77" s="794"/>
      <c r="L77" s="794"/>
      <c r="M77" s="794"/>
      <c r="N77" s="821"/>
      <c r="O77" s="216" t="s">
        <v>73</v>
      </c>
      <c r="P77" s="795" t="s">
        <v>5</v>
      </c>
      <c r="Q77" s="796"/>
    </row>
    <row r="78" spans="1:17" x14ac:dyDescent="0.15">
      <c r="A78" s="790"/>
      <c r="B78" s="791"/>
      <c r="C78" s="791"/>
      <c r="D78" s="791"/>
      <c r="E78" s="791"/>
      <c r="F78" s="791"/>
      <c r="G78" s="791"/>
      <c r="H78" s="791"/>
      <c r="I78" s="791"/>
      <c r="J78" s="791"/>
      <c r="K78" s="791"/>
      <c r="L78" s="791"/>
      <c r="M78" s="791"/>
      <c r="N78" s="791"/>
      <c r="O78" s="791"/>
      <c r="P78" s="791"/>
      <c r="Q78" s="792"/>
    </row>
    <row r="79" spans="1:17" s="126" customFormat="1" x14ac:dyDescent="0.15">
      <c r="A79" s="822" t="s">
        <v>150</v>
      </c>
      <c r="B79" s="823" t="s">
        <v>151</v>
      </c>
      <c r="C79" s="823"/>
      <c r="D79" s="802" t="s">
        <v>658</v>
      </c>
      <c r="E79" s="823" t="s">
        <v>152</v>
      </c>
      <c r="F79" s="823"/>
      <c r="G79" s="823"/>
      <c r="H79" s="804" t="s">
        <v>153</v>
      </c>
      <c r="I79" s="802" t="s">
        <v>159</v>
      </c>
      <c r="J79" s="804" t="s">
        <v>73</v>
      </c>
      <c r="K79" s="216" t="s">
        <v>154</v>
      </c>
      <c r="L79" s="806"/>
      <c r="M79" s="807"/>
      <c r="N79" s="807"/>
      <c r="O79" s="807"/>
      <c r="P79" s="807"/>
      <c r="Q79" s="808"/>
    </row>
    <row r="80" spans="1:17" s="130" customFormat="1" x14ac:dyDescent="0.15">
      <c r="A80" s="822"/>
      <c r="B80" s="823"/>
      <c r="C80" s="823"/>
      <c r="D80" s="803"/>
      <c r="E80" s="217" t="s">
        <v>155</v>
      </c>
      <c r="F80" s="217" t="s">
        <v>156</v>
      </c>
      <c r="G80" s="217" t="s">
        <v>157</v>
      </c>
      <c r="H80" s="805"/>
      <c r="I80" s="803"/>
      <c r="J80" s="805"/>
      <c r="K80" s="216" t="s">
        <v>158</v>
      </c>
      <c r="L80" s="809"/>
      <c r="M80" s="810"/>
      <c r="N80" s="810"/>
      <c r="O80" s="810"/>
      <c r="P80" s="810"/>
      <c r="Q80" s="811"/>
    </row>
    <row r="81" spans="1:17" ht="22.5" customHeight="1" x14ac:dyDescent="0.15">
      <c r="A81" s="131"/>
      <c r="B81" s="815" t="s">
        <v>1441</v>
      </c>
      <c r="C81" s="816"/>
      <c r="D81" s="219">
        <v>79.650000000000006</v>
      </c>
      <c r="E81" s="132">
        <v>0</v>
      </c>
      <c r="F81" s="144">
        <v>0</v>
      </c>
      <c r="G81" s="144">
        <v>0</v>
      </c>
      <c r="H81" s="132">
        <v>1</v>
      </c>
      <c r="I81" s="132">
        <f>D81</f>
        <v>79.650000000000006</v>
      </c>
      <c r="J81" s="144" t="s">
        <v>5</v>
      </c>
      <c r="K81" s="219">
        <f>I81*H81</f>
        <v>79.650000000000006</v>
      </c>
      <c r="L81" s="809"/>
      <c r="M81" s="810"/>
      <c r="N81" s="810"/>
      <c r="O81" s="810"/>
      <c r="P81" s="810"/>
      <c r="Q81" s="811"/>
    </row>
    <row r="82" spans="1:17" ht="22.5" customHeight="1" x14ac:dyDescent="0.15">
      <c r="A82" s="795" t="s">
        <v>149</v>
      </c>
      <c r="B82" s="817"/>
      <c r="C82" s="817"/>
      <c r="D82" s="817"/>
      <c r="E82" s="817"/>
      <c r="F82" s="817"/>
      <c r="G82" s="817"/>
      <c r="H82" s="817"/>
      <c r="I82" s="817"/>
      <c r="J82" s="796"/>
      <c r="K82" s="418">
        <f>SUM(K81:K81)</f>
        <v>79.650000000000006</v>
      </c>
      <c r="L82" s="812"/>
      <c r="M82" s="813"/>
      <c r="N82" s="813"/>
      <c r="O82" s="813"/>
      <c r="P82" s="813"/>
      <c r="Q82" s="814"/>
    </row>
    <row r="83" spans="1:17" x14ac:dyDescent="0.15">
      <c r="A83" s="790"/>
      <c r="B83" s="791"/>
      <c r="C83" s="791"/>
      <c r="D83" s="791"/>
      <c r="E83" s="791"/>
      <c r="F83" s="791"/>
      <c r="G83" s="791"/>
      <c r="H83" s="791"/>
      <c r="I83" s="791"/>
      <c r="J83" s="791"/>
      <c r="K83" s="791"/>
      <c r="L83" s="791"/>
      <c r="M83" s="791"/>
      <c r="N83" s="791"/>
      <c r="O83" s="791"/>
      <c r="P83" s="791"/>
      <c r="Q83" s="792"/>
    </row>
    <row r="84" spans="1:17" s="121" customFormat="1" ht="18" customHeight="1" x14ac:dyDescent="0.15">
      <c r="A84" s="218" t="s">
        <v>0</v>
      </c>
      <c r="B84" s="793" t="s">
        <v>1175</v>
      </c>
      <c r="C84" s="794"/>
      <c r="D84" s="794"/>
      <c r="E84" s="794"/>
      <c r="F84" s="794"/>
      <c r="G84" s="794"/>
      <c r="H84" s="794"/>
      <c r="I84" s="794"/>
      <c r="J84" s="794"/>
      <c r="K84" s="794"/>
      <c r="L84" s="794"/>
      <c r="M84" s="794"/>
      <c r="N84" s="821"/>
      <c r="O84" s="216" t="s">
        <v>73</v>
      </c>
      <c r="P84" s="795" t="s">
        <v>193</v>
      </c>
      <c r="Q84" s="796"/>
    </row>
    <row r="85" spans="1:17" x14ac:dyDescent="0.15">
      <c r="A85" s="790"/>
      <c r="B85" s="791"/>
      <c r="C85" s="791"/>
      <c r="D85" s="791"/>
      <c r="E85" s="791"/>
      <c r="F85" s="791"/>
      <c r="G85" s="791"/>
      <c r="H85" s="791"/>
      <c r="I85" s="791"/>
      <c r="J85" s="791"/>
      <c r="K85" s="791"/>
      <c r="L85" s="791"/>
      <c r="M85" s="791"/>
      <c r="N85" s="791"/>
      <c r="O85" s="791"/>
      <c r="P85" s="791"/>
      <c r="Q85" s="792"/>
    </row>
    <row r="86" spans="1:17" s="126" customFormat="1" x14ac:dyDescent="0.15">
      <c r="A86" s="822" t="s">
        <v>150</v>
      </c>
      <c r="B86" s="823" t="s">
        <v>151</v>
      </c>
      <c r="C86" s="823"/>
      <c r="D86" s="802" t="s">
        <v>658</v>
      </c>
      <c r="E86" s="823" t="s">
        <v>152</v>
      </c>
      <c r="F86" s="823"/>
      <c r="G86" s="823"/>
      <c r="H86" s="804" t="s">
        <v>153</v>
      </c>
      <c r="I86" s="802" t="s">
        <v>242</v>
      </c>
      <c r="J86" s="804" t="s">
        <v>73</v>
      </c>
      <c r="K86" s="216" t="s">
        <v>154</v>
      </c>
      <c r="L86" s="806"/>
      <c r="M86" s="807"/>
      <c r="N86" s="807"/>
      <c r="O86" s="807"/>
      <c r="P86" s="807"/>
      <c r="Q86" s="808"/>
    </row>
    <row r="87" spans="1:17" s="130" customFormat="1" x14ac:dyDescent="0.15">
      <c r="A87" s="822"/>
      <c r="B87" s="823"/>
      <c r="C87" s="823"/>
      <c r="D87" s="803"/>
      <c r="E87" s="217" t="s">
        <v>155</v>
      </c>
      <c r="F87" s="217" t="s">
        <v>156</v>
      </c>
      <c r="G87" s="217" t="s">
        <v>157</v>
      </c>
      <c r="H87" s="805"/>
      <c r="I87" s="803"/>
      <c r="J87" s="805"/>
      <c r="K87" s="216" t="s">
        <v>158</v>
      </c>
      <c r="L87" s="809"/>
      <c r="M87" s="810"/>
      <c r="N87" s="810"/>
      <c r="O87" s="810"/>
      <c r="P87" s="810"/>
      <c r="Q87" s="811"/>
    </row>
    <row r="88" spans="1:17" ht="22.5" customHeight="1" x14ac:dyDescent="0.15">
      <c r="A88" s="131"/>
      <c r="B88" s="815" t="s">
        <v>1176</v>
      </c>
      <c r="C88" s="816"/>
      <c r="D88" s="219">
        <v>0</v>
      </c>
      <c r="E88" s="132">
        <v>1.2</v>
      </c>
      <c r="F88" s="144">
        <v>0.1</v>
      </c>
      <c r="G88" s="144">
        <v>0.2</v>
      </c>
      <c r="H88" s="132">
        <v>8</v>
      </c>
      <c r="I88" s="132">
        <f>E88</f>
        <v>1.2</v>
      </c>
      <c r="J88" s="144" t="s">
        <v>193</v>
      </c>
      <c r="K88" s="219">
        <f>I88*H88</f>
        <v>9.6</v>
      </c>
      <c r="L88" s="809"/>
      <c r="M88" s="810"/>
      <c r="N88" s="810"/>
      <c r="O88" s="810"/>
      <c r="P88" s="810"/>
      <c r="Q88" s="811"/>
    </row>
    <row r="89" spans="1:17" ht="22.5" customHeight="1" x14ac:dyDescent="0.15">
      <c r="A89" s="795" t="s">
        <v>149</v>
      </c>
      <c r="B89" s="817"/>
      <c r="C89" s="817"/>
      <c r="D89" s="817"/>
      <c r="E89" s="817"/>
      <c r="F89" s="817"/>
      <c r="G89" s="817"/>
      <c r="H89" s="817"/>
      <c r="I89" s="817"/>
      <c r="J89" s="796"/>
      <c r="K89" s="418">
        <f>SUM(K88:K88)</f>
        <v>9.6</v>
      </c>
      <c r="L89" s="812"/>
      <c r="M89" s="813"/>
      <c r="N89" s="813"/>
      <c r="O89" s="813"/>
      <c r="P89" s="813"/>
      <c r="Q89" s="814"/>
    </row>
    <row r="90" spans="1:17" x14ac:dyDescent="0.15">
      <c r="A90" s="790"/>
      <c r="B90" s="791"/>
      <c r="C90" s="791"/>
      <c r="D90" s="791"/>
      <c r="E90" s="791"/>
      <c r="F90" s="791"/>
      <c r="G90" s="791"/>
      <c r="H90" s="791"/>
      <c r="I90" s="791"/>
      <c r="J90" s="791"/>
      <c r="K90" s="791"/>
      <c r="L90" s="791"/>
      <c r="M90" s="791"/>
      <c r="N90" s="791"/>
      <c r="O90" s="791"/>
      <c r="P90" s="791"/>
      <c r="Q90" s="792"/>
    </row>
    <row r="91" spans="1:17" s="121" customFormat="1" ht="18" customHeight="1" x14ac:dyDescent="0.15">
      <c r="A91" s="218" t="s">
        <v>0</v>
      </c>
      <c r="B91" s="793" t="s">
        <v>1178</v>
      </c>
      <c r="C91" s="794"/>
      <c r="D91" s="794"/>
      <c r="E91" s="794"/>
      <c r="F91" s="794"/>
      <c r="G91" s="794"/>
      <c r="H91" s="794"/>
      <c r="I91" s="794"/>
      <c r="J91" s="794"/>
      <c r="K91" s="794"/>
      <c r="L91" s="794"/>
      <c r="M91" s="794"/>
      <c r="N91" s="821"/>
      <c r="O91" s="216" t="s">
        <v>73</v>
      </c>
      <c r="P91" s="795" t="s">
        <v>319</v>
      </c>
      <c r="Q91" s="796"/>
    </row>
    <row r="92" spans="1:17" x14ac:dyDescent="0.15">
      <c r="A92" s="790"/>
      <c r="B92" s="791"/>
      <c r="C92" s="791"/>
      <c r="D92" s="791"/>
      <c r="E92" s="791"/>
      <c r="F92" s="791"/>
      <c r="G92" s="791"/>
      <c r="H92" s="791"/>
      <c r="I92" s="791"/>
      <c r="J92" s="791"/>
      <c r="K92" s="791"/>
      <c r="L92" s="791"/>
      <c r="M92" s="791"/>
      <c r="N92" s="791"/>
      <c r="O92" s="791"/>
      <c r="P92" s="791"/>
      <c r="Q92" s="792"/>
    </row>
    <row r="93" spans="1:17" s="126" customFormat="1" x14ac:dyDescent="0.15">
      <c r="A93" s="822" t="s">
        <v>150</v>
      </c>
      <c r="B93" s="823" t="s">
        <v>151</v>
      </c>
      <c r="C93" s="823"/>
      <c r="D93" s="802"/>
      <c r="E93" s="823" t="s">
        <v>152</v>
      </c>
      <c r="F93" s="823"/>
      <c r="G93" s="823"/>
      <c r="H93" s="802" t="s">
        <v>153</v>
      </c>
      <c r="I93" s="802" t="s">
        <v>479</v>
      </c>
      <c r="J93" s="804" t="s">
        <v>73</v>
      </c>
      <c r="K93" s="216" t="s">
        <v>154</v>
      </c>
      <c r="L93" s="123"/>
      <c r="M93" s="124"/>
      <c r="N93" s="124"/>
      <c r="O93" s="124"/>
      <c r="P93" s="124"/>
      <c r="Q93" s="125"/>
    </row>
    <row r="94" spans="1:17" s="130" customFormat="1" x14ac:dyDescent="0.15">
      <c r="A94" s="822"/>
      <c r="B94" s="823"/>
      <c r="C94" s="823"/>
      <c r="D94" s="803"/>
      <c r="E94" s="217" t="s">
        <v>155</v>
      </c>
      <c r="F94" s="217" t="s">
        <v>156</v>
      </c>
      <c r="G94" s="217" t="s">
        <v>157</v>
      </c>
      <c r="H94" s="803"/>
      <c r="I94" s="803"/>
      <c r="J94" s="805"/>
      <c r="K94" s="216" t="s">
        <v>158</v>
      </c>
      <c r="L94" s="127"/>
      <c r="M94" s="128"/>
      <c r="N94" s="128"/>
      <c r="O94" s="128"/>
      <c r="P94" s="128"/>
      <c r="Q94" s="129"/>
    </row>
    <row r="95" spans="1:17" ht="21.75" customHeight="1" x14ac:dyDescent="0.15">
      <c r="A95" s="148"/>
      <c r="B95" s="788" t="s">
        <v>1180</v>
      </c>
      <c r="C95" s="789"/>
      <c r="D95" s="149"/>
      <c r="E95" s="143">
        <v>1</v>
      </c>
      <c r="F95" s="143">
        <v>0</v>
      </c>
      <c r="G95" s="143">
        <v>2</v>
      </c>
      <c r="H95" s="143">
        <v>2</v>
      </c>
      <c r="I95" s="143">
        <v>1</v>
      </c>
      <c r="J95" s="133" t="s">
        <v>319</v>
      </c>
      <c r="K95" s="143">
        <f>I95*H95</f>
        <v>2</v>
      </c>
      <c r="L95" s="127"/>
      <c r="M95" s="128"/>
      <c r="N95" s="128"/>
      <c r="O95" s="128"/>
      <c r="P95" s="128"/>
      <c r="Q95" s="129"/>
    </row>
    <row r="96" spans="1:17" ht="21.75" customHeight="1" x14ac:dyDescent="0.15">
      <c r="A96" s="148"/>
      <c r="B96" s="788" t="s">
        <v>1181</v>
      </c>
      <c r="C96" s="789"/>
      <c r="D96" s="149"/>
      <c r="E96" s="143">
        <v>0.9</v>
      </c>
      <c r="F96" s="143">
        <v>0</v>
      </c>
      <c r="G96" s="143">
        <v>2</v>
      </c>
      <c r="H96" s="143">
        <v>4</v>
      </c>
      <c r="I96" s="143">
        <v>1</v>
      </c>
      <c r="J96" s="133" t="s">
        <v>319</v>
      </c>
      <c r="K96" s="143">
        <f>I96*H96</f>
        <v>4</v>
      </c>
      <c r="L96" s="127"/>
      <c r="M96" s="128"/>
      <c r="N96" s="128"/>
      <c r="O96" s="128"/>
      <c r="P96" s="128"/>
      <c r="Q96" s="129"/>
    </row>
    <row r="97" spans="1:17" ht="21.75" customHeight="1" x14ac:dyDescent="0.15">
      <c r="A97" s="148"/>
      <c r="B97" s="788" t="s">
        <v>1182</v>
      </c>
      <c r="C97" s="789"/>
      <c r="D97" s="149"/>
      <c r="E97" s="143">
        <v>0.7</v>
      </c>
      <c r="F97" s="143">
        <v>0</v>
      </c>
      <c r="G97" s="143">
        <v>2</v>
      </c>
      <c r="H97" s="143">
        <v>3</v>
      </c>
      <c r="I97" s="143">
        <v>1</v>
      </c>
      <c r="J97" s="133" t="s">
        <v>319</v>
      </c>
      <c r="K97" s="143">
        <f>I97*H97</f>
        <v>3</v>
      </c>
      <c r="L97" s="127"/>
      <c r="M97" s="128"/>
      <c r="N97" s="128"/>
      <c r="O97" s="128"/>
      <c r="P97" s="128"/>
      <c r="Q97" s="129"/>
    </row>
    <row r="98" spans="1:17" ht="14" x14ac:dyDescent="0.15">
      <c r="A98" s="795" t="s">
        <v>149</v>
      </c>
      <c r="B98" s="817"/>
      <c r="C98" s="817"/>
      <c r="D98" s="817"/>
      <c r="E98" s="817"/>
      <c r="F98" s="817"/>
      <c r="G98" s="817"/>
      <c r="H98" s="817"/>
      <c r="I98" s="817"/>
      <c r="J98" s="796"/>
      <c r="K98" s="418">
        <f>SUM(K95:K97)</f>
        <v>9</v>
      </c>
      <c r="L98" s="134"/>
      <c r="M98" s="135"/>
      <c r="N98" s="135"/>
      <c r="O98" s="135"/>
      <c r="P98" s="135"/>
      <c r="Q98" s="136"/>
    </row>
    <row r="99" spans="1:17" x14ac:dyDescent="0.15">
      <c r="A99" s="790"/>
      <c r="B99" s="791"/>
      <c r="C99" s="791"/>
      <c r="D99" s="791"/>
      <c r="E99" s="791"/>
      <c r="F99" s="791"/>
      <c r="G99" s="791"/>
      <c r="H99" s="791"/>
      <c r="I99" s="791"/>
      <c r="J99" s="791"/>
      <c r="K99" s="791"/>
      <c r="L99" s="791"/>
      <c r="M99" s="791"/>
      <c r="N99" s="791"/>
      <c r="O99" s="791"/>
      <c r="P99" s="791"/>
      <c r="Q99" s="792"/>
    </row>
    <row r="100" spans="1:17" s="121" customFormat="1" ht="18" customHeight="1" x14ac:dyDescent="0.15">
      <c r="A100" s="218" t="s">
        <v>0</v>
      </c>
      <c r="B100" s="793" t="s">
        <v>1179</v>
      </c>
      <c r="C100" s="794"/>
      <c r="D100" s="794"/>
      <c r="E100" s="794"/>
      <c r="F100" s="794"/>
      <c r="G100" s="794"/>
      <c r="H100" s="794"/>
      <c r="I100" s="794"/>
      <c r="J100" s="794"/>
      <c r="K100" s="794"/>
      <c r="L100" s="794"/>
      <c r="M100" s="794"/>
      <c r="N100" s="821"/>
      <c r="O100" s="216" t="s">
        <v>73</v>
      </c>
      <c r="P100" s="795" t="s">
        <v>319</v>
      </c>
      <c r="Q100" s="796"/>
    </row>
    <row r="101" spans="1:17" x14ac:dyDescent="0.15">
      <c r="A101" s="790"/>
      <c r="B101" s="791"/>
      <c r="C101" s="791"/>
      <c r="D101" s="791"/>
      <c r="E101" s="791"/>
      <c r="F101" s="791"/>
      <c r="G101" s="791"/>
      <c r="H101" s="791"/>
      <c r="I101" s="791"/>
      <c r="J101" s="791"/>
      <c r="K101" s="791"/>
      <c r="L101" s="791"/>
      <c r="M101" s="791"/>
      <c r="N101" s="791"/>
      <c r="O101" s="791"/>
      <c r="P101" s="791"/>
      <c r="Q101" s="792"/>
    </row>
    <row r="102" spans="1:17" s="126" customFormat="1" x14ac:dyDescent="0.15">
      <c r="A102" s="822" t="s">
        <v>150</v>
      </c>
      <c r="B102" s="823" t="s">
        <v>151</v>
      </c>
      <c r="C102" s="823"/>
      <c r="D102" s="802"/>
      <c r="E102" s="823" t="s">
        <v>152</v>
      </c>
      <c r="F102" s="823"/>
      <c r="G102" s="823"/>
      <c r="H102" s="802" t="s">
        <v>153</v>
      </c>
      <c r="I102" s="802" t="s">
        <v>479</v>
      </c>
      <c r="J102" s="804" t="s">
        <v>73</v>
      </c>
      <c r="K102" s="216" t="s">
        <v>154</v>
      </c>
      <c r="L102" s="123"/>
      <c r="M102" s="124"/>
      <c r="N102" s="124"/>
      <c r="O102" s="124"/>
      <c r="P102" s="124"/>
      <c r="Q102" s="125"/>
    </row>
    <row r="103" spans="1:17" s="130" customFormat="1" x14ac:dyDescent="0.15">
      <c r="A103" s="822"/>
      <c r="B103" s="823"/>
      <c r="C103" s="823"/>
      <c r="D103" s="803"/>
      <c r="E103" s="217" t="s">
        <v>155</v>
      </c>
      <c r="F103" s="217" t="s">
        <v>156</v>
      </c>
      <c r="G103" s="217" t="s">
        <v>157</v>
      </c>
      <c r="H103" s="803"/>
      <c r="I103" s="803"/>
      <c r="J103" s="805"/>
      <c r="K103" s="216" t="s">
        <v>158</v>
      </c>
      <c r="L103" s="127"/>
      <c r="M103" s="128"/>
      <c r="N103" s="128"/>
      <c r="O103" s="128"/>
      <c r="P103" s="128"/>
      <c r="Q103" s="129"/>
    </row>
    <row r="104" spans="1:17" ht="21.75" customHeight="1" x14ac:dyDescent="0.15">
      <c r="A104" s="148"/>
      <c r="B104" s="788" t="s">
        <v>1183</v>
      </c>
      <c r="C104" s="789"/>
      <c r="D104" s="149"/>
      <c r="E104" s="143">
        <v>2</v>
      </c>
      <c r="F104" s="143">
        <v>0</v>
      </c>
      <c r="G104" s="143">
        <v>1</v>
      </c>
      <c r="H104" s="143">
        <v>2</v>
      </c>
      <c r="I104" s="143">
        <v>1</v>
      </c>
      <c r="J104" s="133" t="s">
        <v>319</v>
      </c>
      <c r="K104" s="143">
        <f>I104*H104</f>
        <v>2</v>
      </c>
      <c r="L104" s="127"/>
      <c r="M104" s="128"/>
      <c r="N104" s="128"/>
      <c r="O104" s="128"/>
      <c r="P104" s="128"/>
      <c r="Q104" s="129"/>
    </row>
    <row r="105" spans="1:17" ht="14" x14ac:dyDescent="0.15">
      <c r="A105" s="795" t="s">
        <v>149</v>
      </c>
      <c r="B105" s="817"/>
      <c r="C105" s="817"/>
      <c r="D105" s="817"/>
      <c r="E105" s="817"/>
      <c r="F105" s="817"/>
      <c r="G105" s="817"/>
      <c r="H105" s="817"/>
      <c r="I105" s="817"/>
      <c r="J105" s="796"/>
      <c r="K105" s="418">
        <f>SUM(K104:K104)</f>
        <v>2</v>
      </c>
      <c r="L105" s="134"/>
      <c r="M105" s="135"/>
      <c r="N105" s="135"/>
      <c r="O105" s="135"/>
      <c r="P105" s="135"/>
      <c r="Q105" s="136"/>
    </row>
    <row r="106" spans="1:17" x14ac:dyDescent="0.15">
      <c r="A106" s="790"/>
      <c r="B106" s="791"/>
      <c r="C106" s="791"/>
      <c r="D106" s="791"/>
      <c r="E106" s="791"/>
      <c r="F106" s="791"/>
      <c r="G106" s="791"/>
      <c r="H106" s="791"/>
      <c r="I106" s="791"/>
      <c r="J106" s="791"/>
      <c r="K106" s="791"/>
      <c r="L106" s="791"/>
      <c r="M106" s="791"/>
      <c r="N106" s="791"/>
      <c r="O106" s="791"/>
      <c r="P106" s="791"/>
      <c r="Q106" s="792"/>
    </row>
    <row r="107" spans="1:17" s="121" customFormat="1" ht="18" customHeight="1" x14ac:dyDescent="0.15">
      <c r="A107" s="218" t="s">
        <v>0</v>
      </c>
      <c r="B107" s="827" t="s">
        <v>1532</v>
      </c>
      <c r="C107" s="828"/>
      <c r="D107" s="828"/>
      <c r="E107" s="828"/>
      <c r="F107" s="828"/>
      <c r="G107" s="828"/>
      <c r="H107" s="828"/>
      <c r="I107" s="828"/>
      <c r="J107" s="828"/>
      <c r="K107" s="828"/>
      <c r="L107" s="828"/>
      <c r="M107" s="828"/>
      <c r="N107" s="829"/>
      <c r="O107" s="216" t="s">
        <v>73</v>
      </c>
      <c r="P107" s="795" t="s">
        <v>6</v>
      </c>
      <c r="Q107" s="796"/>
    </row>
    <row r="108" spans="1:17" x14ac:dyDescent="0.15">
      <c r="A108" s="790"/>
      <c r="B108" s="791"/>
      <c r="C108" s="791"/>
      <c r="D108" s="791"/>
      <c r="E108" s="791"/>
      <c r="F108" s="791"/>
      <c r="G108" s="791"/>
      <c r="H108" s="791"/>
      <c r="I108" s="791"/>
      <c r="J108" s="791"/>
      <c r="K108" s="791"/>
      <c r="L108" s="791"/>
      <c r="M108" s="791"/>
      <c r="N108" s="791"/>
      <c r="O108" s="791"/>
      <c r="P108" s="791"/>
      <c r="Q108" s="792"/>
    </row>
    <row r="109" spans="1:17" s="126" customFormat="1" x14ac:dyDescent="0.15">
      <c r="A109" s="822" t="s">
        <v>150</v>
      </c>
      <c r="B109" s="823" t="s">
        <v>151</v>
      </c>
      <c r="C109" s="823"/>
      <c r="D109" s="802" t="s">
        <v>493</v>
      </c>
      <c r="E109" s="823" t="s">
        <v>152</v>
      </c>
      <c r="F109" s="823"/>
      <c r="G109" s="823"/>
      <c r="H109" s="804" t="s">
        <v>153</v>
      </c>
      <c r="I109" s="802" t="s">
        <v>160</v>
      </c>
      <c r="J109" s="804" t="s">
        <v>73</v>
      </c>
      <c r="K109" s="216" t="s">
        <v>154</v>
      </c>
      <c r="L109" s="806"/>
      <c r="M109" s="807"/>
      <c r="N109" s="807"/>
      <c r="O109" s="807"/>
      <c r="P109" s="807"/>
      <c r="Q109" s="808"/>
    </row>
    <row r="110" spans="1:17" s="130" customFormat="1" x14ac:dyDescent="0.15">
      <c r="A110" s="822"/>
      <c r="B110" s="823"/>
      <c r="C110" s="823"/>
      <c r="D110" s="803"/>
      <c r="E110" s="825" t="s">
        <v>657</v>
      </c>
      <c r="F110" s="826"/>
      <c r="G110" s="217" t="s">
        <v>659</v>
      </c>
      <c r="H110" s="805"/>
      <c r="I110" s="803"/>
      <c r="J110" s="805"/>
      <c r="K110" s="216" t="s">
        <v>158</v>
      </c>
      <c r="L110" s="809"/>
      <c r="M110" s="810"/>
      <c r="N110" s="810"/>
      <c r="O110" s="810"/>
      <c r="P110" s="810"/>
      <c r="Q110" s="811"/>
    </row>
    <row r="111" spans="1:17" ht="19.5" customHeight="1" x14ac:dyDescent="0.15">
      <c r="A111" s="131"/>
      <c r="B111" s="815" t="s">
        <v>1146</v>
      </c>
      <c r="C111" s="816"/>
      <c r="D111" s="219">
        <v>1.3</v>
      </c>
      <c r="E111" s="824">
        <f>K75</f>
        <v>105</v>
      </c>
      <c r="F111" s="824"/>
      <c r="G111" s="219">
        <v>0.15</v>
      </c>
      <c r="H111" s="132">
        <v>1</v>
      </c>
      <c r="I111" s="132">
        <f>E111*G111</f>
        <v>15.75</v>
      </c>
      <c r="J111" s="144" t="s">
        <v>6</v>
      </c>
      <c r="K111" s="219">
        <f>I111*D111</f>
        <v>20.475000000000001</v>
      </c>
      <c r="L111" s="809"/>
      <c r="M111" s="810"/>
      <c r="N111" s="810"/>
      <c r="O111" s="810"/>
      <c r="P111" s="810"/>
      <c r="Q111" s="811"/>
    </row>
    <row r="112" spans="1:17" ht="19.5" customHeight="1" x14ac:dyDescent="0.15">
      <c r="A112" s="131"/>
      <c r="B112" s="815" t="s">
        <v>991</v>
      </c>
      <c r="C112" s="816"/>
      <c r="D112" s="219">
        <v>1.3</v>
      </c>
      <c r="E112" s="824">
        <f>K22</f>
        <v>93.85</v>
      </c>
      <c r="F112" s="824"/>
      <c r="G112" s="219">
        <v>0.05</v>
      </c>
      <c r="H112" s="132">
        <v>1</v>
      </c>
      <c r="I112" s="132">
        <f>E112*G112</f>
        <v>4.6924999999999999</v>
      </c>
      <c r="J112" s="144" t="s">
        <v>6</v>
      </c>
      <c r="K112" s="219">
        <f>I112*D112</f>
        <v>6.10025</v>
      </c>
      <c r="L112" s="809"/>
      <c r="M112" s="810"/>
      <c r="N112" s="810"/>
      <c r="O112" s="810"/>
      <c r="P112" s="810"/>
      <c r="Q112" s="811"/>
    </row>
    <row r="113" spans="1:19" ht="19.5" customHeight="1" x14ac:dyDescent="0.15">
      <c r="A113" s="131"/>
      <c r="B113" s="815" t="s">
        <v>1185</v>
      </c>
      <c r="C113" s="816"/>
      <c r="D113" s="219">
        <v>1.3</v>
      </c>
      <c r="E113" s="824">
        <f>K82</f>
        <v>79.650000000000006</v>
      </c>
      <c r="F113" s="824"/>
      <c r="G113" s="219">
        <v>0.05</v>
      </c>
      <c r="H113" s="132">
        <v>1</v>
      </c>
      <c r="I113" s="132">
        <f>E113*G113</f>
        <v>3.9825000000000004</v>
      </c>
      <c r="J113" s="144" t="s">
        <v>6</v>
      </c>
      <c r="K113" s="219">
        <f>I113*D113</f>
        <v>5.1772500000000008</v>
      </c>
      <c r="L113" s="809"/>
      <c r="M113" s="810"/>
      <c r="N113" s="810"/>
      <c r="O113" s="810"/>
      <c r="P113" s="810"/>
      <c r="Q113" s="811"/>
    </row>
    <row r="114" spans="1:19" ht="19.5" customHeight="1" x14ac:dyDescent="0.15">
      <c r="A114" s="131"/>
      <c r="B114" s="815" t="s">
        <v>1186</v>
      </c>
      <c r="C114" s="816"/>
      <c r="D114" s="219">
        <v>1.3</v>
      </c>
      <c r="E114" s="824">
        <f>K89*0.2</f>
        <v>1.92</v>
      </c>
      <c r="F114" s="824"/>
      <c r="G114" s="219">
        <v>0.2</v>
      </c>
      <c r="H114" s="132">
        <v>1</v>
      </c>
      <c r="I114" s="132">
        <f>E114*G114</f>
        <v>0.38400000000000001</v>
      </c>
      <c r="J114" s="144" t="s">
        <v>6</v>
      </c>
      <c r="K114" s="219">
        <f>I114*D114</f>
        <v>0.49920000000000003</v>
      </c>
      <c r="L114" s="809"/>
      <c r="M114" s="810"/>
      <c r="N114" s="810"/>
      <c r="O114" s="810"/>
      <c r="P114" s="810"/>
      <c r="Q114" s="811"/>
    </row>
    <row r="115" spans="1:19" ht="22.5" customHeight="1" x14ac:dyDescent="0.15">
      <c r="A115" s="795" t="s">
        <v>149</v>
      </c>
      <c r="B115" s="817"/>
      <c r="C115" s="817"/>
      <c r="D115" s="817"/>
      <c r="E115" s="817"/>
      <c r="F115" s="817"/>
      <c r="G115" s="817"/>
      <c r="H115" s="817"/>
      <c r="I115" s="817"/>
      <c r="J115" s="796"/>
      <c r="K115" s="418">
        <f>SUM(K111:K114)</f>
        <v>32.2517</v>
      </c>
      <c r="L115" s="812"/>
      <c r="M115" s="813"/>
      <c r="N115" s="813"/>
      <c r="O115" s="813"/>
      <c r="P115" s="813"/>
      <c r="Q115" s="814"/>
    </row>
    <row r="116" spans="1:19" x14ac:dyDescent="0.15">
      <c r="A116" s="790"/>
      <c r="B116" s="791"/>
      <c r="C116" s="791"/>
      <c r="D116" s="791"/>
      <c r="E116" s="791"/>
      <c r="F116" s="791"/>
      <c r="G116" s="791"/>
      <c r="H116" s="791"/>
      <c r="I116" s="791"/>
      <c r="J116" s="791"/>
      <c r="K116" s="791"/>
      <c r="L116" s="791"/>
      <c r="M116" s="791"/>
      <c r="N116" s="791"/>
      <c r="O116" s="791"/>
      <c r="P116" s="791"/>
      <c r="Q116" s="792"/>
    </row>
    <row r="117" spans="1:19" s="121" customFormat="1" ht="18" customHeight="1" x14ac:dyDescent="0.15">
      <c r="A117" s="218" t="s">
        <v>0</v>
      </c>
      <c r="B117" s="830" t="s">
        <v>561</v>
      </c>
      <c r="C117" s="831"/>
      <c r="D117" s="831"/>
      <c r="E117" s="831"/>
      <c r="F117" s="831"/>
      <c r="G117" s="831"/>
      <c r="H117" s="831"/>
      <c r="I117" s="831"/>
      <c r="J117" s="831"/>
      <c r="K117" s="831"/>
      <c r="L117" s="831"/>
      <c r="M117" s="831"/>
      <c r="N117" s="831"/>
      <c r="O117" s="216" t="s">
        <v>73</v>
      </c>
      <c r="P117" s="795" t="s">
        <v>6</v>
      </c>
      <c r="Q117" s="796"/>
    </row>
    <row r="118" spans="1:19" x14ac:dyDescent="0.15">
      <c r="A118" s="790"/>
      <c r="B118" s="791"/>
      <c r="C118" s="791"/>
      <c r="D118" s="791"/>
      <c r="E118" s="791"/>
      <c r="F118" s="791"/>
      <c r="G118" s="791"/>
      <c r="H118" s="791"/>
      <c r="I118" s="791"/>
      <c r="J118" s="791"/>
      <c r="K118" s="791"/>
      <c r="L118" s="791"/>
      <c r="M118" s="791"/>
      <c r="N118" s="791"/>
      <c r="O118" s="791"/>
      <c r="P118" s="791"/>
      <c r="Q118" s="792"/>
    </row>
    <row r="119" spans="1:19" s="126" customFormat="1" x14ac:dyDescent="0.15">
      <c r="A119" s="822" t="s">
        <v>150</v>
      </c>
      <c r="B119" s="823" t="s">
        <v>151</v>
      </c>
      <c r="C119" s="823"/>
      <c r="D119" s="802"/>
      <c r="E119" s="823" t="s">
        <v>152</v>
      </c>
      <c r="F119" s="823"/>
      <c r="G119" s="823"/>
      <c r="H119" s="802" t="s">
        <v>153</v>
      </c>
      <c r="I119" s="802" t="s">
        <v>160</v>
      </c>
      <c r="J119" s="804" t="s">
        <v>73</v>
      </c>
      <c r="K119" s="216" t="s">
        <v>154</v>
      </c>
      <c r="L119" s="123"/>
      <c r="M119" s="124"/>
      <c r="N119" s="124"/>
      <c r="O119" s="124"/>
      <c r="P119" s="124"/>
      <c r="Q119" s="125"/>
    </row>
    <row r="120" spans="1:19" s="130" customFormat="1" x14ac:dyDescent="0.15">
      <c r="A120" s="822"/>
      <c r="B120" s="823"/>
      <c r="C120" s="823"/>
      <c r="D120" s="803"/>
      <c r="E120" s="217" t="s">
        <v>155</v>
      </c>
      <c r="F120" s="217" t="s">
        <v>156</v>
      </c>
      <c r="G120" s="217" t="s">
        <v>157</v>
      </c>
      <c r="H120" s="803"/>
      <c r="I120" s="803"/>
      <c r="J120" s="805"/>
      <c r="K120" s="216" t="s">
        <v>158</v>
      </c>
      <c r="L120" s="127"/>
      <c r="M120" s="128"/>
      <c r="N120" s="128"/>
      <c r="O120" s="128"/>
      <c r="P120" s="128"/>
      <c r="Q120" s="129"/>
    </row>
    <row r="121" spans="1:19" ht="31.5" customHeight="1" x14ac:dyDescent="0.15">
      <c r="A121" s="148"/>
      <c r="B121" s="788" t="s">
        <v>1147</v>
      </c>
      <c r="C121" s="789"/>
      <c r="D121" s="149"/>
      <c r="E121" s="143">
        <v>1</v>
      </c>
      <c r="F121" s="143">
        <v>1</v>
      </c>
      <c r="G121" s="143">
        <v>1.2</v>
      </c>
      <c r="H121" s="143">
        <v>1</v>
      </c>
      <c r="I121" s="143">
        <f t="shared" ref="I121:I125" si="0">(E121*F121*G121)</f>
        <v>1.2</v>
      </c>
      <c r="J121" s="133" t="s">
        <v>6</v>
      </c>
      <c r="K121" s="143">
        <f t="shared" ref="K121:K125" si="1">I121*H121</f>
        <v>1.2</v>
      </c>
      <c r="L121" s="127"/>
      <c r="M121" s="128"/>
      <c r="N121" s="128"/>
      <c r="O121" s="128"/>
      <c r="P121" s="128"/>
      <c r="Q121" s="129"/>
      <c r="S121" s="369"/>
    </row>
    <row r="122" spans="1:19" ht="31.5" customHeight="1" x14ac:dyDescent="0.15">
      <c r="A122" s="148"/>
      <c r="B122" s="788" t="s">
        <v>1560</v>
      </c>
      <c r="C122" s="789"/>
      <c r="D122" s="149"/>
      <c r="E122" s="143">
        <v>0.4</v>
      </c>
      <c r="F122" s="143">
        <v>0.4</v>
      </c>
      <c r="G122" s="143">
        <v>0.9</v>
      </c>
      <c r="H122" s="143">
        <v>15</v>
      </c>
      <c r="I122" s="143">
        <f t="shared" si="0"/>
        <v>0.14400000000000004</v>
      </c>
      <c r="J122" s="133" t="s">
        <v>6</v>
      </c>
      <c r="K122" s="143">
        <f t="shared" si="1"/>
        <v>2.1600000000000006</v>
      </c>
      <c r="L122" s="127"/>
      <c r="M122" s="128"/>
      <c r="N122" s="128"/>
      <c r="O122" s="128"/>
      <c r="P122" s="128"/>
      <c r="Q122" s="129"/>
      <c r="S122" s="369"/>
    </row>
    <row r="123" spans="1:19" ht="31.5" customHeight="1" x14ac:dyDescent="0.15">
      <c r="A123" s="148"/>
      <c r="B123" s="788" t="s">
        <v>1091</v>
      </c>
      <c r="C123" s="789"/>
      <c r="D123" s="149"/>
      <c r="E123" s="143">
        <v>42</v>
      </c>
      <c r="F123" s="143">
        <v>0.25</v>
      </c>
      <c r="G123" s="143">
        <v>0.25</v>
      </c>
      <c r="H123" s="143">
        <v>1</v>
      </c>
      <c r="I123" s="143">
        <f t="shared" si="0"/>
        <v>2.625</v>
      </c>
      <c r="J123" s="133" t="s">
        <v>6</v>
      </c>
      <c r="K123" s="143">
        <f t="shared" si="1"/>
        <v>2.625</v>
      </c>
      <c r="L123" s="127"/>
      <c r="M123" s="128"/>
      <c r="N123" s="128"/>
      <c r="O123" s="128"/>
      <c r="P123" s="128"/>
      <c r="Q123" s="129"/>
    </row>
    <row r="124" spans="1:19" ht="31.5" customHeight="1" x14ac:dyDescent="0.15">
      <c r="A124" s="148"/>
      <c r="B124" s="788" t="s">
        <v>1193</v>
      </c>
      <c r="C124" s="789"/>
      <c r="D124" s="149"/>
      <c r="E124" s="143">
        <v>19.05</v>
      </c>
      <c r="F124" s="143">
        <v>0.25</v>
      </c>
      <c r="G124" s="143">
        <v>0.25</v>
      </c>
      <c r="H124" s="143">
        <v>1</v>
      </c>
      <c r="I124" s="143">
        <f t="shared" ref="I124" si="2">(E124*F124*G124)</f>
        <v>1.190625</v>
      </c>
      <c r="J124" s="133" t="s">
        <v>6</v>
      </c>
      <c r="K124" s="143">
        <f t="shared" ref="K124" si="3">I124*H124</f>
        <v>1.190625</v>
      </c>
      <c r="L124" s="127"/>
      <c r="M124" s="128"/>
      <c r="N124" s="128"/>
      <c r="O124" s="128"/>
      <c r="P124" s="128"/>
      <c r="Q124" s="129"/>
    </row>
    <row r="125" spans="1:19" ht="31.5" customHeight="1" x14ac:dyDescent="0.15">
      <c r="A125" s="148"/>
      <c r="B125" s="788" t="s">
        <v>1005</v>
      </c>
      <c r="C125" s="789"/>
      <c r="D125" s="149"/>
      <c r="E125" s="143">
        <v>2.5</v>
      </c>
      <c r="F125" s="143">
        <v>1.5</v>
      </c>
      <c r="G125" s="143">
        <v>1.6</v>
      </c>
      <c r="H125" s="143">
        <v>1</v>
      </c>
      <c r="I125" s="143">
        <f t="shared" si="0"/>
        <v>6</v>
      </c>
      <c r="J125" s="133" t="s">
        <v>6</v>
      </c>
      <c r="K125" s="143">
        <f t="shared" si="1"/>
        <v>6</v>
      </c>
      <c r="L125" s="127"/>
      <c r="M125" s="128"/>
      <c r="N125" s="128"/>
      <c r="O125" s="128"/>
      <c r="P125" s="128"/>
      <c r="Q125" s="129"/>
    </row>
    <row r="126" spans="1:19" ht="14" x14ac:dyDescent="0.15">
      <c r="A126" s="795" t="s">
        <v>149</v>
      </c>
      <c r="B126" s="817"/>
      <c r="C126" s="817"/>
      <c r="D126" s="817"/>
      <c r="E126" s="817"/>
      <c r="F126" s="817"/>
      <c r="G126" s="817"/>
      <c r="H126" s="817"/>
      <c r="I126" s="817"/>
      <c r="J126" s="796"/>
      <c r="K126" s="418">
        <f>SUM(K121:K125)</f>
        <v>13.175625</v>
      </c>
      <c r="L126" s="134"/>
      <c r="M126" s="135"/>
      <c r="N126" s="135"/>
      <c r="O126" s="135"/>
      <c r="P126" s="135"/>
      <c r="Q126" s="136"/>
    </row>
    <row r="127" spans="1:19" x14ac:dyDescent="0.15">
      <c r="A127" s="790"/>
      <c r="B127" s="791"/>
      <c r="C127" s="791"/>
      <c r="D127" s="791"/>
      <c r="E127" s="791"/>
      <c r="F127" s="791"/>
      <c r="G127" s="791"/>
      <c r="H127" s="791"/>
      <c r="I127" s="791"/>
      <c r="J127" s="791"/>
      <c r="K127" s="791"/>
      <c r="L127" s="791"/>
      <c r="M127" s="791"/>
      <c r="N127" s="791"/>
      <c r="O127" s="791"/>
      <c r="P127" s="791"/>
      <c r="Q127" s="792"/>
    </row>
    <row r="128" spans="1:19" s="121" customFormat="1" ht="18" customHeight="1" x14ac:dyDescent="0.15">
      <c r="A128" s="218" t="s">
        <v>0</v>
      </c>
      <c r="B128" s="830" t="s">
        <v>523</v>
      </c>
      <c r="C128" s="831"/>
      <c r="D128" s="831"/>
      <c r="E128" s="831"/>
      <c r="F128" s="831"/>
      <c r="G128" s="831"/>
      <c r="H128" s="831"/>
      <c r="I128" s="831"/>
      <c r="J128" s="831"/>
      <c r="K128" s="831"/>
      <c r="L128" s="831"/>
      <c r="M128" s="831"/>
      <c r="N128" s="831"/>
      <c r="O128" s="216" t="s">
        <v>73</v>
      </c>
      <c r="P128" s="795" t="s">
        <v>6</v>
      </c>
      <c r="Q128" s="796"/>
    </row>
    <row r="129" spans="1:17" x14ac:dyDescent="0.15">
      <c r="A129" s="790"/>
      <c r="B129" s="791"/>
      <c r="C129" s="791"/>
      <c r="D129" s="791"/>
      <c r="E129" s="791"/>
      <c r="F129" s="791"/>
      <c r="G129" s="791"/>
      <c r="H129" s="791"/>
      <c r="I129" s="791"/>
      <c r="J129" s="791"/>
      <c r="K129" s="791"/>
      <c r="L129" s="791"/>
      <c r="M129" s="791"/>
      <c r="N129" s="791"/>
      <c r="O129" s="791"/>
      <c r="P129" s="791"/>
      <c r="Q129" s="792"/>
    </row>
    <row r="130" spans="1:17" s="126" customFormat="1" x14ac:dyDescent="0.15">
      <c r="A130" s="822" t="s">
        <v>150</v>
      </c>
      <c r="B130" s="823" t="s">
        <v>151</v>
      </c>
      <c r="C130" s="823"/>
      <c r="D130" s="832" t="s">
        <v>490</v>
      </c>
      <c r="E130" s="823" t="s">
        <v>152</v>
      </c>
      <c r="F130" s="823"/>
      <c r="G130" s="823"/>
      <c r="H130" s="802" t="s">
        <v>153</v>
      </c>
      <c r="I130" s="802" t="s">
        <v>160</v>
      </c>
      <c r="J130" s="804" t="s">
        <v>73</v>
      </c>
      <c r="K130" s="216" t="s">
        <v>154</v>
      </c>
      <c r="L130" s="123"/>
      <c r="M130" s="124"/>
      <c r="N130" s="124"/>
      <c r="O130" s="124"/>
      <c r="P130" s="124"/>
      <c r="Q130" s="125"/>
    </row>
    <row r="131" spans="1:17" s="130" customFormat="1" x14ac:dyDescent="0.15">
      <c r="A131" s="822"/>
      <c r="B131" s="823"/>
      <c r="C131" s="823"/>
      <c r="D131" s="833"/>
      <c r="E131" s="217" t="s">
        <v>155</v>
      </c>
      <c r="F131" s="217" t="s">
        <v>156</v>
      </c>
      <c r="G131" s="217" t="s">
        <v>157</v>
      </c>
      <c r="H131" s="803"/>
      <c r="I131" s="803"/>
      <c r="J131" s="805"/>
      <c r="K131" s="216" t="s">
        <v>158</v>
      </c>
      <c r="L131" s="127"/>
      <c r="M131" s="128"/>
      <c r="N131" s="128"/>
      <c r="O131" s="128"/>
      <c r="P131" s="128"/>
      <c r="Q131" s="129"/>
    </row>
    <row r="132" spans="1:17" ht="33" customHeight="1" x14ac:dyDescent="0.15">
      <c r="A132" s="148"/>
      <c r="B132" s="788" t="s">
        <v>1147</v>
      </c>
      <c r="C132" s="789"/>
      <c r="D132" s="143">
        <f>(0.3*0.3*0.6*H132)</f>
        <v>5.3999999999999999E-2</v>
      </c>
      <c r="E132" s="143">
        <v>1</v>
      </c>
      <c r="F132" s="143">
        <v>1</v>
      </c>
      <c r="G132" s="143">
        <v>1.2</v>
      </c>
      <c r="H132" s="143">
        <v>1</v>
      </c>
      <c r="I132" s="143">
        <f t="shared" ref="I132:I133" si="4">(E132*F132*G132)</f>
        <v>1.2</v>
      </c>
      <c r="J132" s="133" t="s">
        <v>6</v>
      </c>
      <c r="K132" s="143">
        <f t="shared" ref="K132:K133" si="5">(I132*H132)-D132</f>
        <v>1.1459999999999999</v>
      </c>
      <c r="L132" s="127"/>
      <c r="M132" s="128"/>
      <c r="N132" s="128"/>
      <c r="O132" s="128"/>
      <c r="P132" s="128"/>
      <c r="Q132" s="129"/>
    </row>
    <row r="133" spans="1:17" ht="33" customHeight="1" x14ac:dyDescent="0.15">
      <c r="A133" s="148"/>
      <c r="B133" s="788" t="s">
        <v>1560</v>
      </c>
      <c r="C133" s="789"/>
      <c r="D133" s="143">
        <f>(0.25*0.25*0.4*H133)</f>
        <v>0.375</v>
      </c>
      <c r="E133" s="143">
        <v>0.4</v>
      </c>
      <c r="F133" s="143">
        <v>0.4</v>
      </c>
      <c r="G133" s="143">
        <v>0.4</v>
      </c>
      <c r="H133" s="143">
        <v>15</v>
      </c>
      <c r="I133" s="143">
        <f t="shared" si="4"/>
        <v>6.4000000000000015E-2</v>
      </c>
      <c r="J133" s="133" t="s">
        <v>6</v>
      </c>
      <c r="K133" s="143">
        <f t="shared" si="5"/>
        <v>0.58500000000000019</v>
      </c>
      <c r="L133" s="127"/>
      <c r="M133" s="128"/>
      <c r="N133" s="128"/>
      <c r="O133" s="128"/>
      <c r="P133" s="128"/>
      <c r="Q133" s="129"/>
    </row>
    <row r="134" spans="1:17" ht="14" x14ac:dyDescent="0.15">
      <c r="A134" s="795" t="s">
        <v>149</v>
      </c>
      <c r="B134" s="817"/>
      <c r="C134" s="817"/>
      <c r="D134" s="817"/>
      <c r="E134" s="817"/>
      <c r="F134" s="817"/>
      <c r="G134" s="817"/>
      <c r="H134" s="817"/>
      <c r="I134" s="817"/>
      <c r="J134" s="796"/>
      <c r="K134" s="418">
        <f>SUM(K132:K133)</f>
        <v>1.7310000000000001</v>
      </c>
      <c r="L134" s="134"/>
      <c r="M134" s="135"/>
      <c r="N134" s="135"/>
      <c r="O134" s="135"/>
      <c r="P134" s="135"/>
      <c r="Q134" s="136"/>
    </row>
    <row r="135" spans="1:17" x14ac:dyDescent="0.15">
      <c r="A135" s="790"/>
      <c r="B135" s="791"/>
      <c r="C135" s="791"/>
      <c r="D135" s="791"/>
      <c r="E135" s="791"/>
      <c r="F135" s="791"/>
      <c r="G135" s="791"/>
      <c r="H135" s="791"/>
      <c r="I135" s="791"/>
      <c r="J135" s="791"/>
      <c r="K135" s="791"/>
      <c r="L135" s="791"/>
      <c r="M135" s="791"/>
      <c r="N135" s="791"/>
      <c r="O135" s="791"/>
      <c r="P135" s="791"/>
      <c r="Q135" s="792"/>
    </row>
    <row r="136" spans="1:17" s="121" customFormat="1" ht="18" customHeight="1" x14ac:dyDescent="0.15">
      <c r="A136" s="218" t="s">
        <v>0</v>
      </c>
      <c r="B136" s="830" t="s">
        <v>1003</v>
      </c>
      <c r="C136" s="831"/>
      <c r="D136" s="831"/>
      <c r="E136" s="831"/>
      <c r="F136" s="831"/>
      <c r="G136" s="831"/>
      <c r="H136" s="831"/>
      <c r="I136" s="831"/>
      <c r="J136" s="831"/>
      <c r="K136" s="831"/>
      <c r="L136" s="831"/>
      <c r="M136" s="831"/>
      <c r="N136" s="831"/>
      <c r="O136" s="216" t="s">
        <v>73</v>
      </c>
      <c r="P136" s="795" t="s">
        <v>6</v>
      </c>
      <c r="Q136" s="796"/>
    </row>
    <row r="137" spans="1:17" x14ac:dyDescent="0.15">
      <c r="A137" s="790"/>
      <c r="B137" s="791"/>
      <c r="C137" s="791"/>
      <c r="D137" s="791"/>
      <c r="E137" s="791"/>
      <c r="F137" s="791"/>
      <c r="G137" s="791"/>
      <c r="H137" s="791"/>
      <c r="I137" s="791"/>
      <c r="J137" s="791"/>
      <c r="K137" s="791"/>
      <c r="L137" s="791"/>
      <c r="M137" s="791"/>
      <c r="N137" s="791"/>
      <c r="O137" s="791"/>
      <c r="P137" s="791"/>
      <c r="Q137" s="792"/>
    </row>
    <row r="138" spans="1:17" s="126" customFormat="1" x14ac:dyDescent="0.15">
      <c r="A138" s="822" t="s">
        <v>150</v>
      </c>
      <c r="B138" s="823" t="s">
        <v>151</v>
      </c>
      <c r="C138" s="823"/>
      <c r="D138" s="825" t="s">
        <v>152</v>
      </c>
      <c r="E138" s="826"/>
      <c r="F138" s="826"/>
      <c r="G138" s="834"/>
      <c r="H138" s="802" t="s">
        <v>153</v>
      </c>
      <c r="I138" s="802" t="s">
        <v>160</v>
      </c>
      <c r="J138" s="832" t="s">
        <v>495</v>
      </c>
      <c r="K138" s="804" t="s">
        <v>73</v>
      </c>
      <c r="L138" s="216" t="s">
        <v>154</v>
      </c>
      <c r="M138" s="806"/>
      <c r="N138" s="807"/>
      <c r="O138" s="807"/>
      <c r="P138" s="807"/>
      <c r="Q138" s="808"/>
    </row>
    <row r="139" spans="1:17" s="130" customFormat="1" x14ac:dyDescent="0.15">
      <c r="A139" s="822"/>
      <c r="B139" s="823"/>
      <c r="C139" s="823"/>
      <c r="D139" s="217" t="s">
        <v>624</v>
      </c>
      <c r="E139" s="217" t="s">
        <v>155</v>
      </c>
      <c r="F139" s="217" t="s">
        <v>156</v>
      </c>
      <c r="G139" s="217" t="s">
        <v>157</v>
      </c>
      <c r="H139" s="803"/>
      <c r="I139" s="803"/>
      <c r="J139" s="833"/>
      <c r="K139" s="805"/>
      <c r="L139" s="216" t="s">
        <v>158</v>
      </c>
      <c r="M139" s="809"/>
      <c r="N139" s="810"/>
      <c r="O139" s="810"/>
      <c r="P139" s="810"/>
      <c r="Q139" s="811"/>
    </row>
    <row r="140" spans="1:17" ht="27" customHeight="1" x14ac:dyDescent="0.15">
      <c r="A140" s="148"/>
      <c r="B140" s="815" t="s">
        <v>1633</v>
      </c>
      <c r="C140" s="816"/>
      <c r="D140" s="671">
        <f>D81</f>
        <v>79.650000000000006</v>
      </c>
      <c r="E140" s="143">
        <v>0</v>
      </c>
      <c r="F140" s="143">
        <v>0</v>
      </c>
      <c r="G140" s="143">
        <v>0.1</v>
      </c>
      <c r="H140" s="143">
        <v>1</v>
      </c>
      <c r="I140" s="143">
        <f>D140*G140</f>
        <v>7.9650000000000007</v>
      </c>
      <c r="J140" s="143">
        <v>0</v>
      </c>
      <c r="K140" s="133" t="s">
        <v>6</v>
      </c>
      <c r="L140" s="143">
        <f>I140*H140</f>
        <v>7.9650000000000007</v>
      </c>
      <c r="M140" s="809"/>
      <c r="N140" s="810"/>
      <c r="O140" s="810"/>
      <c r="P140" s="810"/>
      <c r="Q140" s="811"/>
    </row>
    <row r="141" spans="1:17" ht="27" customHeight="1" x14ac:dyDescent="0.15">
      <c r="A141" s="148"/>
      <c r="B141" s="815" t="s">
        <v>999</v>
      </c>
      <c r="C141" s="816"/>
      <c r="D141" s="671">
        <v>0</v>
      </c>
      <c r="E141" s="143">
        <v>17.79</v>
      </c>
      <c r="F141" s="143">
        <v>1.5</v>
      </c>
      <c r="G141" s="143">
        <v>0.2</v>
      </c>
      <c r="H141" s="143">
        <v>1</v>
      </c>
      <c r="I141" s="143">
        <f t="shared" ref="I141:I143" si="6">E141*F141*G141</f>
        <v>5.3369999999999997</v>
      </c>
      <c r="J141" s="143">
        <v>0</v>
      </c>
      <c r="K141" s="133" t="s">
        <v>6</v>
      </c>
      <c r="L141" s="143">
        <f>I141*H141</f>
        <v>5.3369999999999997</v>
      </c>
      <c r="M141" s="809"/>
      <c r="N141" s="810"/>
      <c r="O141" s="810"/>
      <c r="P141" s="810"/>
      <c r="Q141" s="811"/>
    </row>
    <row r="142" spans="1:17" ht="33" customHeight="1" x14ac:dyDescent="0.15">
      <c r="A142" s="148"/>
      <c r="B142" s="788" t="s">
        <v>1147</v>
      </c>
      <c r="C142" s="789"/>
      <c r="D142" s="143">
        <v>0</v>
      </c>
      <c r="E142" s="143">
        <v>1</v>
      </c>
      <c r="F142" s="143">
        <v>1</v>
      </c>
      <c r="G142" s="143">
        <v>0.1</v>
      </c>
      <c r="H142" s="143">
        <v>1</v>
      </c>
      <c r="I142" s="143">
        <f t="shared" si="6"/>
        <v>0.1</v>
      </c>
      <c r="J142" s="143">
        <v>0</v>
      </c>
      <c r="K142" s="133" t="s">
        <v>6</v>
      </c>
      <c r="L142" s="143">
        <f>H142*I142</f>
        <v>0.1</v>
      </c>
      <c r="M142" s="809"/>
      <c r="N142" s="810"/>
      <c r="O142" s="810"/>
      <c r="P142" s="810"/>
      <c r="Q142" s="811"/>
    </row>
    <row r="143" spans="1:17" ht="33" customHeight="1" x14ac:dyDescent="0.15">
      <c r="A143" s="148"/>
      <c r="B143" s="788" t="s">
        <v>1560</v>
      </c>
      <c r="C143" s="789"/>
      <c r="D143" s="143">
        <v>0</v>
      </c>
      <c r="E143" s="143">
        <v>0.4</v>
      </c>
      <c r="F143" s="143">
        <v>0.4</v>
      </c>
      <c r="G143" s="143">
        <v>0.1</v>
      </c>
      <c r="H143" s="143">
        <v>15</v>
      </c>
      <c r="I143" s="143">
        <f t="shared" si="6"/>
        <v>1.6000000000000004E-2</v>
      </c>
      <c r="J143" s="143">
        <v>0</v>
      </c>
      <c r="K143" s="133" t="s">
        <v>6</v>
      </c>
      <c r="L143" s="143">
        <f t="shared" ref="L143" si="7">H143*I143</f>
        <v>0.24000000000000005</v>
      </c>
      <c r="M143" s="809"/>
      <c r="N143" s="810"/>
      <c r="O143" s="810"/>
      <c r="P143" s="810"/>
      <c r="Q143" s="811"/>
    </row>
    <row r="144" spans="1:17" ht="33" customHeight="1" x14ac:dyDescent="0.15">
      <c r="A144" s="148"/>
      <c r="B144" s="788" t="s">
        <v>1005</v>
      </c>
      <c r="C144" s="789"/>
      <c r="D144" s="143">
        <v>0</v>
      </c>
      <c r="E144" s="143">
        <v>2.5</v>
      </c>
      <c r="F144" s="143">
        <v>1.5</v>
      </c>
      <c r="G144" s="143">
        <v>0.1</v>
      </c>
      <c r="H144" s="143">
        <v>1</v>
      </c>
      <c r="I144" s="143">
        <f t="shared" ref="I144" si="8">E144*F144*G144</f>
        <v>0.375</v>
      </c>
      <c r="J144" s="143">
        <v>0</v>
      </c>
      <c r="K144" s="133" t="s">
        <v>6</v>
      </c>
      <c r="L144" s="143">
        <f t="shared" ref="L144" si="9">H144*I144</f>
        <v>0.375</v>
      </c>
      <c r="M144" s="809"/>
      <c r="N144" s="810"/>
      <c r="O144" s="810"/>
      <c r="P144" s="810"/>
      <c r="Q144" s="811"/>
    </row>
    <row r="145" spans="1:19" ht="14" x14ac:dyDescent="0.15">
      <c r="A145" s="795" t="s">
        <v>149</v>
      </c>
      <c r="B145" s="817"/>
      <c r="C145" s="817"/>
      <c r="D145" s="817"/>
      <c r="E145" s="817"/>
      <c r="F145" s="817"/>
      <c r="G145" s="817"/>
      <c r="H145" s="817"/>
      <c r="I145" s="817"/>
      <c r="J145" s="817"/>
      <c r="K145" s="796"/>
      <c r="L145" s="418">
        <f>SUM(L140:L144)</f>
        <v>14.016999999999999</v>
      </c>
      <c r="M145" s="812"/>
      <c r="N145" s="813"/>
      <c r="O145" s="813"/>
      <c r="P145" s="813"/>
      <c r="Q145" s="814"/>
    </row>
    <row r="146" spans="1:19" x14ac:dyDescent="0.15">
      <c r="A146" s="790"/>
      <c r="B146" s="791"/>
      <c r="C146" s="791"/>
      <c r="D146" s="791"/>
      <c r="E146" s="791"/>
      <c r="F146" s="791"/>
      <c r="G146" s="791"/>
      <c r="H146" s="791"/>
      <c r="I146" s="791"/>
      <c r="J146" s="791"/>
      <c r="K146" s="791"/>
      <c r="L146" s="791"/>
      <c r="M146" s="791"/>
      <c r="N146" s="791"/>
      <c r="O146" s="791"/>
      <c r="P146" s="791"/>
      <c r="Q146" s="792"/>
    </row>
    <row r="147" spans="1:19" s="121" customFormat="1" ht="18" customHeight="1" x14ac:dyDescent="0.15">
      <c r="A147" s="218" t="s">
        <v>0</v>
      </c>
      <c r="B147" s="830" t="s">
        <v>562</v>
      </c>
      <c r="C147" s="831"/>
      <c r="D147" s="831"/>
      <c r="E147" s="831"/>
      <c r="F147" s="831"/>
      <c r="G147" s="831"/>
      <c r="H147" s="831"/>
      <c r="I147" s="831"/>
      <c r="J147" s="831"/>
      <c r="K147" s="831"/>
      <c r="L147" s="831"/>
      <c r="M147" s="831"/>
      <c r="N147" s="831"/>
      <c r="O147" s="216" t="s">
        <v>73</v>
      </c>
      <c r="P147" s="795" t="s">
        <v>6</v>
      </c>
      <c r="Q147" s="796"/>
    </row>
    <row r="148" spans="1:19" x14ac:dyDescent="0.15">
      <c r="A148" s="790"/>
      <c r="B148" s="791"/>
      <c r="C148" s="791"/>
      <c r="D148" s="791"/>
      <c r="E148" s="791"/>
      <c r="F148" s="791"/>
      <c r="G148" s="791"/>
      <c r="H148" s="791"/>
      <c r="I148" s="791"/>
      <c r="J148" s="791"/>
      <c r="K148" s="791"/>
      <c r="L148" s="791"/>
      <c r="M148" s="791"/>
      <c r="N148" s="791"/>
      <c r="O148" s="791"/>
      <c r="P148" s="791"/>
      <c r="Q148" s="792"/>
    </row>
    <row r="149" spans="1:19" s="126" customFormat="1" x14ac:dyDescent="0.15">
      <c r="A149" s="822" t="s">
        <v>150</v>
      </c>
      <c r="B149" s="823" t="s">
        <v>151</v>
      </c>
      <c r="C149" s="823"/>
      <c r="D149" s="802" t="s">
        <v>493</v>
      </c>
      <c r="E149" s="823" t="s">
        <v>152</v>
      </c>
      <c r="F149" s="823"/>
      <c r="G149" s="823"/>
      <c r="H149" s="804" t="s">
        <v>153</v>
      </c>
      <c r="I149" s="802" t="s">
        <v>160</v>
      </c>
      <c r="J149" s="804" t="s">
        <v>73</v>
      </c>
      <c r="K149" s="216" t="s">
        <v>154</v>
      </c>
      <c r="L149" s="806"/>
      <c r="M149" s="807"/>
      <c r="N149" s="807"/>
      <c r="O149" s="807"/>
      <c r="P149" s="807"/>
      <c r="Q149" s="808"/>
    </row>
    <row r="150" spans="1:19" s="130" customFormat="1" x14ac:dyDescent="0.15">
      <c r="A150" s="822"/>
      <c r="B150" s="823"/>
      <c r="C150" s="823"/>
      <c r="D150" s="803"/>
      <c r="E150" s="217" t="s">
        <v>155</v>
      </c>
      <c r="F150" s="217" t="s">
        <v>156</v>
      </c>
      <c r="G150" s="217" t="s">
        <v>157</v>
      </c>
      <c r="H150" s="805"/>
      <c r="I150" s="803"/>
      <c r="J150" s="805"/>
      <c r="K150" s="216" t="s">
        <v>158</v>
      </c>
      <c r="L150" s="809"/>
      <c r="M150" s="810"/>
      <c r="N150" s="810"/>
      <c r="O150" s="810"/>
      <c r="P150" s="810"/>
      <c r="Q150" s="811"/>
    </row>
    <row r="151" spans="1:19" ht="28.5" customHeight="1" x14ac:dyDescent="0.15">
      <c r="A151" s="131"/>
      <c r="B151" s="788" t="s">
        <v>496</v>
      </c>
      <c r="C151" s="789"/>
      <c r="D151" s="219">
        <v>1.3</v>
      </c>
      <c r="E151" s="143">
        <v>0</v>
      </c>
      <c r="F151" s="672">
        <v>0</v>
      </c>
      <c r="G151" s="672">
        <v>0</v>
      </c>
      <c r="H151" s="143">
        <v>1</v>
      </c>
      <c r="I151" s="143">
        <f>K126-K134</f>
        <v>11.444625</v>
      </c>
      <c r="J151" s="672" t="s">
        <v>5</v>
      </c>
      <c r="K151" s="671">
        <f>I151*D151</f>
        <v>14.878012500000001</v>
      </c>
      <c r="L151" s="809"/>
      <c r="M151" s="810"/>
      <c r="N151" s="810"/>
      <c r="O151" s="810"/>
      <c r="P151" s="810"/>
      <c r="Q151" s="811"/>
    </row>
    <row r="152" spans="1:19" ht="22.5" customHeight="1" x14ac:dyDescent="0.15">
      <c r="A152" s="795" t="s">
        <v>149</v>
      </c>
      <c r="B152" s="817"/>
      <c r="C152" s="817"/>
      <c r="D152" s="817"/>
      <c r="E152" s="817"/>
      <c r="F152" s="817"/>
      <c r="G152" s="817"/>
      <c r="H152" s="817"/>
      <c r="I152" s="817"/>
      <c r="J152" s="796"/>
      <c r="K152" s="418">
        <f>SUM(K151:K151)</f>
        <v>14.878012500000001</v>
      </c>
      <c r="L152" s="812"/>
      <c r="M152" s="813"/>
      <c r="N152" s="813"/>
      <c r="O152" s="813"/>
      <c r="P152" s="813"/>
      <c r="Q152" s="814"/>
    </row>
    <row r="153" spans="1:19" x14ac:dyDescent="0.15">
      <c r="A153" s="790"/>
      <c r="B153" s="791"/>
      <c r="C153" s="791"/>
      <c r="D153" s="791"/>
      <c r="E153" s="791"/>
      <c r="F153" s="791"/>
      <c r="G153" s="791"/>
      <c r="H153" s="791"/>
      <c r="I153" s="791"/>
      <c r="J153" s="791"/>
      <c r="K153" s="791"/>
      <c r="L153" s="791"/>
      <c r="M153" s="791"/>
      <c r="N153" s="791"/>
      <c r="O153" s="791"/>
      <c r="P153" s="791"/>
      <c r="Q153" s="792"/>
    </row>
    <row r="154" spans="1:19" s="121" customFormat="1" ht="18" customHeight="1" x14ac:dyDescent="0.15">
      <c r="A154" s="218" t="s">
        <v>0</v>
      </c>
      <c r="B154" s="793" t="s">
        <v>566</v>
      </c>
      <c r="C154" s="794"/>
      <c r="D154" s="794"/>
      <c r="E154" s="794"/>
      <c r="F154" s="794"/>
      <c r="G154" s="794"/>
      <c r="H154" s="794"/>
      <c r="I154" s="794"/>
      <c r="J154" s="794"/>
      <c r="K154" s="794"/>
      <c r="L154" s="794"/>
      <c r="M154" s="794"/>
      <c r="N154" s="794"/>
      <c r="O154" s="216" t="s">
        <v>73</v>
      </c>
      <c r="P154" s="795" t="s">
        <v>6</v>
      </c>
      <c r="Q154" s="796"/>
    </row>
    <row r="155" spans="1:19" x14ac:dyDescent="0.15">
      <c r="A155" s="790"/>
      <c r="B155" s="791"/>
      <c r="C155" s="791"/>
      <c r="D155" s="791"/>
      <c r="E155" s="791"/>
      <c r="F155" s="791"/>
      <c r="G155" s="791"/>
      <c r="H155" s="791"/>
      <c r="I155" s="791"/>
      <c r="J155" s="791"/>
      <c r="K155" s="791"/>
      <c r="L155" s="791"/>
      <c r="M155" s="791"/>
      <c r="N155" s="791"/>
      <c r="O155" s="791"/>
      <c r="P155" s="791"/>
      <c r="Q155" s="792"/>
    </row>
    <row r="156" spans="1:19" s="126" customFormat="1" x14ac:dyDescent="0.15">
      <c r="A156" s="822" t="s">
        <v>150</v>
      </c>
      <c r="B156" s="823" t="s">
        <v>151</v>
      </c>
      <c r="C156" s="823"/>
      <c r="D156" s="802"/>
      <c r="E156" s="823" t="s">
        <v>152</v>
      </c>
      <c r="F156" s="823"/>
      <c r="G156" s="823"/>
      <c r="H156" s="802" t="s">
        <v>153</v>
      </c>
      <c r="I156" s="802" t="s">
        <v>160</v>
      </c>
      <c r="J156" s="804" t="s">
        <v>73</v>
      </c>
      <c r="K156" s="216" t="s">
        <v>154</v>
      </c>
      <c r="L156" s="123"/>
      <c r="M156" s="124"/>
      <c r="N156" s="124"/>
      <c r="O156" s="124"/>
      <c r="P156" s="124"/>
      <c r="Q156" s="125"/>
    </row>
    <row r="157" spans="1:19" s="130" customFormat="1" x14ac:dyDescent="0.15">
      <c r="A157" s="822"/>
      <c r="B157" s="823"/>
      <c r="C157" s="823"/>
      <c r="D157" s="803"/>
      <c r="E157" s="217" t="s">
        <v>155</v>
      </c>
      <c r="F157" s="217" t="s">
        <v>156</v>
      </c>
      <c r="G157" s="217" t="s">
        <v>157</v>
      </c>
      <c r="H157" s="803"/>
      <c r="I157" s="803"/>
      <c r="J157" s="805"/>
      <c r="K157" s="216" t="s">
        <v>158</v>
      </c>
      <c r="L157" s="127"/>
      <c r="M157" s="128"/>
      <c r="N157" s="128"/>
      <c r="O157" s="128"/>
      <c r="P157" s="128"/>
      <c r="Q157" s="129"/>
    </row>
    <row r="158" spans="1:19" ht="31.5" customHeight="1" x14ac:dyDescent="0.15">
      <c r="A158" s="148"/>
      <c r="B158" s="788" t="s">
        <v>1147</v>
      </c>
      <c r="C158" s="789"/>
      <c r="D158" s="149"/>
      <c r="E158" s="143">
        <v>1</v>
      </c>
      <c r="F158" s="143">
        <v>1</v>
      </c>
      <c r="G158" s="143">
        <v>0.05</v>
      </c>
      <c r="H158" s="143">
        <v>1</v>
      </c>
      <c r="I158" s="143">
        <f t="shared" ref="I158:I160" si="10">(E158*F158*G158)</f>
        <v>0.05</v>
      </c>
      <c r="J158" s="133" t="s">
        <v>6</v>
      </c>
      <c r="K158" s="143">
        <f t="shared" ref="K158:K160" si="11">I158*H158</f>
        <v>0.05</v>
      </c>
      <c r="L158" s="127"/>
      <c r="M158" s="128"/>
      <c r="N158" s="128"/>
      <c r="O158" s="128"/>
      <c r="P158" s="128"/>
      <c r="Q158" s="129"/>
      <c r="S158" s="369"/>
    </row>
    <row r="159" spans="1:19" ht="31.5" customHeight="1" x14ac:dyDescent="0.15">
      <c r="A159" s="148"/>
      <c r="B159" s="788" t="s">
        <v>1560</v>
      </c>
      <c r="C159" s="789"/>
      <c r="D159" s="149"/>
      <c r="E159" s="143">
        <v>0.4</v>
      </c>
      <c r="F159" s="143">
        <v>0.4</v>
      </c>
      <c r="G159" s="143">
        <v>0.05</v>
      </c>
      <c r="H159" s="143">
        <v>15</v>
      </c>
      <c r="I159" s="143">
        <f t="shared" si="10"/>
        <v>8.0000000000000019E-3</v>
      </c>
      <c r="J159" s="133" t="s">
        <v>6</v>
      </c>
      <c r="K159" s="143">
        <f t="shared" si="11"/>
        <v>0.12000000000000002</v>
      </c>
      <c r="L159" s="127"/>
      <c r="M159" s="128"/>
      <c r="N159" s="128"/>
      <c r="O159" s="128"/>
      <c r="P159" s="128"/>
      <c r="Q159" s="129"/>
      <c r="S159" s="369"/>
    </row>
    <row r="160" spans="1:19" ht="31.5" customHeight="1" x14ac:dyDescent="0.15">
      <c r="A160" s="148"/>
      <c r="B160" s="788" t="s">
        <v>1005</v>
      </c>
      <c r="C160" s="789"/>
      <c r="D160" s="149"/>
      <c r="E160" s="143">
        <v>2.5</v>
      </c>
      <c r="F160" s="143">
        <v>1.5</v>
      </c>
      <c r="G160" s="143">
        <v>0.05</v>
      </c>
      <c r="H160" s="143">
        <v>1</v>
      </c>
      <c r="I160" s="143">
        <f t="shared" si="10"/>
        <v>0.1875</v>
      </c>
      <c r="J160" s="133" t="s">
        <v>6</v>
      </c>
      <c r="K160" s="143">
        <f t="shared" si="11"/>
        <v>0.1875</v>
      </c>
      <c r="L160" s="127"/>
      <c r="M160" s="128"/>
      <c r="N160" s="128"/>
      <c r="O160" s="128"/>
      <c r="P160" s="128"/>
      <c r="Q160" s="129"/>
      <c r="S160" s="369"/>
    </row>
    <row r="161" spans="1:18" ht="14" x14ac:dyDescent="0.15">
      <c r="A161" s="795" t="s">
        <v>149</v>
      </c>
      <c r="B161" s="817"/>
      <c r="C161" s="817"/>
      <c r="D161" s="817"/>
      <c r="E161" s="817"/>
      <c r="F161" s="817"/>
      <c r="G161" s="817"/>
      <c r="H161" s="817"/>
      <c r="I161" s="817"/>
      <c r="J161" s="796"/>
      <c r="K161" s="418">
        <f>SUM(K158:K160)</f>
        <v>0.35750000000000004</v>
      </c>
      <c r="L161" s="134"/>
      <c r="M161" s="135"/>
      <c r="N161" s="135"/>
      <c r="O161" s="135"/>
      <c r="P161" s="135"/>
      <c r="Q161" s="136"/>
      <c r="R161" s="221"/>
    </row>
    <row r="162" spans="1:18" x14ac:dyDescent="0.15">
      <c r="A162" s="790"/>
      <c r="B162" s="791"/>
      <c r="C162" s="791"/>
      <c r="D162" s="791"/>
      <c r="E162" s="791"/>
      <c r="F162" s="791"/>
      <c r="G162" s="791"/>
      <c r="H162" s="791"/>
      <c r="I162" s="791"/>
      <c r="J162" s="791"/>
      <c r="K162" s="791"/>
      <c r="L162" s="791"/>
      <c r="M162" s="791"/>
      <c r="N162" s="791"/>
      <c r="O162" s="791"/>
      <c r="P162" s="791"/>
      <c r="Q162" s="792"/>
    </row>
    <row r="163" spans="1:18" s="121" customFormat="1" ht="18" customHeight="1" x14ac:dyDescent="0.15">
      <c r="A163" s="218" t="s">
        <v>0</v>
      </c>
      <c r="B163" s="793" t="s">
        <v>1006</v>
      </c>
      <c r="C163" s="794"/>
      <c r="D163" s="794"/>
      <c r="E163" s="794"/>
      <c r="F163" s="794"/>
      <c r="G163" s="794"/>
      <c r="H163" s="794"/>
      <c r="I163" s="794"/>
      <c r="J163" s="794"/>
      <c r="K163" s="794"/>
      <c r="L163" s="794"/>
      <c r="M163" s="794"/>
      <c r="N163" s="794"/>
      <c r="O163" s="216" t="s">
        <v>73</v>
      </c>
      <c r="P163" s="795" t="s">
        <v>319</v>
      </c>
      <c r="Q163" s="796"/>
    </row>
    <row r="164" spans="1:18" x14ac:dyDescent="0.15">
      <c r="A164" s="790"/>
      <c r="B164" s="791"/>
      <c r="C164" s="791"/>
      <c r="D164" s="791"/>
      <c r="E164" s="791"/>
      <c r="F164" s="791"/>
      <c r="G164" s="791"/>
      <c r="H164" s="791"/>
      <c r="I164" s="791"/>
      <c r="J164" s="791"/>
      <c r="K164" s="791"/>
      <c r="L164" s="791"/>
      <c r="M164" s="791"/>
      <c r="N164" s="791"/>
      <c r="O164" s="791"/>
      <c r="P164" s="791"/>
      <c r="Q164" s="792"/>
    </row>
    <row r="165" spans="1:18" s="126" customFormat="1" x14ac:dyDescent="0.15">
      <c r="A165" s="822" t="s">
        <v>150</v>
      </c>
      <c r="B165" s="823" t="s">
        <v>151</v>
      </c>
      <c r="C165" s="823"/>
      <c r="D165" s="802"/>
      <c r="E165" s="823" t="s">
        <v>152</v>
      </c>
      <c r="F165" s="823"/>
      <c r="G165" s="823"/>
      <c r="H165" s="802" t="s">
        <v>153</v>
      </c>
      <c r="I165" s="802" t="s">
        <v>479</v>
      </c>
      <c r="J165" s="804" t="s">
        <v>73</v>
      </c>
      <c r="K165" s="216" t="s">
        <v>154</v>
      </c>
      <c r="L165" s="123"/>
      <c r="M165" s="124"/>
      <c r="N165" s="124"/>
      <c r="O165" s="124"/>
      <c r="P165" s="124"/>
      <c r="Q165" s="125"/>
    </row>
    <row r="166" spans="1:18" s="130" customFormat="1" x14ac:dyDescent="0.15">
      <c r="A166" s="822"/>
      <c r="B166" s="823"/>
      <c r="C166" s="823"/>
      <c r="D166" s="803"/>
      <c r="E166" s="217" t="s">
        <v>155</v>
      </c>
      <c r="F166" s="217" t="s">
        <v>156</v>
      </c>
      <c r="G166" s="217" t="s">
        <v>157</v>
      </c>
      <c r="H166" s="803"/>
      <c r="I166" s="803"/>
      <c r="J166" s="805"/>
      <c r="K166" s="216" t="s">
        <v>158</v>
      </c>
      <c r="L166" s="127"/>
      <c r="M166" s="128"/>
      <c r="N166" s="128"/>
      <c r="O166" s="128"/>
      <c r="P166" s="128"/>
      <c r="Q166" s="129"/>
    </row>
    <row r="167" spans="1:18" ht="27.75" customHeight="1" x14ac:dyDescent="0.15">
      <c r="A167" s="148"/>
      <c r="B167" s="788" t="s">
        <v>1147</v>
      </c>
      <c r="C167" s="789"/>
      <c r="D167" s="149"/>
      <c r="E167" s="143">
        <v>1</v>
      </c>
      <c r="F167" s="143">
        <v>1</v>
      </c>
      <c r="G167" s="143">
        <v>0.3</v>
      </c>
      <c r="H167" s="143">
        <v>1</v>
      </c>
      <c r="I167" s="143">
        <v>1</v>
      </c>
      <c r="J167" s="133" t="s">
        <v>319</v>
      </c>
      <c r="K167" s="143">
        <f>I167*H167</f>
        <v>1</v>
      </c>
      <c r="L167" s="127"/>
      <c r="M167" s="128"/>
      <c r="N167" s="128"/>
      <c r="O167" s="128"/>
      <c r="P167" s="128"/>
      <c r="Q167" s="129"/>
    </row>
    <row r="168" spans="1:18" ht="14" x14ac:dyDescent="0.15">
      <c r="A168" s="795" t="s">
        <v>149</v>
      </c>
      <c r="B168" s="817"/>
      <c r="C168" s="817"/>
      <c r="D168" s="817"/>
      <c r="E168" s="817"/>
      <c r="F168" s="817"/>
      <c r="G168" s="817"/>
      <c r="H168" s="817"/>
      <c r="I168" s="817"/>
      <c r="J168" s="796"/>
      <c r="K168" s="418">
        <f>SUM(K167:K167)</f>
        <v>1</v>
      </c>
      <c r="L168" s="134"/>
      <c r="M168" s="135"/>
      <c r="N168" s="135"/>
      <c r="O168" s="135"/>
      <c r="P168" s="135"/>
      <c r="Q168" s="136"/>
    </row>
    <row r="169" spans="1:18" x14ac:dyDescent="0.15">
      <c r="A169" s="790"/>
      <c r="B169" s="791"/>
      <c r="C169" s="791"/>
      <c r="D169" s="791"/>
      <c r="E169" s="791"/>
      <c r="F169" s="791"/>
      <c r="G169" s="791"/>
      <c r="H169" s="791"/>
      <c r="I169" s="791"/>
      <c r="J169" s="791"/>
      <c r="K169" s="791"/>
      <c r="L169" s="791"/>
      <c r="M169" s="791"/>
      <c r="N169" s="791"/>
      <c r="O169" s="791"/>
      <c r="P169" s="791"/>
      <c r="Q169" s="792"/>
    </row>
    <row r="170" spans="1:18" s="121" customFormat="1" ht="18" customHeight="1" x14ac:dyDescent="0.15">
      <c r="A170" s="218" t="s">
        <v>0</v>
      </c>
      <c r="B170" s="793" t="s">
        <v>1565</v>
      </c>
      <c r="C170" s="794"/>
      <c r="D170" s="794"/>
      <c r="E170" s="794"/>
      <c r="F170" s="794"/>
      <c r="G170" s="794"/>
      <c r="H170" s="794"/>
      <c r="I170" s="794"/>
      <c r="J170" s="794"/>
      <c r="K170" s="794"/>
      <c r="L170" s="794"/>
      <c r="M170" s="794"/>
      <c r="N170" s="794"/>
      <c r="O170" s="216" t="s">
        <v>73</v>
      </c>
      <c r="P170" s="795" t="s">
        <v>319</v>
      </c>
      <c r="Q170" s="796"/>
    </row>
    <row r="171" spans="1:18" x14ac:dyDescent="0.15">
      <c r="A171" s="790"/>
      <c r="B171" s="791"/>
      <c r="C171" s="791"/>
      <c r="D171" s="791"/>
      <c r="E171" s="791"/>
      <c r="F171" s="791"/>
      <c r="G171" s="791"/>
      <c r="H171" s="791"/>
      <c r="I171" s="791"/>
      <c r="J171" s="791"/>
      <c r="K171" s="791"/>
      <c r="L171" s="791"/>
      <c r="M171" s="791"/>
      <c r="N171" s="791"/>
      <c r="O171" s="791"/>
      <c r="P171" s="791"/>
      <c r="Q171" s="792"/>
    </row>
    <row r="172" spans="1:18" s="126" customFormat="1" x14ac:dyDescent="0.15">
      <c r="A172" s="822" t="s">
        <v>150</v>
      </c>
      <c r="B172" s="823" t="s">
        <v>151</v>
      </c>
      <c r="C172" s="823"/>
      <c r="D172" s="802"/>
      <c r="E172" s="823" t="s">
        <v>152</v>
      </c>
      <c r="F172" s="823"/>
      <c r="G172" s="823"/>
      <c r="H172" s="802" t="s">
        <v>153</v>
      </c>
      <c r="I172" s="802" t="s">
        <v>479</v>
      </c>
      <c r="J172" s="804" t="s">
        <v>73</v>
      </c>
      <c r="K172" s="216" t="s">
        <v>154</v>
      </c>
      <c r="L172" s="123"/>
      <c r="M172" s="124"/>
      <c r="N172" s="124"/>
      <c r="O172" s="124"/>
      <c r="P172" s="124"/>
      <c r="Q172" s="125"/>
    </row>
    <row r="173" spans="1:18" s="130" customFormat="1" x14ac:dyDescent="0.15">
      <c r="A173" s="822"/>
      <c r="B173" s="823"/>
      <c r="C173" s="823"/>
      <c r="D173" s="803"/>
      <c r="E173" s="217" t="s">
        <v>155</v>
      </c>
      <c r="F173" s="217" t="s">
        <v>156</v>
      </c>
      <c r="G173" s="217" t="s">
        <v>157</v>
      </c>
      <c r="H173" s="803"/>
      <c r="I173" s="803"/>
      <c r="J173" s="805"/>
      <c r="K173" s="216" t="s">
        <v>158</v>
      </c>
      <c r="L173" s="127"/>
      <c r="M173" s="128"/>
      <c r="N173" s="128"/>
      <c r="O173" s="128"/>
      <c r="P173" s="128"/>
      <c r="Q173" s="129"/>
    </row>
    <row r="174" spans="1:18" ht="27.75" customHeight="1" x14ac:dyDescent="0.15">
      <c r="A174" s="148"/>
      <c r="B174" s="788" t="s">
        <v>1560</v>
      </c>
      <c r="C174" s="789"/>
      <c r="D174" s="149"/>
      <c r="E174" s="143">
        <v>0.4</v>
      </c>
      <c r="F174" s="143">
        <v>0.4</v>
      </c>
      <c r="G174" s="143">
        <v>0.25</v>
      </c>
      <c r="H174" s="143">
        <v>15</v>
      </c>
      <c r="I174" s="143">
        <v>1</v>
      </c>
      <c r="J174" s="133" t="s">
        <v>319</v>
      </c>
      <c r="K174" s="143">
        <f>I174*H174</f>
        <v>15</v>
      </c>
      <c r="L174" s="127"/>
      <c r="M174" s="128"/>
      <c r="N174" s="128"/>
      <c r="O174" s="128"/>
      <c r="P174" s="128"/>
      <c r="Q174" s="129"/>
    </row>
    <row r="175" spans="1:18" ht="14" x14ac:dyDescent="0.15">
      <c r="A175" s="795" t="s">
        <v>149</v>
      </c>
      <c r="B175" s="817"/>
      <c r="C175" s="817"/>
      <c r="D175" s="817"/>
      <c r="E175" s="817"/>
      <c r="F175" s="817"/>
      <c r="G175" s="817"/>
      <c r="H175" s="817"/>
      <c r="I175" s="817"/>
      <c r="J175" s="796"/>
      <c r="K175" s="418">
        <f>SUM(K174:K174)</f>
        <v>15</v>
      </c>
      <c r="L175" s="134"/>
      <c r="M175" s="135"/>
      <c r="N175" s="135"/>
      <c r="O175" s="135"/>
      <c r="P175" s="135"/>
      <c r="Q175" s="136"/>
    </row>
    <row r="176" spans="1:18" x14ac:dyDescent="0.15">
      <c r="A176" s="790"/>
      <c r="B176" s="791"/>
      <c r="C176" s="791"/>
      <c r="D176" s="791"/>
      <c r="E176" s="791"/>
      <c r="F176" s="791"/>
      <c r="G176" s="791"/>
      <c r="H176" s="791"/>
      <c r="I176" s="791"/>
      <c r="J176" s="791"/>
      <c r="K176" s="791"/>
      <c r="L176" s="791"/>
      <c r="M176" s="791"/>
      <c r="N176" s="791"/>
      <c r="O176" s="791"/>
      <c r="P176" s="791"/>
      <c r="Q176" s="792"/>
    </row>
    <row r="177" spans="1:17" s="121" customFormat="1" ht="18" customHeight="1" x14ac:dyDescent="0.15">
      <c r="A177" s="218" t="s">
        <v>0</v>
      </c>
      <c r="B177" s="793" t="s">
        <v>1554</v>
      </c>
      <c r="C177" s="794"/>
      <c r="D177" s="794"/>
      <c r="E177" s="794"/>
      <c r="F177" s="794"/>
      <c r="G177" s="794"/>
      <c r="H177" s="794"/>
      <c r="I177" s="794"/>
      <c r="J177" s="794"/>
      <c r="K177" s="794"/>
      <c r="L177" s="794"/>
      <c r="M177" s="794"/>
      <c r="N177" s="794"/>
      <c r="O177" s="216" t="s">
        <v>73</v>
      </c>
      <c r="P177" s="795" t="s">
        <v>193</v>
      </c>
      <c r="Q177" s="796"/>
    </row>
    <row r="178" spans="1:17" x14ac:dyDescent="0.15">
      <c r="A178" s="790"/>
      <c r="B178" s="791"/>
      <c r="C178" s="791"/>
      <c r="D178" s="791"/>
      <c r="E178" s="791"/>
      <c r="F178" s="791"/>
      <c r="G178" s="791"/>
      <c r="H178" s="791"/>
      <c r="I178" s="791"/>
      <c r="J178" s="791"/>
      <c r="K178" s="791"/>
      <c r="L178" s="791"/>
      <c r="M178" s="791"/>
      <c r="N178" s="791"/>
      <c r="O178" s="791"/>
      <c r="P178" s="791"/>
      <c r="Q178" s="792"/>
    </row>
    <row r="179" spans="1:17" s="126" customFormat="1" x14ac:dyDescent="0.15">
      <c r="A179" s="822" t="s">
        <v>150</v>
      </c>
      <c r="B179" s="823" t="s">
        <v>151</v>
      </c>
      <c r="C179" s="823"/>
      <c r="D179" s="802"/>
      <c r="E179" s="823" t="s">
        <v>152</v>
      </c>
      <c r="F179" s="823"/>
      <c r="G179" s="823"/>
      <c r="H179" s="802" t="s">
        <v>153</v>
      </c>
      <c r="I179" s="802" t="s">
        <v>242</v>
      </c>
      <c r="J179" s="804" t="s">
        <v>73</v>
      </c>
      <c r="K179" s="216" t="s">
        <v>154</v>
      </c>
      <c r="L179" s="123"/>
      <c r="M179" s="124"/>
      <c r="N179" s="124"/>
      <c r="O179" s="124"/>
      <c r="P179" s="124"/>
      <c r="Q179" s="125"/>
    </row>
    <row r="180" spans="1:17" s="130" customFormat="1" x14ac:dyDescent="0.15">
      <c r="A180" s="822"/>
      <c r="B180" s="823"/>
      <c r="C180" s="823"/>
      <c r="D180" s="803"/>
      <c r="E180" s="217" t="s">
        <v>155</v>
      </c>
      <c r="F180" s="217" t="s">
        <v>156</v>
      </c>
      <c r="G180" s="217" t="s">
        <v>157</v>
      </c>
      <c r="H180" s="803"/>
      <c r="I180" s="803"/>
      <c r="J180" s="805"/>
      <c r="K180" s="216" t="s">
        <v>158</v>
      </c>
      <c r="L180" s="127"/>
      <c r="M180" s="128"/>
      <c r="N180" s="128"/>
      <c r="O180" s="128"/>
      <c r="P180" s="128"/>
      <c r="Q180" s="129"/>
    </row>
    <row r="181" spans="1:17" ht="39.75" customHeight="1" x14ac:dyDescent="0.15">
      <c r="A181" s="148"/>
      <c r="B181" s="788" t="s">
        <v>1148</v>
      </c>
      <c r="C181" s="789"/>
      <c r="D181" s="149"/>
      <c r="E181" s="143">
        <v>42</v>
      </c>
      <c r="F181" s="143">
        <v>0.25</v>
      </c>
      <c r="G181" s="143">
        <v>0.25</v>
      </c>
      <c r="H181" s="143">
        <v>1</v>
      </c>
      <c r="I181" s="143">
        <f t="shared" ref="I181" si="12">E181</f>
        <v>42</v>
      </c>
      <c r="J181" s="133" t="s">
        <v>193</v>
      </c>
      <c r="K181" s="143">
        <f t="shared" ref="K181" si="13">I181*H181</f>
        <v>42</v>
      </c>
      <c r="L181" s="127"/>
      <c r="M181" s="128"/>
      <c r="N181" s="128"/>
      <c r="O181" s="128"/>
      <c r="P181" s="128"/>
      <c r="Q181" s="129"/>
    </row>
    <row r="182" spans="1:17" ht="39.75" customHeight="1" x14ac:dyDescent="0.15">
      <c r="A182" s="148"/>
      <c r="B182" s="788" t="s">
        <v>1193</v>
      </c>
      <c r="C182" s="789"/>
      <c r="D182" s="149"/>
      <c r="E182" s="143">
        <v>19.05</v>
      </c>
      <c r="F182" s="143">
        <v>0.25</v>
      </c>
      <c r="G182" s="143">
        <v>0.25</v>
      </c>
      <c r="H182" s="143">
        <v>1</v>
      </c>
      <c r="I182" s="143">
        <f t="shared" ref="I182" si="14">E182</f>
        <v>19.05</v>
      </c>
      <c r="J182" s="133" t="s">
        <v>193</v>
      </c>
      <c r="K182" s="143">
        <f t="shared" ref="K182" si="15">I182*H182</f>
        <v>19.05</v>
      </c>
      <c r="L182" s="127"/>
      <c r="M182" s="128"/>
      <c r="N182" s="128"/>
      <c r="O182" s="128"/>
      <c r="P182" s="128"/>
      <c r="Q182" s="129"/>
    </row>
    <row r="183" spans="1:17" ht="14" x14ac:dyDescent="0.15">
      <c r="A183" s="795" t="s">
        <v>149</v>
      </c>
      <c r="B183" s="817"/>
      <c r="C183" s="817"/>
      <c r="D183" s="817"/>
      <c r="E183" s="817"/>
      <c r="F183" s="817"/>
      <c r="G183" s="817"/>
      <c r="H183" s="817"/>
      <c r="I183" s="817"/>
      <c r="J183" s="796"/>
      <c r="K183" s="418">
        <f>SUM(K181:K182)</f>
        <v>61.05</v>
      </c>
      <c r="L183" s="134"/>
      <c r="M183" s="135"/>
      <c r="N183" s="135"/>
      <c r="O183" s="135"/>
      <c r="P183" s="135"/>
      <c r="Q183" s="136"/>
    </row>
    <row r="184" spans="1:17" x14ac:dyDescent="0.15">
      <c r="A184" s="790"/>
      <c r="B184" s="791"/>
      <c r="C184" s="791"/>
      <c r="D184" s="791"/>
      <c r="E184" s="791"/>
      <c r="F184" s="791"/>
      <c r="G184" s="791"/>
      <c r="H184" s="791"/>
      <c r="I184" s="791"/>
      <c r="J184" s="791"/>
      <c r="K184" s="791"/>
      <c r="L184" s="791"/>
      <c r="M184" s="791"/>
      <c r="N184" s="791"/>
      <c r="O184" s="791"/>
      <c r="P184" s="791"/>
      <c r="Q184" s="792"/>
    </row>
    <row r="185" spans="1:17" s="121" customFormat="1" ht="18" customHeight="1" x14ac:dyDescent="0.15">
      <c r="A185" s="218" t="s">
        <v>0</v>
      </c>
      <c r="B185" s="793" t="s">
        <v>1574</v>
      </c>
      <c r="C185" s="794"/>
      <c r="D185" s="794"/>
      <c r="E185" s="794"/>
      <c r="F185" s="794"/>
      <c r="G185" s="794"/>
      <c r="H185" s="794"/>
      <c r="I185" s="794"/>
      <c r="J185" s="794"/>
      <c r="K185" s="794"/>
      <c r="L185" s="794"/>
      <c r="M185" s="794"/>
      <c r="N185" s="794"/>
      <c r="O185" s="216" t="s">
        <v>73</v>
      </c>
      <c r="P185" s="795" t="s">
        <v>193</v>
      </c>
      <c r="Q185" s="796"/>
    </row>
    <row r="186" spans="1:17" x14ac:dyDescent="0.15">
      <c r="A186" s="790"/>
      <c r="B186" s="791"/>
      <c r="C186" s="791"/>
      <c r="D186" s="791"/>
      <c r="E186" s="791"/>
      <c r="F186" s="791"/>
      <c r="G186" s="791"/>
      <c r="H186" s="791"/>
      <c r="I186" s="791"/>
      <c r="J186" s="791"/>
      <c r="K186" s="791"/>
      <c r="L186" s="791"/>
      <c r="M186" s="791"/>
      <c r="N186" s="791"/>
      <c r="O186" s="791"/>
      <c r="P186" s="791"/>
      <c r="Q186" s="792"/>
    </row>
    <row r="187" spans="1:17" s="126" customFormat="1" x14ac:dyDescent="0.15">
      <c r="A187" s="822" t="s">
        <v>150</v>
      </c>
      <c r="B187" s="823" t="s">
        <v>151</v>
      </c>
      <c r="C187" s="823"/>
      <c r="D187" s="802"/>
      <c r="E187" s="823" t="s">
        <v>152</v>
      </c>
      <c r="F187" s="823"/>
      <c r="G187" s="823"/>
      <c r="H187" s="802" t="s">
        <v>153</v>
      </c>
      <c r="I187" s="802" t="s">
        <v>242</v>
      </c>
      <c r="J187" s="804" t="s">
        <v>73</v>
      </c>
      <c r="K187" s="216" t="s">
        <v>154</v>
      </c>
      <c r="L187" s="123"/>
      <c r="M187" s="124"/>
      <c r="N187" s="124"/>
      <c r="O187" s="124"/>
      <c r="P187" s="124"/>
      <c r="Q187" s="125"/>
    </row>
    <row r="188" spans="1:17" s="130" customFormat="1" x14ac:dyDescent="0.15">
      <c r="A188" s="822"/>
      <c r="B188" s="823"/>
      <c r="C188" s="823"/>
      <c r="D188" s="803"/>
      <c r="E188" s="217" t="s">
        <v>155</v>
      </c>
      <c r="F188" s="217" t="s">
        <v>156</v>
      </c>
      <c r="G188" s="217" t="s">
        <v>157</v>
      </c>
      <c r="H188" s="803"/>
      <c r="I188" s="803"/>
      <c r="J188" s="805"/>
      <c r="K188" s="216" t="s">
        <v>158</v>
      </c>
      <c r="L188" s="127"/>
      <c r="M188" s="128"/>
      <c r="N188" s="128"/>
      <c r="O188" s="128"/>
      <c r="P188" s="128"/>
      <c r="Q188" s="129"/>
    </row>
    <row r="189" spans="1:17" ht="26.25" customHeight="1" x14ac:dyDescent="0.15">
      <c r="A189" s="148"/>
      <c r="B189" s="788" t="s">
        <v>1013</v>
      </c>
      <c r="C189" s="789"/>
      <c r="D189" s="149"/>
      <c r="E189" s="143">
        <v>1.5</v>
      </c>
      <c r="F189" s="143">
        <v>0.45</v>
      </c>
      <c r="G189" s="143">
        <v>0.45</v>
      </c>
      <c r="H189" s="143">
        <v>1</v>
      </c>
      <c r="I189" s="143">
        <f t="shared" ref="I189" si="16">E189</f>
        <v>1.5</v>
      </c>
      <c r="J189" s="133" t="s">
        <v>193</v>
      </c>
      <c r="K189" s="143">
        <f t="shared" ref="K189" si="17">I189*H189</f>
        <v>1.5</v>
      </c>
      <c r="L189" s="127"/>
      <c r="M189" s="128"/>
      <c r="N189" s="128"/>
      <c r="O189" s="128"/>
      <c r="P189" s="128"/>
      <c r="Q189" s="129"/>
    </row>
    <row r="190" spans="1:17" ht="14" x14ac:dyDescent="0.15">
      <c r="A190" s="795" t="s">
        <v>149</v>
      </c>
      <c r="B190" s="817"/>
      <c r="C190" s="817"/>
      <c r="D190" s="817"/>
      <c r="E190" s="817"/>
      <c r="F190" s="817"/>
      <c r="G190" s="817"/>
      <c r="H190" s="817"/>
      <c r="I190" s="817"/>
      <c r="J190" s="796"/>
      <c r="K190" s="418">
        <f>SUM(K189:K189)</f>
        <v>1.5</v>
      </c>
      <c r="L190" s="134"/>
      <c r="M190" s="135"/>
      <c r="N190" s="135"/>
      <c r="O190" s="135"/>
      <c r="P190" s="135"/>
      <c r="Q190" s="136"/>
    </row>
    <row r="191" spans="1:17" x14ac:dyDescent="0.15">
      <c r="A191" s="790"/>
      <c r="B191" s="791"/>
      <c r="C191" s="791"/>
      <c r="D191" s="791"/>
      <c r="E191" s="791"/>
      <c r="F191" s="791"/>
      <c r="G191" s="791"/>
      <c r="H191" s="791"/>
      <c r="I191" s="791"/>
      <c r="J191" s="791"/>
      <c r="K191" s="791"/>
      <c r="L191" s="791"/>
      <c r="M191" s="791"/>
      <c r="N191" s="791"/>
      <c r="O191" s="791"/>
      <c r="P191" s="791"/>
      <c r="Q191" s="792"/>
    </row>
    <row r="192" spans="1:17" s="121" customFormat="1" ht="18" customHeight="1" x14ac:dyDescent="0.15">
      <c r="A192" s="218" t="s">
        <v>0</v>
      </c>
      <c r="B192" s="793" t="s">
        <v>1562</v>
      </c>
      <c r="C192" s="794"/>
      <c r="D192" s="794"/>
      <c r="E192" s="794"/>
      <c r="F192" s="794"/>
      <c r="G192" s="794"/>
      <c r="H192" s="794"/>
      <c r="I192" s="794"/>
      <c r="J192" s="794"/>
      <c r="K192" s="794"/>
      <c r="L192" s="794"/>
      <c r="M192" s="794"/>
      <c r="N192" s="794"/>
      <c r="O192" s="216" t="s">
        <v>73</v>
      </c>
      <c r="P192" s="795" t="s">
        <v>193</v>
      </c>
      <c r="Q192" s="796"/>
    </row>
    <row r="193" spans="1:17" x14ac:dyDescent="0.15">
      <c r="A193" s="790"/>
      <c r="B193" s="791"/>
      <c r="C193" s="791"/>
      <c r="D193" s="791"/>
      <c r="E193" s="791"/>
      <c r="F193" s="791"/>
      <c r="G193" s="791"/>
      <c r="H193" s="791"/>
      <c r="I193" s="791"/>
      <c r="J193" s="791"/>
      <c r="K193" s="791"/>
      <c r="L193" s="791"/>
      <c r="M193" s="791"/>
      <c r="N193" s="791"/>
      <c r="O193" s="791"/>
      <c r="P193" s="791"/>
      <c r="Q193" s="792"/>
    </row>
    <row r="194" spans="1:17" s="126" customFormat="1" x14ac:dyDescent="0.15">
      <c r="A194" s="822" t="s">
        <v>150</v>
      </c>
      <c r="B194" s="823" t="s">
        <v>151</v>
      </c>
      <c r="C194" s="823"/>
      <c r="D194" s="802"/>
      <c r="E194" s="823" t="s">
        <v>152</v>
      </c>
      <c r="F194" s="823"/>
      <c r="G194" s="823"/>
      <c r="H194" s="802" t="s">
        <v>153</v>
      </c>
      <c r="I194" s="802" t="s">
        <v>242</v>
      </c>
      <c r="J194" s="804" t="s">
        <v>73</v>
      </c>
      <c r="K194" s="216" t="s">
        <v>154</v>
      </c>
      <c r="L194" s="123"/>
      <c r="M194" s="124"/>
      <c r="N194" s="124"/>
      <c r="O194" s="124"/>
      <c r="P194" s="124"/>
      <c r="Q194" s="125"/>
    </row>
    <row r="195" spans="1:17" s="130" customFormat="1" x14ac:dyDescent="0.15">
      <c r="A195" s="822"/>
      <c r="B195" s="823"/>
      <c r="C195" s="823"/>
      <c r="D195" s="803"/>
      <c r="E195" s="217" t="s">
        <v>155</v>
      </c>
      <c r="F195" s="217" t="s">
        <v>156</v>
      </c>
      <c r="G195" s="217" t="s">
        <v>157</v>
      </c>
      <c r="H195" s="803"/>
      <c r="I195" s="803"/>
      <c r="J195" s="805"/>
      <c r="K195" s="216" t="s">
        <v>158</v>
      </c>
      <c r="L195" s="127"/>
      <c r="M195" s="128"/>
      <c r="N195" s="128"/>
      <c r="O195" s="128"/>
      <c r="P195" s="128"/>
      <c r="Q195" s="129"/>
    </row>
    <row r="196" spans="1:17" ht="26.25" customHeight="1" x14ac:dyDescent="0.15">
      <c r="A196" s="148"/>
      <c r="B196" s="788" t="s">
        <v>1015</v>
      </c>
      <c r="C196" s="789"/>
      <c r="D196" s="149"/>
      <c r="E196" s="143">
        <v>4</v>
      </c>
      <c r="F196" s="143">
        <v>0.3</v>
      </c>
      <c r="G196" s="143">
        <v>0.3</v>
      </c>
      <c r="H196" s="143">
        <v>1</v>
      </c>
      <c r="I196" s="143">
        <f t="shared" ref="I196" si="18">E196</f>
        <v>4</v>
      </c>
      <c r="J196" s="133" t="s">
        <v>193</v>
      </c>
      <c r="K196" s="143">
        <f t="shared" ref="K196" si="19">I196*H196</f>
        <v>4</v>
      </c>
      <c r="L196" s="127"/>
      <c r="M196" s="128"/>
      <c r="N196" s="128"/>
      <c r="O196" s="128"/>
      <c r="P196" s="128"/>
      <c r="Q196" s="129"/>
    </row>
    <row r="197" spans="1:17" ht="14" x14ac:dyDescent="0.15">
      <c r="A197" s="795" t="s">
        <v>149</v>
      </c>
      <c r="B197" s="817"/>
      <c r="C197" s="817"/>
      <c r="D197" s="817"/>
      <c r="E197" s="817"/>
      <c r="F197" s="817"/>
      <c r="G197" s="817"/>
      <c r="H197" s="817"/>
      <c r="I197" s="817"/>
      <c r="J197" s="796"/>
      <c r="K197" s="418">
        <f>SUM(K196:K196)</f>
        <v>4</v>
      </c>
      <c r="L197" s="134"/>
      <c r="M197" s="135"/>
      <c r="N197" s="135"/>
      <c r="O197" s="135"/>
      <c r="P197" s="135"/>
      <c r="Q197" s="136"/>
    </row>
    <row r="198" spans="1:17" x14ac:dyDescent="0.15">
      <c r="A198" s="790"/>
      <c r="B198" s="791"/>
      <c r="C198" s="791"/>
      <c r="D198" s="791"/>
      <c r="E198" s="791"/>
      <c r="F198" s="791"/>
      <c r="G198" s="791"/>
      <c r="H198" s="791"/>
      <c r="I198" s="791"/>
      <c r="J198" s="791"/>
      <c r="K198" s="791"/>
      <c r="L198" s="791"/>
      <c r="M198" s="791"/>
      <c r="N198" s="791"/>
      <c r="O198" s="791"/>
      <c r="P198" s="791"/>
      <c r="Q198" s="792"/>
    </row>
    <row r="199" spans="1:17" s="121" customFormat="1" ht="18" customHeight="1" x14ac:dyDescent="0.15">
      <c r="A199" s="218" t="s">
        <v>0</v>
      </c>
      <c r="B199" s="793" t="s">
        <v>1563</v>
      </c>
      <c r="C199" s="794"/>
      <c r="D199" s="794"/>
      <c r="E199" s="794"/>
      <c r="F199" s="794"/>
      <c r="G199" s="794"/>
      <c r="H199" s="794"/>
      <c r="I199" s="794"/>
      <c r="J199" s="794"/>
      <c r="K199" s="794"/>
      <c r="L199" s="794"/>
      <c r="M199" s="794"/>
      <c r="N199" s="794"/>
      <c r="O199" s="216" t="s">
        <v>73</v>
      </c>
      <c r="P199" s="795" t="s">
        <v>193</v>
      </c>
      <c r="Q199" s="796"/>
    </row>
    <row r="200" spans="1:17" x14ac:dyDescent="0.15">
      <c r="A200" s="790"/>
      <c r="B200" s="791"/>
      <c r="C200" s="791"/>
      <c r="D200" s="791"/>
      <c r="E200" s="791"/>
      <c r="F200" s="791"/>
      <c r="G200" s="791"/>
      <c r="H200" s="791"/>
      <c r="I200" s="791"/>
      <c r="J200" s="791"/>
      <c r="K200" s="791"/>
      <c r="L200" s="791"/>
      <c r="M200" s="791"/>
      <c r="N200" s="791"/>
      <c r="O200" s="791"/>
      <c r="P200" s="791"/>
      <c r="Q200" s="792"/>
    </row>
    <row r="201" spans="1:17" s="126" customFormat="1" x14ac:dyDescent="0.15">
      <c r="A201" s="822" t="s">
        <v>150</v>
      </c>
      <c r="B201" s="823" t="s">
        <v>151</v>
      </c>
      <c r="C201" s="823"/>
      <c r="D201" s="802"/>
      <c r="E201" s="823" t="s">
        <v>152</v>
      </c>
      <c r="F201" s="823"/>
      <c r="G201" s="823"/>
      <c r="H201" s="802" t="s">
        <v>153</v>
      </c>
      <c r="I201" s="802" t="s">
        <v>242</v>
      </c>
      <c r="J201" s="804" t="s">
        <v>73</v>
      </c>
      <c r="K201" s="216" t="s">
        <v>154</v>
      </c>
      <c r="L201" s="123"/>
      <c r="M201" s="124"/>
      <c r="N201" s="124"/>
      <c r="O201" s="124"/>
      <c r="P201" s="124"/>
      <c r="Q201" s="125"/>
    </row>
    <row r="202" spans="1:17" s="130" customFormat="1" x14ac:dyDescent="0.15">
      <c r="A202" s="822"/>
      <c r="B202" s="823"/>
      <c r="C202" s="823"/>
      <c r="D202" s="803"/>
      <c r="E202" s="217" t="s">
        <v>155</v>
      </c>
      <c r="F202" s="217" t="s">
        <v>156</v>
      </c>
      <c r="G202" s="217" t="s">
        <v>157</v>
      </c>
      <c r="H202" s="803"/>
      <c r="I202" s="803"/>
      <c r="J202" s="805"/>
      <c r="K202" s="216" t="s">
        <v>158</v>
      </c>
      <c r="L202" s="127"/>
      <c r="M202" s="128"/>
      <c r="N202" s="128"/>
      <c r="O202" s="128"/>
      <c r="P202" s="128"/>
      <c r="Q202" s="129"/>
    </row>
    <row r="203" spans="1:17" ht="39.75" customHeight="1" x14ac:dyDescent="0.15">
      <c r="A203" s="148"/>
      <c r="B203" s="788" t="s">
        <v>1516</v>
      </c>
      <c r="C203" s="789"/>
      <c r="D203" s="149"/>
      <c r="E203" s="143">
        <v>2.5</v>
      </c>
      <c r="F203" s="143">
        <v>0.2</v>
      </c>
      <c r="G203" s="143">
        <v>0.25</v>
      </c>
      <c r="H203" s="143">
        <v>15</v>
      </c>
      <c r="I203" s="143">
        <f t="shared" ref="I203" si="20">E203</f>
        <v>2.5</v>
      </c>
      <c r="J203" s="133" t="s">
        <v>193</v>
      </c>
      <c r="K203" s="143">
        <f t="shared" ref="K203" si="21">I203*H203</f>
        <v>37.5</v>
      </c>
      <c r="L203" s="127"/>
      <c r="M203" s="128"/>
      <c r="N203" s="128"/>
      <c r="O203" s="128"/>
      <c r="P203" s="128"/>
      <c r="Q203" s="129"/>
    </row>
    <row r="204" spans="1:17" ht="14" x14ac:dyDescent="0.15">
      <c r="A204" s="795" t="s">
        <v>149</v>
      </c>
      <c r="B204" s="817"/>
      <c r="C204" s="817"/>
      <c r="D204" s="817"/>
      <c r="E204" s="817"/>
      <c r="F204" s="817"/>
      <c r="G204" s="817"/>
      <c r="H204" s="817"/>
      <c r="I204" s="817"/>
      <c r="J204" s="796"/>
      <c r="K204" s="418">
        <f>SUM(K203:K203)</f>
        <v>37.5</v>
      </c>
      <c r="L204" s="134"/>
      <c r="M204" s="135"/>
      <c r="N204" s="135"/>
      <c r="O204" s="135"/>
      <c r="P204" s="135"/>
      <c r="Q204" s="136"/>
    </row>
    <row r="205" spans="1:17" x14ac:dyDescent="0.15">
      <c r="A205" s="790"/>
      <c r="B205" s="791"/>
      <c r="C205" s="791"/>
      <c r="D205" s="791"/>
      <c r="E205" s="791"/>
      <c r="F205" s="791"/>
      <c r="G205" s="791"/>
      <c r="H205" s="791"/>
      <c r="I205" s="791"/>
      <c r="J205" s="791"/>
      <c r="K205" s="791"/>
      <c r="L205" s="791"/>
      <c r="M205" s="791"/>
      <c r="N205" s="791"/>
      <c r="O205" s="791"/>
      <c r="P205" s="791"/>
      <c r="Q205" s="792"/>
    </row>
    <row r="206" spans="1:17" s="121" customFormat="1" ht="18" customHeight="1" x14ac:dyDescent="0.15">
      <c r="A206" s="218" t="s">
        <v>0</v>
      </c>
      <c r="B206" s="793" t="s">
        <v>1567</v>
      </c>
      <c r="C206" s="794"/>
      <c r="D206" s="794"/>
      <c r="E206" s="794"/>
      <c r="F206" s="794"/>
      <c r="G206" s="794"/>
      <c r="H206" s="794"/>
      <c r="I206" s="794"/>
      <c r="J206" s="794"/>
      <c r="K206" s="794"/>
      <c r="L206" s="794"/>
      <c r="M206" s="794"/>
      <c r="N206" s="794"/>
      <c r="O206" s="216" t="s">
        <v>73</v>
      </c>
      <c r="P206" s="795" t="s">
        <v>193</v>
      </c>
      <c r="Q206" s="796"/>
    </row>
    <row r="207" spans="1:17" x14ac:dyDescent="0.15">
      <c r="A207" s="790"/>
      <c r="B207" s="791"/>
      <c r="C207" s="791"/>
      <c r="D207" s="791"/>
      <c r="E207" s="791"/>
      <c r="F207" s="791"/>
      <c r="G207" s="791"/>
      <c r="H207" s="791"/>
      <c r="I207" s="791"/>
      <c r="J207" s="791"/>
      <c r="K207" s="791"/>
      <c r="L207" s="791"/>
      <c r="M207" s="791"/>
      <c r="N207" s="791"/>
      <c r="O207" s="791"/>
      <c r="P207" s="791"/>
      <c r="Q207" s="792"/>
    </row>
    <row r="208" spans="1:17" s="126" customFormat="1" x14ac:dyDescent="0.15">
      <c r="A208" s="822" t="s">
        <v>150</v>
      </c>
      <c r="B208" s="823" t="s">
        <v>151</v>
      </c>
      <c r="C208" s="823"/>
      <c r="D208" s="802"/>
      <c r="E208" s="823" t="s">
        <v>152</v>
      </c>
      <c r="F208" s="823"/>
      <c r="G208" s="823"/>
      <c r="H208" s="802" t="s">
        <v>153</v>
      </c>
      <c r="I208" s="802" t="s">
        <v>242</v>
      </c>
      <c r="J208" s="804" t="s">
        <v>73</v>
      </c>
      <c r="K208" s="216" t="s">
        <v>154</v>
      </c>
      <c r="L208" s="123"/>
      <c r="M208" s="124"/>
      <c r="N208" s="124"/>
      <c r="O208" s="124"/>
      <c r="P208" s="124"/>
      <c r="Q208" s="125"/>
    </row>
    <row r="209" spans="1:17" s="130" customFormat="1" x14ac:dyDescent="0.15">
      <c r="A209" s="822"/>
      <c r="B209" s="823"/>
      <c r="C209" s="823"/>
      <c r="D209" s="803"/>
      <c r="E209" s="217" t="s">
        <v>155</v>
      </c>
      <c r="F209" s="217" t="s">
        <v>156</v>
      </c>
      <c r="G209" s="217" t="s">
        <v>157</v>
      </c>
      <c r="H209" s="803"/>
      <c r="I209" s="803"/>
      <c r="J209" s="805"/>
      <c r="K209" s="216" t="s">
        <v>158</v>
      </c>
      <c r="L209" s="127"/>
      <c r="M209" s="128"/>
      <c r="N209" s="128"/>
      <c r="O209" s="128"/>
      <c r="P209" s="128"/>
      <c r="Q209" s="129"/>
    </row>
    <row r="210" spans="1:17" ht="48" customHeight="1" x14ac:dyDescent="0.15">
      <c r="A210" s="148"/>
      <c r="B210" s="788" t="s">
        <v>1566</v>
      </c>
      <c r="C210" s="789"/>
      <c r="D210" s="149"/>
      <c r="E210" s="143">
        <v>42</v>
      </c>
      <c r="F210" s="143">
        <v>0.1</v>
      </c>
      <c r="G210" s="143">
        <v>0.25</v>
      </c>
      <c r="H210" s="143">
        <v>1</v>
      </c>
      <c r="I210" s="143">
        <f t="shared" ref="I210" si="22">E210</f>
        <v>42</v>
      </c>
      <c r="J210" s="133" t="s">
        <v>193</v>
      </c>
      <c r="K210" s="143">
        <f t="shared" ref="K210" si="23">I210*H210</f>
        <v>42</v>
      </c>
      <c r="L210" s="127"/>
      <c r="M210" s="128"/>
      <c r="N210" s="128"/>
      <c r="O210" s="128"/>
      <c r="P210" s="128"/>
      <c r="Q210" s="129"/>
    </row>
    <row r="211" spans="1:17" ht="14" x14ac:dyDescent="0.15">
      <c r="A211" s="795" t="s">
        <v>149</v>
      </c>
      <c r="B211" s="817"/>
      <c r="C211" s="817"/>
      <c r="D211" s="817"/>
      <c r="E211" s="817"/>
      <c r="F211" s="817"/>
      <c r="G211" s="817"/>
      <c r="H211" s="817"/>
      <c r="I211" s="817"/>
      <c r="J211" s="796"/>
      <c r="K211" s="418">
        <f>SUM(K210:K210)</f>
        <v>42</v>
      </c>
      <c r="L211" s="134"/>
      <c r="M211" s="135"/>
      <c r="N211" s="135"/>
      <c r="O211" s="135"/>
      <c r="P211" s="135"/>
      <c r="Q211" s="136"/>
    </row>
    <row r="212" spans="1:17" x14ac:dyDescent="0.15">
      <c r="A212" s="790"/>
      <c r="B212" s="791"/>
      <c r="C212" s="791"/>
      <c r="D212" s="791"/>
      <c r="E212" s="791"/>
      <c r="F212" s="791"/>
      <c r="G212" s="791"/>
      <c r="H212" s="791"/>
      <c r="I212" s="791"/>
      <c r="J212" s="791"/>
      <c r="K212" s="791"/>
      <c r="L212" s="791"/>
      <c r="M212" s="791"/>
      <c r="N212" s="791"/>
      <c r="O212" s="791"/>
      <c r="P212" s="791"/>
      <c r="Q212" s="792"/>
    </row>
    <row r="213" spans="1:17" s="121" customFormat="1" ht="18" customHeight="1" x14ac:dyDescent="0.15">
      <c r="A213" s="218" t="s">
        <v>0</v>
      </c>
      <c r="B213" s="835" t="s">
        <v>1569</v>
      </c>
      <c r="C213" s="836"/>
      <c r="D213" s="836"/>
      <c r="E213" s="836"/>
      <c r="F213" s="836"/>
      <c r="G213" s="836"/>
      <c r="H213" s="836"/>
      <c r="I213" s="836"/>
      <c r="J213" s="836"/>
      <c r="K213" s="836"/>
      <c r="L213" s="836"/>
      <c r="M213" s="836"/>
      <c r="N213" s="837"/>
      <c r="O213" s="216" t="s">
        <v>73</v>
      </c>
      <c r="P213" s="795" t="s">
        <v>5</v>
      </c>
      <c r="Q213" s="796"/>
    </row>
    <row r="214" spans="1:17" x14ac:dyDescent="0.15">
      <c r="A214" s="790"/>
      <c r="B214" s="791"/>
      <c r="C214" s="791"/>
      <c r="D214" s="791"/>
      <c r="E214" s="791"/>
      <c r="F214" s="791"/>
      <c r="G214" s="791"/>
      <c r="H214" s="791"/>
      <c r="I214" s="791"/>
      <c r="J214" s="791"/>
      <c r="K214" s="791"/>
      <c r="L214" s="791"/>
      <c r="M214" s="791"/>
      <c r="N214" s="791"/>
      <c r="O214" s="791"/>
      <c r="P214" s="791"/>
      <c r="Q214" s="792"/>
    </row>
    <row r="215" spans="1:17" s="126" customFormat="1" x14ac:dyDescent="0.15">
      <c r="A215" s="822" t="s">
        <v>150</v>
      </c>
      <c r="B215" s="823" t="s">
        <v>151</v>
      </c>
      <c r="C215" s="823"/>
      <c r="D215" s="802"/>
      <c r="E215" s="823" t="s">
        <v>152</v>
      </c>
      <c r="F215" s="823"/>
      <c r="G215" s="823"/>
      <c r="H215" s="802" t="s">
        <v>153</v>
      </c>
      <c r="I215" s="802" t="s">
        <v>159</v>
      </c>
      <c r="J215" s="804" t="s">
        <v>73</v>
      </c>
      <c r="K215" s="216" t="s">
        <v>154</v>
      </c>
      <c r="L215" s="123"/>
      <c r="M215" s="124"/>
      <c r="N215" s="124"/>
      <c r="O215" s="124"/>
      <c r="P215" s="124"/>
      <c r="Q215" s="125"/>
    </row>
    <row r="216" spans="1:17" s="130" customFormat="1" x14ac:dyDescent="0.15">
      <c r="A216" s="822"/>
      <c r="B216" s="823"/>
      <c r="C216" s="823"/>
      <c r="D216" s="803"/>
      <c r="E216" s="217" t="s">
        <v>155</v>
      </c>
      <c r="F216" s="217" t="s">
        <v>156</v>
      </c>
      <c r="G216" s="217" t="s">
        <v>157</v>
      </c>
      <c r="H216" s="803"/>
      <c r="I216" s="803"/>
      <c r="J216" s="805"/>
      <c r="K216" s="216" t="s">
        <v>158</v>
      </c>
      <c r="L216" s="127"/>
      <c r="M216" s="128"/>
      <c r="N216" s="128"/>
      <c r="O216" s="128"/>
      <c r="P216" s="128"/>
      <c r="Q216" s="129"/>
    </row>
    <row r="217" spans="1:17" ht="30.75" customHeight="1" x14ac:dyDescent="0.15">
      <c r="A217" s="148"/>
      <c r="B217" s="788" t="s">
        <v>1012</v>
      </c>
      <c r="C217" s="789"/>
      <c r="D217" s="143"/>
      <c r="E217" s="143">
        <v>1.2</v>
      </c>
      <c r="F217" s="143">
        <v>1.2</v>
      </c>
      <c r="G217" s="143">
        <v>0.12</v>
      </c>
      <c r="H217" s="143">
        <v>1</v>
      </c>
      <c r="I217" s="143">
        <f>E217*F217</f>
        <v>1.44</v>
      </c>
      <c r="J217" s="133" t="s">
        <v>5</v>
      </c>
      <c r="K217" s="143">
        <f>I217*H217</f>
        <v>1.44</v>
      </c>
      <c r="L217" s="127"/>
      <c r="M217" s="128"/>
      <c r="N217" s="128"/>
      <c r="O217" s="128"/>
      <c r="P217" s="128"/>
      <c r="Q217" s="129"/>
    </row>
    <row r="218" spans="1:17" ht="14" x14ac:dyDescent="0.15">
      <c r="A218" s="795" t="s">
        <v>149</v>
      </c>
      <c r="B218" s="817"/>
      <c r="C218" s="817"/>
      <c r="D218" s="817"/>
      <c r="E218" s="817"/>
      <c r="F218" s="817"/>
      <c r="G218" s="817"/>
      <c r="H218" s="817"/>
      <c r="I218" s="817"/>
      <c r="J218" s="796"/>
      <c r="K218" s="418">
        <f>SUM(K217:K217)</f>
        <v>1.44</v>
      </c>
      <c r="L218" s="134"/>
      <c r="M218" s="135"/>
      <c r="N218" s="135"/>
      <c r="O218" s="135"/>
      <c r="P218" s="135"/>
      <c r="Q218" s="136"/>
    </row>
    <row r="219" spans="1:17" x14ac:dyDescent="0.15">
      <c r="A219" s="790"/>
      <c r="B219" s="791"/>
      <c r="C219" s="791"/>
      <c r="D219" s="791"/>
      <c r="E219" s="791"/>
      <c r="F219" s="791"/>
      <c r="G219" s="791"/>
      <c r="H219" s="791"/>
      <c r="I219" s="791"/>
      <c r="J219" s="791"/>
      <c r="K219" s="791"/>
      <c r="L219" s="791"/>
      <c r="M219" s="791"/>
      <c r="N219" s="791"/>
      <c r="O219" s="791"/>
      <c r="P219" s="791"/>
      <c r="Q219" s="792"/>
    </row>
    <row r="220" spans="1:17" s="121" customFormat="1" ht="18" customHeight="1" x14ac:dyDescent="0.15">
      <c r="A220" s="218" t="s">
        <v>0</v>
      </c>
      <c r="B220" s="835" t="s">
        <v>1570</v>
      </c>
      <c r="C220" s="836"/>
      <c r="D220" s="836"/>
      <c r="E220" s="836"/>
      <c r="F220" s="836"/>
      <c r="G220" s="836"/>
      <c r="H220" s="836"/>
      <c r="I220" s="836"/>
      <c r="J220" s="836"/>
      <c r="K220" s="836"/>
      <c r="L220" s="836"/>
      <c r="M220" s="836"/>
      <c r="N220" s="837"/>
      <c r="O220" s="216" t="s">
        <v>73</v>
      </c>
      <c r="P220" s="795" t="s">
        <v>5</v>
      </c>
      <c r="Q220" s="796"/>
    </row>
    <row r="221" spans="1:17" x14ac:dyDescent="0.15">
      <c r="A221" s="790"/>
      <c r="B221" s="791"/>
      <c r="C221" s="791"/>
      <c r="D221" s="791"/>
      <c r="E221" s="791"/>
      <c r="F221" s="791"/>
      <c r="G221" s="791"/>
      <c r="H221" s="791"/>
      <c r="I221" s="791"/>
      <c r="J221" s="791"/>
      <c r="K221" s="791"/>
      <c r="L221" s="791"/>
      <c r="M221" s="791"/>
      <c r="N221" s="791"/>
      <c r="O221" s="791"/>
      <c r="P221" s="791"/>
      <c r="Q221" s="792"/>
    </row>
    <row r="222" spans="1:17" s="126" customFormat="1" x14ac:dyDescent="0.15">
      <c r="A222" s="822" t="s">
        <v>150</v>
      </c>
      <c r="B222" s="823" t="s">
        <v>151</v>
      </c>
      <c r="C222" s="823"/>
      <c r="D222" s="832" t="s">
        <v>264</v>
      </c>
      <c r="E222" s="823" t="s">
        <v>152</v>
      </c>
      <c r="F222" s="823"/>
      <c r="G222" s="823"/>
      <c r="H222" s="802" t="s">
        <v>153</v>
      </c>
      <c r="I222" s="802" t="s">
        <v>159</v>
      </c>
      <c r="J222" s="804" t="s">
        <v>73</v>
      </c>
      <c r="K222" s="216" t="s">
        <v>154</v>
      </c>
      <c r="L222" s="123"/>
      <c r="M222" s="124"/>
      <c r="N222" s="124"/>
      <c r="O222" s="124"/>
      <c r="P222" s="124"/>
      <c r="Q222" s="125"/>
    </row>
    <row r="223" spans="1:17" s="130" customFormat="1" x14ac:dyDescent="0.15">
      <c r="A223" s="822"/>
      <c r="B223" s="823"/>
      <c r="C223" s="823"/>
      <c r="D223" s="833"/>
      <c r="E223" s="217" t="s">
        <v>155</v>
      </c>
      <c r="F223" s="217" t="s">
        <v>156</v>
      </c>
      <c r="G223" s="217" t="s">
        <v>157</v>
      </c>
      <c r="H223" s="803"/>
      <c r="I223" s="803"/>
      <c r="J223" s="805"/>
      <c r="K223" s="216" t="s">
        <v>158</v>
      </c>
      <c r="L223" s="127"/>
      <c r="M223" s="128"/>
      <c r="N223" s="128"/>
      <c r="O223" s="128"/>
      <c r="P223" s="128"/>
      <c r="Q223" s="129"/>
    </row>
    <row r="224" spans="1:17" ht="19.5" customHeight="1" x14ac:dyDescent="0.15">
      <c r="A224" s="148"/>
      <c r="B224" s="788" t="s">
        <v>1198</v>
      </c>
      <c r="C224" s="789"/>
      <c r="D224" s="143">
        <v>79.650000000000006</v>
      </c>
      <c r="E224" s="143">
        <v>0</v>
      </c>
      <c r="F224" s="143">
        <v>0</v>
      </c>
      <c r="G224" s="143">
        <v>0.1</v>
      </c>
      <c r="H224" s="143">
        <v>1</v>
      </c>
      <c r="I224" s="143">
        <f>D224</f>
        <v>79.650000000000006</v>
      </c>
      <c r="J224" s="133" t="s">
        <v>5</v>
      </c>
      <c r="K224" s="143">
        <f>I224*H224</f>
        <v>79.650000000000006</v>
      </c>
      <c r="L224" s="127"/>
      <c r="M224" s="128"/>
      <c r="N224" s="128"/>
      <c r="O224" s="128"/>
      <c r="P224" s="128"/>
      <c r="Q224" s="129"/>
    </row>
    <row r="225" spans="1:17" ht="14" x14ac:dyDescent="0.15">
      <c r="A225" s="795" t="s">
        <v>149</v>
      </c>
      <c r="B225" s="817"/>
      <c r="C225" s="817"/>
      <c r="D225" s="817"/>
      <c r="E225" s="817"/>
      <c r="F225" s="817"/>
      <c r="G225" s="817"/>
      <c r="H225" s="817"/>
      <c r="I225" s="817"/>
      <c r="J225" s="796"/>
      <c r="K225" s="418">
        <f>SUM(K224:K224)</f>
        <v>79.650000000000006</v>
      </c>
      <c r="L225" s="134"/>
      <c r="M225" s="135"/>
      <c r="N225" s="135"/>
      <c r="O225" s="135"/>
      <c r="P225" s="135"/>
      <c r="Q225" s="136"/>
    </row>
    <row r="226" spans="1:17" x14ac:dyDescent="0.15">
      <c r="A226" s="790"/>
      <c r="B226" s="791"/>
      <c r="C226" s="791"/>
      <c r="D226" s="791"/>
      <c r="E226" s="791"/>
      <c r="F226" s="791"/>
      <c r="G226" s="791"/>
      <c r="H226" s="791"/>
      <c r="I226" s="791"/>
      <c r="J226" s="791"/>
      <c r="K226" s="791"/>
      <c r="L226" s="791"/>
      <c r="M226" s="791"/>
      <c r="N226" s="791"/>
      <c r="O226" s="791"/>
      <c r="P226" s="791"/>
      <c r="Q226" s="792"/>
    </row>
    <row r="227" spans="1:17" s="121" customFormat="1" ht="18" customHeight="1" x14ac:dyDescent="0.15">
      <c r="A227" s="218" t="s">
        <v>0</v>
      </c>
      <c r="B227" s="835" t="s">
        <v>1571</v>
      </c>
      <c r="C227" s="836"/>
      <c r="D227" s="836"/>
      <c r="E227" s="836"/>
      <c r="F227" s="836"/>
      <c r="G227" s="836"/>
      <c r="H227" s="836"/>
      <c r="I227" s="836"/>
      <c r="J227" s="836"/>
      <c r="K227" s="836"/>
      <c r="L227" s="836"/>
      <c r="M227" s="836"/>
      <c r="N227" s="837"/>
      <c r="O227" s="216" t="s">
        <v>73</v>
      </c>
      <c r="P227" s="795" t="s">
        <v>5</v>
      </c>
      <c r="Q227" s="796"/>
    </row>
    <row r="228" spans="1:17" x14ac:dyDescent="0.15">
      <c r="A228" s="790"/>
      <c r="B228" s="791"/>
      <c r="C228" s="791"/>
      <c r="D228" s="791"/>
      <c r="E228" s="791"/>
      <c r="F228" s="791"/>
      <c r="G228" s="791"/>
      <c r="H228" s="791"/>
      <c r="I228" s="791"/>
      <c r="J228" s="791"/>
      <c r="K228" s="791"/>
      <c r="L228" s="791"/>
      <c r="M228" s="791"/>
      <c r="N228" s="791"/>
      <c r="O228" s="791"/>
      <c r="P228" s="791"/>
      <c r="Q228" s="792"/>
    </row>
    <row r="229" spans="1:17" s="126" customFormat="1" x14ac:dyDescent="0.15">
      <c r="A229" s="822" t="s">
        <v>150</v>
      </c>
      <c r="B229" s="823" t="s">
        <v>151</v>
      </c>
      <c r="C229" s="823"/>
      <c r="D229" s="832" t="s">
        <v>264</v>
      </c>
      <c r="E229" s="823" t="s">
        <v>152</v>
      </c>
      <c r="F229" s="823"/>
      <c r="G229" s="823"/>
      <c r="H229" s="802" t="s">
        <v>153</v>
      </c>
      <c r="I229" s="802" t="s">
        <v>159</v>
      </c>
      <c r="J229" s="804" t="s">
        <v>73</v>
      </c>
      <c r="K229" s="216" t="s">
        <v>154</v>
      </c>
      <c r="L229" s="123"/>
      <c r="M229" s="124"/>
      <c r="N229" s="124"/>
      <c r="O229" s="124"/>
      <c r="P229" s="124"/>
      <c r="Q229" s="125"/>
    </row>
    <row r="230" spans="1:17" s="130" customFormat="1" x14ac:dyDescent="0.15">
      <c r="A230" s="822"/>
      <c r="B230" s="823"/>
      <c r="C230" s="823"/>
      <c r="D230" s="833"/>
      <c r="E230" s="217" t="s">
        <v>155</v>
      </c>
      <c r="F230" s="217" t="s">
        <v>156</v>
      </c>
      <c r="G230" s="217" t="s">
        <v>157</v>
      </c>
      <c r="H230" s="803"/>
      <c r="I230" s="803"/>
      <c r="J230" s="805"/>
      <c r="K230" s="216" t="s">
        <v>158</v>
      </c>
      <c r="L230" s="127"/>
      <c r="M230" s="128"/>
      <c r="N230" s="128"/>
      <c r="O230" s="128"/>
      <c r="P230" s="128"/>
      <c r="Q230" s="129"/>
    </row>
    <row r="231" spans="1:17" ht="19.5" customHeight="1" x14ac:dyDescent="0.15">
      <c r="A231" s="148"/>
      <c r="B231" s="815" t="s">
        <v>1019</v>
      </c>
      <c r="C231" s="816"/>
      <c r="D231" s="671">
        <v>0</v>
      </c>
      <c r="E231" s="143">
        <v>15.6</v>
      </c>
      <c r="F231" s="143">
        <v>1</v>
      </c>
      <c r="G231" s="143">
        <v>0.1</v>
      </c>
      <c r="H231" s="143">
        <v>1</v>
      </c>
      <c r="I231" s="143">
        <f t="shared" ref="I231" si="24">F231*E231</f>
        <v>15.6</v>
      </c>
      <c r="J231" s="133" t="s">
        <v>5</v>
      </c>
      <c r="K231" s="143">
        <f t="shared" ref="K231" si="25">(I231*H231)-D231</f>
        <v>15.6</v>
      </c>
      <c r="L231" s="127"/>
      <c r="M231" s="128"/>
      <c r="N231" s="128"/>
      <c r="O231" s="128"/>
      <c r="P231" s="128"/>
      <c r="Q231" s="129"/>
    </row>
    <row r="232" spans="1:17" ht="19.5" customHeight="1" x14ac:dyDescent="0.15">
      <c r="A232" s="148"/>
      <c r="B232" s="815" t="s">
        <v>1019</v>
      </c>
      <c r="C232" s="816"/>
      <c r="D232" s="671">
        <v>0</v>
      </c>
      <c r="E232" s="143">
        <v>1</v>
      </c>
      <c r="F232" s="143">
        <v>2</v>
      </c>
      <c r="G232" s="143">
        <v>0.1</v>
      </c>
      <c r="H232" s="143">
        <v>1</v>
      </c>
      <c r="I232" s="143">
        <f t="shared" ref="I232" si="26">F232*E232</f>
        <v>2</v>
      </c>
      <c r="J232" s="133" t="s">
        <v>5</v>
      </c>
      <c r="K232" s="143">
        <f t="shared" ref="K232" si="27">(I232*H232)-D232</f>
        <v>2</v>
      </c>
      <c r="L232" s="127"/>
      <c r="M232" s="128"/>
      <c r="N232" s="128"/>
      <c r="O232" s="128"/>
      <c r="P232" s="128"/>
      <c r="Q232" s="129"/>
    </row>
    <row r="233" spans="1:17" ht="19.5" customHeight="1" x14ac:dyDescent="0.15">
      <c r="A233" s="148"/>
      <c r="B233" s="815" t="s">
        <v>1020</v>
      </c>
      <c r="C233" s="816"/>
      <c r="D233" s="671">
        <v>0</v>
      </c>
      <c r="E233" s="143">
        <v>19.05</v>
      </c>
      <c r="F233" s="143">
        <v>0.6</v>
      </c>
      <c r="G233" s="143">
        <v>0.1</v>
      </c>
      <c r="H233" s="143">
        <v>1</v>
      </c>
      <c r="I233" s="143">
        <f t="shared" ref="I233" si="28">F233*E233</f>
        <v>11.43</v>
      </c>
      <c r="J233" s="133" t="s">
        <v>5</v>
      </c>
      <c r="K233" s="143">
        <f t="shared" ref="K233" si="29">(I233*H233)-D233</f>
        <v>11.43</v>
      </c>
      <c r="L233" s="127"/>
      <c r="M233" s="128"/>
      <c r="N233" s="128"/>
      <c r="O233" s="128"/>
      <c r="P233" s="128"/>
      <c r="Q233" s="129"/>
    </row>
    <row r="234" spans="1:17" ht="19.5" customHeight="1" x14ac:dyDescent="0.15">
      <c r="A234" s="148"/>
      <c r="B234" s="815" t="s">
        <v>1164</v>
      </c>
      <c r="C234" s="816"/>
      <c r="D234" s="671">
        <v>0</v>
      </c>
      <c r="E234" s="143">
        <v>10.91</v>
      </c>
      <c r="F234" s="143">
        <v>0.6</v>
      </c>
      <c r="G234" s="143">
        <v>0.1</v>
      </c>
      <c r="H234" s="143">
        <v>1</v>
      </c>
      <c r="I234" s="143">
        <f t="shared" ref="I234" si="30">F234*E234</f>
        <v>6.5460000000000003</v>
      </c>
      <c r="J234" s="133" t="s">
        <v>5</v>
      </c>
      <c r="K234" s="143">
        <f t="shared" ref="K234" si="31">(I234*H234)-D234</f>
        <v>6.5460000000000003</v>
      </c>
      <c r="L234" s="127"/>
      <c r="M234" s="128"/>
      <c r="N234" s="128"/>
      <c r="O234" s="128"/>
      <c r="P234" s="128"/>
      <c r="Q234" s="129"/>
    </row>
    <row r="235" spans="1:17" ht="14" x14ac:dyDescent="0.15">
      <c r="A235" s="795" t="s">
        <v>149</v>
      </c>
      <c r="B235" s="817"/>
      <c r="C235" s="817"/>
      <c r="D235" s="817"/>
      <c r="E235" s="817"/>
      <c r="F235" s="817"/>
      <c r="G235" s="817"/>
      <c r="H235" s="817"/>
      <c r="I235" s="817"/>
      <c r="J235" s="796"/>
      <c r="K235" s="418">
        <f>SUM(K231:K234)</f>
        <v>35.576000000000001</v>
      </c>
      <c r="L235" s="134"/>
      <c r="M235" s="135"/>
      <c r="N235" s="135"/>
      <c r="O235" s="135"/>
      <c r="P235" s="135"/>
      <c r="Q235" s="136"/>
    </row>
    <row r="236" spans="1:17" x14ac:dyDescent="0.15">
      <c r="A236" s="790"/>
      <c r="B236" s="791"/>
      <c r="C236" s="791"/>
      <c r="D236" s="791"/>
      <c r="E236" s="791"/>
      <c r="F236" s="791"/>
      <c r="G236" s="791"/>
      <c r="H236" s="791"/>
      <c r="I236" s="791"/>
      <c r="J236" s="791"/>
      <c r="K236" s="791"/>
      <c r="L236" s="791"/>
      <c r="M236" s="791"/>
      <c r="N236" s="791"/>
      <c r="O236" s="791"/>
      <c r="P236" s="791"/>
      <c r="Q236" s="792"/>
    </row>
    <row r="237" spans="1:17" s="121" customFormat="1" ht="18" customHeight="1" x14ac:dyDescent="0.15">
      <c r="A237" s="218" t="s">
        <v>0</v>
      </c>
      <c r="B237" s="793" t="s">
        <v>1572</v>
      </c>
      <c r="C237" s="794"/>
      <c r="D237" s="794"/>
      <c r="E237" s="794"/>
      <c r="F237" s="794"/>
      <c r="G237" s="794"/>
      <c r="H237" s="794"/>
      <c r="I237" s="794"/>
      <c r="J237" s="794"/>
      <c r="K237" s="794"/>
      <c r="L237" s="794"/>
      <c r="M237" s="794"/>
      <c r="N237" s="794"/>
      <c r="O237" s="216" t="s">
        <v>73</v>
      </c>
      <c r="P237" s="795" t="s">
        <v>193</v>
      </c>
      <c r="Q237" s="796"/>
    </row>
    <row r="238" spans="1:17" x14ac:dyDescent="0.15">
      <c r="A238" s="790"/>
      <c r="B238" s="791"/>
      <c r="C238" s="791"/>
      <c r="D238" s="791"/>
      <c r="E238" s="791"/>
      <c r="F238" s="791"/>
      <c r="G238" s="791"/>
      <c r="H238" s="791"/>
      <c r="I238" s="791"/>
      <c r="J238" s="791"/>
      <c r="K238" s="791"/>
      <c r="L238" s="791"/>
      <c r="M238" s="791"/>
      <c r="N238" s="791"/>
      <c r="O238" s="791"/>
      <c r="P238" s="791"/>
      <c r="Q238" s="792"/>
    </row>
    <row r="239" spans="1:17" s="126" customFormat="1" x14ac:dyDescent="0.15">
      <c r="A239" s="822" t="s">
        <v>150</v>
      </c>
      <c r="B239" s="823" t="s">
        <v>151</v>
      </c>
      <c r="C239" s="823"/>
      <c r="D239" s="802"/>
      <c r="E239" s="823" t="s">
        <v>152</v>
      </c>
      <c r="F239" s="823"/>
      <c r="G239" s="823"/>
      <c r="H239" s="802" t="s">
        <v>153</v>
      </c>
      <c r="I239" s="802" t="s">
        <v>242</v>
      </c>
      <c r="J239" s="804" t="s">
        <v>73</v>
      </c>
      <c r="K239" s="216" t="s">
        <v>154</v>
      </c>
      <c r="L239" s="123"/>
      <c r="M239" s="124"/>
      <c r="N239" s="124"/>
      <c r="O239" s="124"/>
      <c r="P239" s="124"/>
      <c r="Q239" s="125"/>
    </row>
    <row r="240" spans="1:17" s="130" customFormat="1" x14ac:dyDescent="0.15">
      <c r="A240" s="822"/>
      <c r="B240" s="823"/>
      <c r="C240" s="823"/>
      <c r="D240" s="803"/>
      <c r="E240" s="217" t="s">
        <v>155</v>
      </c>
      <c r="F240" s="217" t="s">
        <v>156</v>
      </c>
      <c r="G240" s="217" t="s">
        <v>157</v>
      </c>
      <c r="H240" s="803"/>
      <c r="I240" s="803"/>
      <c r="J240" s="805"/>
      <c r="K240" s="216" t="s">
        <v>158</v>
      </c>
      <c r="L240" s="127"/>
      <c r="M240" s="128"/>
      <c r="N240" s="128"/>
      <c r="O240" s="128"/>
      <c r="P240" s="128"/>
      <c r="Q240" s="129"/>
    </row>
    <row r="241" spans="1:17" ht="32.25" customHeight="1" x14ac:dyDescent="0.15">
      <c r="A241" s="148"/>
      <c r="B241" s="788" t="s">
        <v>1196</v>
      </c>
      <c r="C241" s="789"/>
      <c r="D241" s="149"/>
      <c r="E241" s="143">
        <v>8.26</v>
      </c>
      <c r="F241" s="143">
        <v>0.1</v>
      </c>
      <c r="G241" s="143">
        <v>0.2</v>
      </c>
      <c r="H241" s="143">
        <v>2</v>
      </c>
      <c r="I241" s="143">
        <f t="shared" ref="I241" si="32">E241</f>
        <v>8.26</v>
      </c>
      <c r="J241" s="133" t="s">
        <v>193</v>
      </c>
      <c r="K241" s="143">
        <f t="shared" ref="K241" si="33">I241*H241</f>
        <v>16.52</v>
      </c>
      <c r="L241" s="127"/>
      <c r="M241" s="128"/>
      <c r="N241" s="128"/>
      <c r="O241" s="128"/>
      <c r="P241" s="128"/>
      <c r="Q241" s="129"/>
    </row>
    <row r="242" spans="1:17" ht="32.25" customHeight="1" x14ac:dyDescent="0.15">
      <c r="A242" s="148"/>
      <c r="B242" s="788" t="s">
        <v>1196</v>
      </c>
      <c r="C242" s="789"/>
      <c r="D242" s="149"/>
      <c r="E242" s="143">
        <v>11.03</v>
      </c>
      <c r="F242" s="143">
        <v>0.1</v>
      </c>
      <c r="G242" s="143">
        <v>0.2</v>
      </c>
      <c r="H242" s="143">
        <v>2</v>
      </c>
      <c r="I242" s="143">
        <f t="shared" ref="I242" si="34">E242</f>
        <v>11.03</v>
      </c>
      <c r="J242" s="133" t="s">
        <v>193</v>
      </c>
      <c r="K242" s="143">
        <f t="shared" ref="K242" si="35">I242*H242</f>
        <v>22.06</v>
      </c>
      <c r="L242" s="127"/>
      <c r="M242" s="128"/>
      <c r="N242" s="128"/>
      <c r="O242" s="128"/>
      <c r="P242" s="128"/>
      <c r="Q242" s="129"/>
    </row>
    <row r="243" spans="1:17" ht="14" x14ac:dyDescent="0.15">
      <c r="A243" s="795" t="s">
        <v>149</v>
      </c>
      <c r="B243" s="817"/>
      <c r="C243" s="817"/>
      <c r="D243" s="817"/>
      <c r="E243" s="817"/>
      <c r="F243" s="817"/>
      <c r="G243" s="817"/>
      <c r="H243" s="817"/>
      <c r="I243" s="817"/>
      <c r="J243" s="796"/>
      <c r="K243" s="418">
        <f>SUM(K241:K242)</f>
        <v>38.58</v>
      </c>
      <c r="L243" s="134"/>
      <c r="M243" s="135"/>
      <c r="N243" s="135"/>
      <c r="O243" s="135"/>
      <c r="P243" s="135"/>
      <c r="Q243" s="136"/>
    </row>
    <row r="244" spans="1:17" x14ac:dyDescent="0.15">
      <c r="A244" s="790"/>
      <c r="B244" s="791"/>
      <c r="C244" s="791"/>
      <c r="D244" s="791"/>
      <c r="E244" s="791"/>
      <c r="F244" s="791"/>
      <c r="G244" s="791"/>
      <c r="H244" s="791"/>
      <c r="I244" s="791"/>
      <c r="J244" s="791"/>
      <c r="K244" s="791"/>
      <c r="L244" s="791"/>
      <c r="M244" s="791"/>
      <c r="N244" s="791"/>
      <c r="O244" s="791"/>
      <c r="P244" s="791"/>
      <c r="Q244" s="792"/>
    </row>
    <row r="245" spans="1:17" s="121" customFormat="1" ht="18" customHeight="1" x14ac:dyDescent="0.15">
      <c r="A245" s="218" t="s">
        <v>0</v>
      </c>
      <c r="B245" s="835" t="s">
        <v>1568</v>
      </c>
      <c r="C245" s="836"/>
      <c r="D245" s="836"/>
      <c r="E245" s="836"/>
      <c r="F245" s="836"/>
      <c r="G245" s="836"/>
      <c r="H245" s="836"/>
      <c r="I245" s="836"/>
      <c r="J245" s="836"/>
      <c r="K245" s="836"/>
      <c r="L245" s="836"/>
      <c r="M245" s="836"/>
      <c r="N245" s="837"/>
      <c r="O245" s="216" t="s">
        <v>73</v>
      </c>
      <c r="P245" s="795" t="s">
        <v>5</v>
      </c>
      <c r="Q245" s="796"/>
    </row>
    <row r="246" spans="1:17" x14ac:dyDescent="0.15">
      <c r="A246" s="790"/>
      <c r="B246" s="791"/>
      <c r="C246" s="791"/>
      <c r="D246" s="791"/>
      <c r="E246" s="791"/>
      <c r="F246" s="791"/>
      <c r="G246" s="791"/>
      <c r="H246" s="791"/>
      <c r="I246" s="791"/>
      <c r="J246" s="791"/>
      <c r="K246" s="791"/>
      <c r="L246" s="791"/>
      <c r="M246" s="791"/>
      <c r="N246" s="791"/>
      <c r="O246" s="791"/>
      <c r="P246" s="791"/>
      <c r="Q246" s="792"/>
    </row>
    <row r="247" spans="1:17" s="126" customFormat="1" x14ac:dyDescent="0.15">
      <c r="A247" s="822" t="s">
        <v>150</v>
      </c>
      <c r="B247" s="823" t="s">
        <v>151</v>
      </c>
      <c r="C247" s="823"/>
      <c r="D247" s="832" t="s">
        <v>264</v>
      </c>
      <c r="E247" s="823" t="s">
        <v>152</v>
      </c>
      <c r="F247" s="823"/>
      <c r="G247" s="823"/>
      <c r="H247" s="802" t="s">
        <v>153</v>
      </c>
      <c r="I247" s="802" t="s">
        <v>159</v>
      </c>
      <c r="J247" s="804" t="s">
        <v>73</v>
      </c>
      <c r="K247" s="216" t="s">
        <v>154</v>
      </c>
      <c r="L247" s="123"/>
      <c r="M247" s="124"/>
      <c r="N247" s="124"/>
      <c r="O247" s="124"/>
      <c r="P247" s="124"/>
      <c r="Q247" s="125"/>
    </row>
    <row r="248" spans="1:17" s="130" customFormat="1" x14ac:dyDescent="0.15">
      <c r="A248" s="822"/>
      <c r="B248" s="823"/>
      <c r="C248" s="823"/>
      <c r="D248" s="833"/>
      <c r="E248" s="217" t="s">
        <v>155</v>
      </c>
      <c r="F248" s="217" t="s">
        <v>156</v>
      </c>
      <c r="G248" s="217" t="s">
        <v>157</v>
      </c>
      <c r="H248" s="803"/>
      <c r="I248" s="803"/>
      <c r="J248" s="805"/>
      <c r="K248" s="216" t="s">
        <v>158</v>
      </c>
      <c r="L248" s="127"/>
      <c r="M248" s="128"/>
      <c r="N248" s="128"/>
      <c r="O248" s="128"/>
      <c r="P248" s="128"/>
      <c r="Q248" s="129"/>
    </row>
    <row r="249" spans="1:17" ht="19.5" customHeight="1" x14ac:dyDescent="0.15">
      <c r="A249" s="148"/>
      <c r="B249" s="788" t="s">
        <v>1194</v>
      </c>
      <c r="C249" s="789"/>
      <c r="D249" s="143">
        <v>0</v>
      </c>
      <c r="E249" s="143">
        <v>17.3</v>
      </c>
      <c r="F249" s="143">
        <v>0.15</v>
      </c>
      <c r="G249" s="143">
        <v>0.2</v>
      </c>
      <c r="H249" s="143">
        <v>1</v>
      </c>
      <c r="I249" s="143">
        <f t="shared" ref="I249" si="36">G249*E249</f>
        <v>3.4600000000000004</v>
      </c>
      <c r="J249" s="133" t="s">
        <v>5</v>
      </c>
      <c r="K249" s="143">
        <f t="shared" ref="K249" si="37">(I249*H249)-D249</f>
        <v>3.4600000000000004</v>
      </c>
      <c r="L249" s="127"/>
      <c r="M249" s="128"/>
      <c r="N249" s="128"/>
      <c r="O249" s="128"/>
      <c r="P249" s="128"/>
      <c r="Q249" s="129"/>
    </row>
    <row r="250" spans="1:17" ht="14" x14ac:dyDescent="0.15">
      <c r="A250" s="795" t="s">
        <v>149</v>
      </c>
      <c r="B250" s="817"/>
      <c r="C250" s="817"/>
      <c r="D250" s="817"/>
      <c r="E250" s="817"/>
      <c r="F250" s="817"/>
      <c r="G250" s="817"/>
      <c r="H250" s="817"/>
      <c r="I250" s="817"/>
      <c r="J250" s="796"/>
      <c r="K250" s="418">
        <f>SUM(K249)</f>
        <v>3.4600000000000004</v>
      </c>
      <c r="L250" s="134"/>
      <c r="M250" s="135"/>
      <c r="N250" s="135"/>
      <c r="O250" s="135"/>
      <c r="P250" s="135"/>
      <c r="Q250" s="136"/>
    </row>
    <row r="251" spans="1:17" x14ac:dyDescent="0.15">
      <c r="A251" s="790"/>
      <c r="B251" s="791"/>
      <c r="C251" s="791"/>
      <c r="D251" s="791"/>
      <c r="E251" s="791"/>
      <c r="F251" s="791"/>
      <c r="G251" s="791"/>
      <c r="H251" s="791"/>
      <c r="I251" s="791"/>
      <c r="J251" s="791"/>
      <c r="K251" s="791"/>
      <c r="L251" s="791"/>
      <c r="M251" s="791"/>
      <c r="N251" s="791"/>
      <c r="O251" s="791"/>
      <c r="P251" s="791"/>
      <c r="Q251" s="792"/>
    </row>
    <row r="252" spans="1:17" s="121" customFormat="1" ht="18" customHeight="1" x14ac:dyDescent="0.15">
      <c r="A252" s="218" t="s">
        <v>0</v>
      </c>
      <c r="B252" s="838" t="s">
        <v>180</v>
      </c>
      <c r="C252" s="839"/>
      <c r="D252" s="839"/>
      <c r="E252" s="839"/>
      <c r="F252" s="839"/>
      <c r="G252" s="839"/>
      <c r="H252" s="839"/>
      <c r="I252" s="839"/>
      <c r="J252" s="839"/>
      <c r="K252" s="839"/>
      <c r="L252" s="839"/>
      <c r="M252" s="839"/>
      <c r="N252" s="840"/>
      <c r="O252" s="216" t="s">
        <v>73</v>
      </c>
      <c r="P252" s="795" t="s">
        <v>5</v>
      </c>
      <c r="Q252" s="796"/>
    </row>
    <row r="253" spans="1:17" x14ac:dyDescent="0.15">
      <c r="A253" s="790"/>
      <c r="B253" s="791"/>
      <c r="C253" s="791"/>
      <c r="D253" s="791"/>
      <c r="E253" s="791"/>
      <c r="F253" s="791"/>
      <c r="G253" s="791"/>
      <c r="H253" s="791"/>
      <c r="I253" s="791"/>
      <c r="J253" s="791"/>
      <c r="K253" s="791"/>
      <c r="L253" s="791"/>
      <c r="M253" s="791"/>
      <c r="N253" s="791"/>
      <c r="O253" s="791"/>
      <c r="P253" s="791"/>
      <c r="Q253" s="792"/>
    </row>
    <row r="254" spans="1:17" s="126" customFormat="1" x14ac:dyDescent="0.15">
      <c r="A254" s="822" t="s">
        <v>150</v>
      </c>
      <c r="B254" s="823" t="s">
        <v>151</v>
      </c>
      <c r="C254" s="823"/>
      <c r="D254" s="832" t="s">
        <v>241</v>
      </c>
      <c r="E254" s="823" t="s">
        <v>152</v>
      </c>
      <c r="F254" s="823"/>
      <c r="G254" s="823"/>
      <c r="H254" s="802" t="s">
        <v>153</v>
      </c>
      <c r="I254" s="802" t="s">
        <v>159</v>
      </c>
      <c r="J254" s="804" t="s">
        <v>73</v>
      </c>
      <c r="K254" s="216" t="s">
        <v>154</v>
      </c>
      <c r="L254" s="123"/>
      <c r="M254" s="124"/>
      <c r="N254" s="124"/>
      <c r="O254" s="124"/>
      <c r="P254" s="124"/>
      <c r="Q254" s="125"/>
    </row>
    <row r="255" spans="1:17" s="130" customFormat="1" x14ac:dyDescent="0.15">
      <c r="A255" s="822"/>
      <c r="B255" s="823"/>
      <c r="C255" s="823"/>
      <c r="D255" s="833"/>
      <c r="E255" s="217" t="s">
        <v>155</v>
      </c>
      <c r="F255" s="217" t="s">
        <v>156</v>
      </c>
      <c r="G255" s="217" t="s">
        <v>157</v>
      </c>
      <c r="H255" s="803"/>
      <c r="I255" s="803"/>
      <c r="J255" s="805"/>
      <c r="K255" s="216" t="s">
        <v>158</v>
      </c>
      <c r="L255" s="127"/>
      <c r="M255" s="128"/>
      <c r="N255" s="128"/>
      <c r="O255" s="128"/>
      <c r="P255" s="128"/>
      <c r="Q255" s="129"/>
    </row>
    <row r="256" spans="1:17" ht="21.75" customHeight="1" x14ac:dyDescent="0.15">
      <c r="A256" s="148"/>
      <c r="B256" s="815" t="s">
        <v>1083</v>
      </c>
      <c r="C256" s="816"/>
      <c r="D256" s="143">
        <v>0</v>
      </c>
      <c r="E256" s="143">
        <f>(42-(15*0.25))</f>
        <v>38.25</v>
      </c>
      <c r="F256" s="143">
        <v>0.09</v>
      </c>
      <c r="G256" s="143">
        <v>2</v>
      </c>
      <c r="H256" s="143">
        <v>1</v>
      </c>
      <c r="I256" s="143">
        <f t="shared" ref="I256" si="38">G256*E256</f>
        <v>76.5</v>
      </c>
      <c r="J256" s="133" t="s">
        <v>5</v>
      </c>
      <c r="K256" s="143">
        <f t="shared" ref="K256" si="39">(I256*H256)-D256</f>
        <v>76.5</v>
      </c>
      <c r="L256" s="127"/>
      <c r="M256" s="128"/>
      <c r="N256" s="128"/>
      <c r="O256" s="128"/>
      <c r="P256" s="128"/>
      <c r="Q256" s="129"/>
    </row>
    <row r="257" spans="1:20" ht="14" x14ac:dyDescent="0.15">
      <c r="A257" s="795" t="s">
        <v>149</v>
      </c>
      <c r="B257" s="817"/>
      <c r="C257" s="817"/>
      <c r="D257" s="817"/>
      <c r="E257" s="817"/>
      <c r="F257" s="817"/>
      <c r="G257" s="817"/>
      <c r="H257" s="817"/>
      <c r="I257" s="817"/>
      <c r="J257" s="796"/>
      <c r="K257" s="418">
        <f>SUM(K256:K256)</f>
        <v>76.5</v>
      </c>
      <c r="L257" s="134"/>
      <c r="M257" s="135"/>
      <c r="N257" s="135"/>
      <c r="O257" s="135"/>
      <c r="P257" s="135"/>
      <c r="Q257" s="136"/>
    </row>
    <row r="258" spans="1:20" x14ac:dyDescent="0.15">
      <c r="A258" s="790"/>
      <c r="B258" s="791"/>
      <c r="C258" s="791"/>
      <c r="D258" s="791"/>
      <c r="E258" s="791"/>
      <c r="F258" s="791"/>
      <c r="G258" s="791"/>
      <c r="H258" s="791"/>
      <c r="I258" s="791"/>
      <c r="J258" s="791"/>
      <c r="K258" s="791"/>
      <c r="L258" s="791"/>
      <c r="M258" s="791"/>
      <c r="N258" s="791"/>
      <c r="O258" s="791"/>
      <c r="P258" s="791"/>
      <c r="Q258" s="792"/>
    </row>
    <row r="259" spans="1:20" s="121" customFormat="1" ht="18" customHeight="1" x14ac:dyDescent="0.15">
      <c r="A259" s="218" t="s">
        <v>0</v>
      </c>
      <c r="B259" s="838" t="s">
        <v>1026</v>
      </c>
      <c r="C259" s="839"/>
      <c r="D259" s="839"/>
      <c r="E259" s="839"/>
      <c r="F259" s="839"/>
      <c r="G259" s="839"/>
      <c r="H259" s="839"/>
      <c r="I259" s="839"/>
      <c r="J259" s="839"/>
      <c r="K259" s="839"/>
      <c r="L259" s="839"/>
      <c r="M259" s="839"/>
      <c r="N259" s="839"/>
      <c r="O259" s="216" t="s">
        <v>73</v>
      </c>
      <c r="P259" s="795" t="s">
        <v>5</v>
      </c>
      <c r="Q259" s="796"/>
    </row>
    <row r="260" spans="1:20" x14ac:dyDescent="0.15">
      <c r="A260" s="790"/>
      <c r="B260" s="791"/>
      <c r="C260" s="791"/>
      <c r="D260" s="791"/>
      <c r="E260" s="791"/>
      <c r="F260" s="791"/>
      <c r="G260" s="791"/>
      <c r="H260" s="791"/>
      <c r="I260" s="791"/>
      <c r="J260" s="791"/>
      <c r="K260" s="791"/>
      <c r="L260" s="791"/>
      <c r="M260" s="791"/>
      <c r="N260" s="791"/>
      <c r="O260" s="791"/>
      <c r="P260" s="791"/>
      <c r="Q260" s="792"/>
    </row>
    <row r="261" spans="1:20" s="126" customFormat="1" ht="12.75" customHeight="1" x14ac:dyDescent="0.15">
      <c r="A261" s="822" t="s">
        <v>150</v>
      </c>
      <c r="B261" s="823" t="s">
        <v>151</v>
      </c>
      <c r="C261" s="823"/>
      <c r="D261" s="832" t="s">
        <v>241</v>
      </c>
      <c r="E261" s="823" t="s">
        <v>152</v>
      </c>
      <c r="F261" s="823"/>
      <c r="G261" s="823"/>
      <c r="H261" s="802" t="s">
        <v>153</v>
      </c>
      <c r="I261" s="802" t="s">
        <v>159</v>
      </c>
      <c r="J261" s="804" t="s">
        <v>73</v>
      </c>
      <c r="K261" s="216" t="s">
        <v>154</v>
      </c>
      <c r="L261" s="123"/>
      <c r="M261" s="124"/>
      <c r="N261" s="124"/>
      <c r="O261" s="124"/>
      <c r="P261" s="124"/>
      <c r="Q261" s="125"/>
    </row>
    <row r="262" spans="1:20" s="130" customFormat="1" x14ac:dyDescent="0.15">
      <c r="A262" s="822"/>
      <c r="B262" s="823"/>
      <c r="C262" s="823"/>
      <c r="D262" s="833"/>
      <c r="E262" s="217" t="s">
        <v>155</v>
      </c>
      <c r="F262" s="217" t="s">
        <v>206</v>
      </c>
      <c r="G262" s="217" t="s">
        <v>1093</v>
      </c>
      <c r="H262" s="803"/>
      <c r="I262" s="803"/>
      <c r="J262" s="805"/>
      <c r="K262" s="216" t="s">
        <v>158</v>
      </c>
      <c r="L262" s="127"/>
      <c r="M262" s="128"/>
      <c r="N262" s="128"/>
      <c r="O262" s="128"/>
      <c r="P262" s="128"/>
      <c r="Q262" s="129"/>
    </row>
    <row r="263" spans="1:20" ht="20.25" customHeight="1" x14ac:dyDescent="0.15">
      <c r="A263" s="148"/>
      <c r="B263" s="815" t="s">
        <v>1083</v>
      </c>
      <c r="C263" s="816"/>
      <c r="D263" s="143">
        <v>0</v>
      </c>
      <c r="E263" s="143">
        <f>(42-(15*0.25))</f>
        <v>38.25</v>
      </c>
      <c r="F263" s="143">
        <v>0.02</v>
      </c>
      <c r="G263" s="143">
        <v>2</v>
      </c>
      <c r="H263" s="143">
        <v>2</v>
      </c>
      <c r="I263" s="143">
        <f t="shared" ref="I263:I266" si="40">G263*E263</f>
        <v>76.5</v>
      </c>
      <c r="J263" s="133" t="s">
        <v>5</v>
      </c>
      <c r="K263" s="143">
        <f t="shared" ref="K263:K266" si="41">(I263*H263)-D263</f>
        <v>153</v>
      </c>
      <c r="L263" s="127"/>
      <c r="M263" s="128"/>
      <c r="N263" s="128"/>
      <c r="O263" s="128"/>
      <c r="P263" s="128"/>
      <c r="Q263" s="129"/>
    </row>
    <row r="264" spans="1:20" ht="20.25" customHeight="1" x14ac:dyDescent="0.15">
      <c r="A264" s="148"/>
      <c r="B264" s="788" t="s">
        <v>988</v>
      </c>
      <c r="C264" s="789"/>
      <c r="D264" s="143">
        <v>0</v>
      </c>
      <c r="E264" s="143">
        <v>0.2</v>
      </c>
      <c r="F264" s="143">
        <v>0.02</v>
      </c>
      <c r="G264" s="143">
        <v>2</v>
      </c>
      <c r="H264" s="143">
        <v>30</v>
      </c>
      <c r="I264" s="143">
        <f t="shared" si="40"/>
        <v>0.4</v>
      </c>
      <c r="J264" s="133" t="s">
        <v>5</v>
      </c>
      <c r="K264" s="143">
        <f t="shared" si="41"/>
        <v>12</v>
      </c>
      <c r="L264" s="127"/>
      <c r="M264" s="128"/>
      <c r="N264" s="128"/>
      <c r="O264" s="128"/>
      <c r="P264" s="128"/>
      <c r="Q264" s="129"/>
    </row>
    <row r="265" spans="1:20" ht="20.25" customHeight="1" x14ac:dyDescent="0.15">
      <c r="A265" s="148"/>
      <c r="B265" s="788" t="s">
        <v>1092</v>
      </c>
      <c r="C265" s="789"/>
      <c r="D265" s="143">
        <v>0</v>
      </c>
      <c r="E265" s="143">
        <v>42</v>
      </c>
      <c r="F265" s="143">
        <v>0.02</v>
      </c>
      <c r="G265" s="143">
        <v>0.6</v>
      </c>
      <c r="H265" s="143">
        <v>1</v>
      </c>
      <c r="I265" s="143">
        <f t="shared" si="40"/>
        <v>25.2</v>
      </c>
      <c r="J265" s="133" t="s">
        <v>5</v>
      </c>
      <c r="K265" s="143">
        <f t="shared" si="41"/>
        <v>25.2</v>
      </c>
      <c r="L265" s="127"/>
      <c r="M265" s="128"/>
      <c r="N265" s="128"/>
      <c r="O265" s="128"/>
      <c r="P265" s="128"/>
      <c r="Q265" s="129"/>
    </row>
    <row r="266" spans="1:20" ht="20.25" customHeight="1" x14ac:dyDescent="0.15">
      <c r="A266" s="148"/>
      <c r="B266" s="788" t="s">
        <v>1094</v>
      </c>
      <c r="C266" s="789"/>
      <c r="D266" s="143">
        <v>0</v>
      </c>
      <c r="E266" s="143">
        <v>42</v>
      </c>
      <c r="F266" s="143">
        <v>0.02</v>
      </c>
      <c r="G266" s="143">
        <v>0.1</v>
      </c>
      <c r="H266" s="143">
        <v>2</v>
      </c>
      <c r="I266" s="143">
        <f t="shared" si="40"/>
        <v>4.2</v>
      </c>
      <c r="J266" s="133" t="s">
        <v>5</v>
      </c>
      <c r="K266" s="143">
        <f t="shared" si="41"/>
        <v>8.4</v>
      </c>
      <c r="L266" s="127"/>
      <c r="M266" s="128"/>
      <c r="N266" s="128"/>
      <c r="O266" s="128"/>
      <c r="P266" s="128"/>
      <c r="Q266" s="129"/>
    </row>
    <row r="267" spans="1:20" ht="20.25" customHeight="1" x14ac:dyDescent="0.15">
      <c r="A267" s="148"/>
      <c r="B267" s="788" t="s">
        <v>1197</v>
      </c>
      <c r="C267" s="789"/>
      <c r="D267" s="143">
        <v>0</v>
      </c>
      <c r="E267" s="143">
        <f>19.05+10.91</f>
        <v>29.96</v>
      </c>
      <c r="F267" s="143">
        <v>0.02</v>
      </c>
      <c r="G267" s="143">
        <v>0.3</v>
      </c>
      <c r="H267" s="143">
        <v>1</v>
      </c>
      <c r="I267" s="143">
        <f t="shared" ref="I267" si="42">G267*E267</f>
        <v>8.9879999999999995</v>
      </c>
      <c r="J267" s="133" t="s">
        <v>5</v>
      </c>
      <c r="K267" s="143">
        <f t="shared" ref="K267" si="43">(I267*H267)-D267</f>
        <v>8.9879999999999995</v>
      </c>
      <c r="L267" s="127"/>
      <c r="M267" s="128"/>
      <c r="N267" s="128"/>
      <c r="O267" s="128"/>
      <c r="P267" s="128"/>
      <c r="Q267" s="129"/>
    </row>
    <row r="268" spans="1:20" ht="14" x14ac:dyDescent="0.15">
      <c r="A268" s="795" t="s">
        <v>149</v>
      </c>
      <c r="B268" s="817"/>
      <c r="C268" s="817"/>
      <c r="D268" s="817"/>
      <c r="E268" s="817"/>
      <c r="F268" s="817"/>
      <c r="G268" s="817"/>
      <c r="H268" s="817"/>
      <c r="I268" s="817"/>
      <c r="J268" s="796"/>
      <c r="K268" s="418">
        <f>SUM(K263:K267)</f>
        <v>207.58799999999999</v>
      </c>
      <c r="L268" s="134"/>
      <c r="M268" s="135"/>
      <c r="N268" s="135"/>
      <c r="O268" s="135"/>
      <c r="P268" s="135"/>
      <c r="Q268" s="136"/>
    </row>
    <row r="269" spans="1:20" x14ac:dyDescent="0.15">
      <c r="A269" s="790"/>
      <c r="B269" s="791"/>
      <c r="C269" s="791"/>
      <c r="D269" s="791"/>
      <c r="E269" s="791"/>
      <c r="F269" s="791"/>
      <c r="G269" s="791"/>
      <c r="H269" s="791"/>
      <c r="I269" s="791"/>
      <c r="J269" s="791"/>
      <c r="K269" s="791"/>
      <c r="L269" s="791"/>
      <c r="M269" s="791"/>
      <c r="N269" s="791"/>
      <c r="O269" s="791"/>
      <c r="P269" s="791"/>
      <c r="Q269" s="792"/>
    </row>
    <row r="270" spans="1:20" s="121" customFormat="1" ht="18" customHeight="1" x14ac:dyDescent="0.15">
      <c r="A270" s="218" t="s">
        <v>0</v>
      </c>
      <c r="B270" s="838" t="s">
        <v>1095</v>
      </c>
      <c r="C270" s="839"/>
      <c r="D270" s="839"/>
      <c r="E270" s="839"/>
      <c r="F270" s="839"/>
      <c r="G270" s="839"/>
      <c r="H270" s="839"/>
      <c r="I270" s="839"/>
      <c r="J270" s="839"/>
      <c r="K270" s="839"/>
      <c r="L270" s="839"/>
      <c r="M270" s="839"/>
      <c r="N270" s="839"/>
      <c r="O270" s="216" t="s">
        <v>73</v>
      </c>
      <c r="P270" s="795" t="s">
        <v>5</v>
      </c>
      <c r="Q270" s="796"/>
    </row>
    <row r="271" spans="1:20" x14ac:dyDescent="0.15">
      <c r="A271" s="790"/>
      <c r="B271" s="791"/>
      <c r="C271" s="791"/>
      <c r="D271" s="791"/>
      <c r="E271" s="791"/>
      <c r="F271" s="791"/>
      <c r="G271" s="791"/>
      <c r="H271" s="791"/>
      <c r="I271" s="791"/>
      <c r="J271" s="791"/>
      <c r="K271" s="791"/>
      <c r="L271" s="791"/>
      <c r="M271" s="791"/>
      <c r="N271" s="791"/>
      <c r="O271" s="791"/>
      <c r="P271" s="791"/>
      <c r="Q271" s="792"/>
      <c r="T271" s="221"/>
    </row>
    <row r="272" spans="1:20" s="126" customFormat="1" ht="12.75" customHeight="1" x14ac:dyDescent="0.15">
      <c r="A272" s="822" t="s">
        <v>150</v>
      </c>
      <c r="B272" s="823" t="s">
        <v>151</v>
      </c>
      <c r="C272" s="823"/>
      <c r="D272" s="832" t="s">
        <v>241</v>
      </c>
      <c r="E272" s="823" t="s">
        <v>152</v>
      </c>
      <c r="F272" s="823"/>
      <c r="G272" s="823"/>
      <c r="H272" s="802" t="s">
        <v>153</v>
      </c>
      <c r="I272" s="802" t="s">
        <v>1096</v>
      </c>
      <c r="J272" s="804" t="s">
        <v>73</v>
      </c>
      <c r="K272" s="216" t="s">
        <v>154</v>
      </c>
      <c r="L272" s="123"/>
      <c r="M272" s="124"/>
      <c r="N272" s="124"/>
      <c r="O272" s="124"/>
      <c r="P272" s="124"/>
      <c r="Q272" s="125"/>
    </row>
    <row r="273" spans="1:20" s="130" customFormat="1" x14ac:dyDescent="0.15">
      <c r="A273" s="822"/>
      <c r="B273" s="823"/>
      <c r="C273" s="823"/>
      <c r="D273" s="833"/>
      <c r="E273" s="217" t="s">
        <v>155</v>
      </c>
      <c r="F273" s="217" t="s">
        <v>206</v>
      </c>
      <c r="G273" s="217" t="s">
        <v>1093</v>
      </c>
      <c r="H273" s="803"/>
      <c r="I273" s="803"/>
      <c r="J273" s="805"/>
      <c r="K273" s="216" t="s">
        <v>158</v>
      </c>
      <c r="L273" s="127"/>
      <c r="M273" s="128"/>
      <c r="N273" s="128"/>
      <c r="O273" s="128"/>
      <c r="P273" s="128"/>
      <c r="Q273" s="129"/>
    </row>
    <row r="274" spans="1:20" ht="29.25" customHeight="1" x14ac:dyDescent="0.15">
      <c r="A274" s="148"/>
      <c r="B274" s="815" t="s">
        <v>1097</v>
      </c>
      <c r="C274" s="816"/>
      <c r="D274" s="143">
        <v>0</v>
      </c>
      <c r="E274" s="143">
        <v>9</v>
      </c>
      <c r="F274" s="143">
        <v>0.02</v>
      </c>
      <c r="G274" s="143">
        <v>0.12</v>
      </c>
      <c r="H274" s="143">
        <v>14</v>
      </c>
      <c r="I274" s="143">
        <f>E274</f>
        <v>9</v>
      </c>
      <c r="J274" s="133" t="s">
        <v>7</v>
      </c>
      <c r="K274" s="143">
        <f t="shared" ref="K274" si="44">(I274*H274)-D274</f>
        <v>126</v>
      </c>
      <c r="L274" s="127"/>
      <c r="M274" s="128"/>
      <c r="N274" s="128"/>
      <c r="O274" s="128"/>
      <c r="P274" s="128"/>
      <c r="Q274" s="129"/>
      <c r="T274" s="221"/>
    </row>
    <row r="275" spans="1:20" ht="14" x14ac:dyDescent="0.15">
      <c r="A275" s="795" t="s">
        <v>149</v>
      </c>
      <c r="B275" s="817"/>
      <c r="C275" s="817"/>
      <c r="D275" s="817"/>
      <c r="E275" s="817"/>
      <c r="F275" s="817"/>
      <c r="G275" s="817"/>
      <c r="H275" s="817"/>
      <c r="I275" s="817"/>
      <c r="J275" s="796"/>
      <c r="K275" s="418">
        <f>SUM(K274:K274)</f>
        <v>126</v>
      </c>
      <c r="L275" s="134"/>
      <c r="M275" s="135"/>
      <c r="N275" s="135"/>
      <c r="O275" s="135"/>
      <c r="P275" s="135"/>
      <c r="Q275" s="136"/>
      <c r="T275" s="121"/>
    </row>
    <row r="276" spans="1:20" x14ac:dyDescent="0.15">
      <c r="A276" s="790"/>
      <c r="B276" s="791"/>
      <c r="C276" s="791"/>
      <c r="D276" s="791"/>
      <c r="E276" s="791"/>
      <c r="F276" s="791"/>
      <c r="G276" s="791"/>
      <c r="H276" s="791"/>
      <c r="I276" s="791"/>
      <c r="J276" s="791"/>
      <c r="K276" s="791"/>
      <c r="L276" s="791"/>
      <c r="M276" s="791"/>
      <c r="N276" s="791"/>
      <c r="O276" s="791"/>
      <c r="P276" s="791"/>
      <c r="Q276" s="792"/>
      <c r="T276" s="221"/>
    </row>
    <row r="277" spans="1:20" s="121" customFormat="1" ht="18" customHeight="1" x14ac:dyDescent="0.15">
      <c r="A277" s="218" t="s">
        <v>0</v>
      </c>
      <c r="B277" s="838" t="s">
        <v>1032</v>
      </c>
      <c r="C277" s="839"/>
      <c r="D277" s="839"/>
      <c r="E277" s="839"/>
      <c r="F277" s="839"/>
      <c r="G277" s="839"/>
      <c r="H277" s="839"/>
      <c r="I277" s="839"/>
      <c r="J277" s="839"/>
      <c r="K277" s="839"/>
      <c r="L277" s="839"/>
      <c r="M277" s="839"/>
      <c r="N277" s="839"/>
      <c r="O277" s="216" t="s">
        <v>73</v>
      </c>
      <c r="P277" s="795" t="s">
        <v>5</v>
      </c>
      <c r="Q277" s="796"/>
    </row>
    <row r="278" spans="1:20" x14ac:dyDescent="0.15">
      <c r="A278" s="790"/>
      <c r="B278" s="791"/>
      <c r="C278" s="791"/>
      <c r="D278" s="791"/>
      <c r="E278" s="791"/>
      <c r="F278" s="791"/>
      <c r="G278" s="791"/>
      <c r="H278" s="791"/>
      <c r="I278" s="791"/>
      <c r="J278" s="791"/>
      <c r="K278" s="791"/>
      <c r="L278" s="791"/>
      <c r="M278" s="791"/>
      <c r="N278" s="791"/>
      <c r="O278" s="791"/>
      <c r="P278" s="791"/>
      <c r="Q278" s="792"/>
    </row>
    <row r="279" spans="1:20" s="126" customFormat="1" ht="12.75" customHeight="1" x14ac:dyDescent="0.15">
      <c r="A279" s="822" t="s">
        <v>150</v>
      </c>
      <c r="B279" s="823" t="s">
        <v>151</v>
      </c>
      <c r="C279" s="823"/>
      <c r="D279" s="832" t="s">
        <v>241</v>
      </c>
      <c r="E279" s="823" t="s">
        <v>152</v>
      </c>
      <c r="F279" s="823"/>
      <c r="G279" s="823"/>
      <c r="H279" s="802" t="s">
        <v>153</v>
      </c>
      <c r="I279" s="802" t="s">
        <v>159</v>
      </c>
      <c r="J279" s="804" t="s">
        <v>73</v>
      </c>
      <c r="K279" s="216" t="s">
        <v>154</v>
      </c>
      <c r="L279" s="123"/>
      <c r="M279" s="124"/>
      <c r="N279" s="124"/>
      <c r="O279" s="124"/>
      <c r="P279" s="124"/>
      <c r="Q279" s="125"/>
    </row>
    <row r="280" spans="1:20" s="130" customFormat="1" x14ac:dyDescent="0.15">
      <c r="A280" s="822"/>
      <c r="B280" s="823"/>
      <c r="C280" s="823"/>
      <c r="D280" s="833"/>
      <c r="E280" s="217" t="s">
        <v>155</v>
      </c>
      <c r="F280" s="217" t="s">
        <v>156</v>
      </c>
      <c r="G280" s="217" t="s">
        <v>157</v>
      </c>
      <c r="H280" s="803"/>
      <c r="I280" s="803"/>
      <c r="J280" s="805"/>
      <c r="K280" s="216" t="s">
        <v>158</v>
      </c>
      <c r="L280" s="127"/>
      <c r="M280" s="128"/>
      <c r="N280" s="128"/>
      <c r="O280" s="128"/>
      <c r="P280" s="128"/>
      <c r="Q280" s="129"/>
    </row>
    <row r="281" spans="1:20" ht="22.5" customHeight="1" x14ac:dyDescent="0.15">
      <c r="A281" s="131"/>
      <c r="B281" s="815" t="s">
        <v>1187</v>
      </c>
      <c r="C281" s="816"/>
      <c r="D281" s="219">
        <f>89.64*3</f>
        <v>268.92</v>
      </c>
      <c r="E281" s="132">
        <v>0</v>
      </c>
      <c r="F281" s="144">
        <v>0</v>
      </c>
      <c r="G281" s="144">
        <v>0</v>
      </c>
      <c r="H281" s="132">
        <v>1</v>
      </c>
      <c r="I281" s="132">
        <f>D281</f>
        <v>268.92</v>
      </c>
      <c r="J281" s="144" t="s">
        <v>5</v>
      </c>
      <c r="K281" s="219">
        <f>I281*H281</f>
        <v>268.92</v>
      </c>
      <c r="L281" s="127"/>
      <c r="M281" s="128"/>
      <c r="N281" s="128"/>
      <c r="O281" s="128"/>
      <c r="P281" s="128"/>
      <c r="Q281" s="129"/>
    </row>
    <row r="282" spans="1:20" ht="22.5" customHeight="1" x14ac:dyDescent="0.15">
      <c r="A282" s="131"/>
      <c r="B282" s="815" t="s">
        <v>1188</v>
      </c>
      <c r="C282" s="816"/>
      <c r="D282" s="219">
        <f>28.35*3</f>
        <v>85.050000000000011</v>
      </c>
      <c r="E282" s="132">
        <v>0</v>
      </c>
      <c r="F282" s="144">
        <v>0</v>
      </c>
      <c r="G282" s="144">
        <v>0</v>
      </c>
      <c r="H282" s="132">
        <v>1</v>
      </c>
      <c r="I282" s="132">
        <f>D282</f>
        <v>85.050000000000011</v>
      </c>
      <c r="J282" s="144" t="s">
        <v>5</v>
      </c>
      <c r="K282" s="219">
        <f>I282*H282</f>
        <v>85.050000000000011</v>
      </c>
      <c r="L282" s="127"/>
      <c r="M282" s="128"/>
      <c r="N282" s="128"/>
      <c r="O282" s="128"/>
      <c r="P282" s="128"/>
      <c r="Q282" s="129"/>
    </row>
    <row r="283" spans="1:20" ht="22.5" customHeight="1" x14ac:dyDescent="0.15">
      <c r="A283" s="131"/>
      <c r="B283" s="815" t="s">
        <v>1199</v>
      </c>
      <c r="C283" s="816"/>
      <c r="D283" s="219">
        <f>10.91*3.5</f>
        <v>38.185000000000002</v>
      </c>
      <c r="E283" s="132">
        <v>0</v>
      </c>
      <c r="F283" s="144">
        <v>0</v>
      </c>
      <c r="G283" s="144">
        <v>0</v>
      </c>
      <c r="H283" s="132">
        <v>1</v>
      </c>
      <c r="I283" s="132">
        <f>D283</f>
        <v>38.185000000000002</v>
      </c>
      <c r="J283" s="144" t="s">
        <v>5</v>
      </c>
      <c r="K283" s="219">
        <f>I283*H283</f>
        <v>38.185000000000002</v>
      </c>
      <c r="L283" s="127"/>
      <c r="M283" s="128"/>
      <c r="N283" s="128"/>
      <c r="O283" s="128"/>
      <c r="P283" s="128"/>
      <c r="Q283" s="129"/>
    </row>
    <row r="284" spans="1:20" ht="14" x14ac:dyDescent="0.15">
      <c r="A284" s="795" t="s">
        <v>149</v>
      </c>
      <c r="B284" s="817"/>
      <c r="C284" s="817"/>
      <c r="D284" s="817"/>
      <c r="E284" s="817"/>
      <c r="F284" s="817"/>
      <c r="G284" s="817"/>
      <c r="H284" s="817"/>
      <c r="I284" s="817"/>
      <c r="J284" s="796"/>
      <c r="K284" s="418">
        <f>SUM(K281:K283)</f>
        <v>392.15500000000003</v>
      </c>
      <c r="L284" s="134"/>
      <c r="M284" s="135"/>
      <c r="N284" s="135"/>
      <c r="O284" s="135"/>
      <c r="P284" s="135"/>
      <c r="Q284" s="136"/>
    </row>
    <row r="285" spans="1:20" x14ac:dyDescent="0.15">
      <c r="A285" s="790"/>
      <c r="B285" s="791"/>
      <c r="C285" s="791"/>
      <c r="D285" s="791"/>
      <c r="E285" s="791"/>
      <c r="F285" s="791"/>
      <c r="G285" s="791"/>
      <c r="H285" s="791"/>
      <c r="I285" s="791"/>
      <c r="J285" s="791"/>
      <c r="K285" s="791"/>
      <c r="L285" s="791"/>
      <c r="M285" s="791"/>
      <c r="N285" s="791"/>
      <c r="O285" s="791"/>
      <c r="P285" s="791"/>
      <c r="Q285" s="792"/>
    </row>
    <row r="286" spans="1:20" s="121" customFormat="1" ht="18" customHeight="1" x14ac:dyDescent="0.15">
      <c r="A286" s="218" t="s">
        <v>0</v>
      </c>
      <c r="B286" s="838" t="s">
        <v>1030</v>
      </c>
      <c r="C286" s="839"/>
      <c r="D286" s="839"/>
      <c r="E286" s="839"/>
      <c r="F286" s="839"/>
      <c r="G286" s="839"/>
      <c r="H286" s="839"/>
      <c r="I286" s="839"/>
      <c r="J286" s="839"/>
      <c r="K286" s="839"/>
      <c r="L286" s="839"/>
      <c r="M286" s="839"/>
      <c r="N286" s="839"/>
      <c r="O286" s="216" t="s">
        <v>73</v>
      </c>
      <c r="P286" s="795" t="s">
        <v>193</v>
      </c>
      <c r="Q286" s="796"/>
    </row>
    <row r="287" spans="1:20" x14ac:dyDescent="0.15">
      <c r="A287" s="790"/>
      <c r="B287" s="791"/>
      <c r="C287" s="791"/>
      <c r="D287" s="791"/>
      <c r="E287" s="791"/>
      <c r="F287" s="791"/>
      <c r="G287" s="791"/>
      <c r="H287" s="791"/>
      <c r="I287" s="791"/>
      <c r="J287" s="791"/>
      <c r="K287" s="791"/>
      <c r="L287" s="791"/>
      <c r="M287" s="791"/>
      <c r="N287" s="791"/>
      <c r="O287" s="791"/>
      <c r="P287" s="791"/>
      <c r="Q287" s="792"/>
    </row>
    <row r="288" spans="1:20" s="126" customFormat="1" x14ac:dyDescent="0.15">
      <c r="A288" s="822" t="s">
        <v>150</v>
      </c>
      <c r="B288" s="823" t="s">
        <v>151</v>
      </c>
      <c r="C288" s="823"/>
      <c r="D288" s="832" t="s">
        <v>246</v>
      </c>
      <c r="E288" s="823" t="s">
        <v>152</v>
      </c>
      <c r="F288" s="823"/>
      <c r="G288" s="823"/>
      <c r="H288" s="802" t="s">
        <v>153</v>
      </c>
      <c r="I288" s="802" t="s">
        <v>242</v>
      </c>
      <c r="J288" s="804" t="s">
        <v>73</v>
      </c>
      <c r="K288" s="216" t="s">
        <v>154</v>
      </c>
      <c r="L288" s="123"/>
      <c r="M288" s="124"/>
      <c r="N288" s="124"/>
      <c r="O288" s="124"/>
      <c r="P288" s="124"/>
      <c r="Q288" s="125"/>
    </row>
    <row r="289" spans="1:17" s="130" customFormat="1" x14ac:dyDescent="0.15">
      <c r="A289" s="822"/>
      <c r="B289" s="823"/>
      <c r="C289" s="823"/>
      <c r="D289" s="833"/>
      <c r="E289" s="217" t="s">
        <v>155</v>
      </c>
      <c r="F289" s="217" t="s">
        <v>156</v>
      </c>
      <c r="G289" s="217" t="s">
        <v>157</v>
      </c>
      <c r="H289" s="803"/>
      <c r="I289" s="803"/>
      <c r="J289" s="805"/>
      <c r="K289" s="216" t="s">
        <v>158</v>
      </c>
      <c r="L289" s="127"/>
      <c r="M289" s="128"/>
      <c r="N289" s="128"/>
      <c r="O289" s="128"/>
      <c r="P289" s="128"/>
      <c r="Q289" s="129"/>
    </row>
    <row r="290" spans="1:17" ht="27" customHeight="1" x14ac:dyDescent="0.15">
      <c r="A290" s="148"/>
      <c r="B290" s="788" t="s">
        <v>1028</v>
      </c>
      <c r="C290" s="789"/>
      <c r="D290" s="149"/>
      <c r="E290" s="143">
        <v>89.65</v>
      </c>
      <c r="F290" s="672">
        <v>0</v>
      </c>
      <c r="G290" s="143">
        <v>0.2</v>
      </c>
      <c r="H290" s="143">
        <v>1</v>
      </c>
      <c r="I290" s="143">
        <f t="shared" ref="I290" si="45">E290</f>
        <v>89.65</v>
      </c>
      <c r="J290" s="133" t="s">
        <v>7</v>
      </c>
      <c r="K290" s="143">
        <f>I290*H290</f>
        <v>89.65</v>
      </c>
      <c r="L290" s="127"/>
      <c r="M290" s="128"/>
      <c r="N290" s="128"/>
      <c r="O290" s="128"/>
      <c r="P290" s="128"/>
      <c r="Q290" s="129"/>
    </row>
    <row r="291" spans="1:17" ht="14" x14ac:dyDescent="0.15">
      <c r="A291" s="795" t="s">
        <v>149</v>
      </c>
      <c r="B291" s="817"/>
      <c r="C291" s="817"/>
      <c r="D291" s="817"/>
      <c r="E291" s="817"/>
      <c r="F291" s="817"/>
      <c r="G291" s="817"/>
      <c r="H291" s="817"/>
      <c r="I291" s="817"/>
      <c r="J291" s="796"/>
      <c r="K291" s="418">
        <f>SUM(K290:K290)</f>
        <v>89.65</v>
      </c>
      <c r="L291" s="134"/>
      <c r="M291" s="135"/>
      <c r="N291" s="135"/>
      <c r="O291" s="135"/>
      <c r="P291" s="135"/>
      <c r="Q291" s="136"/>
    </row>
    <row r="292" spans="1:17" x14ac:dyDescent="0.15">
      <c r="A292" s="790"/>
      <c r="B292" s="791"/>
      <c r="C292" s="791"/>
      <c r="D292" s="791"/>
      <c r="E292" s="791"/>
      <c r="F292" s="791"/>
      <c r="G292" s="791"/>
      <c r="H292" s="791"/>
      <c r="I292" s="791"/>
      <c r="J292" s="791"/>
      <c r="K292" s="791"/>
      <c r="L292" s="791"/>
      <c r="M292" s="791"/>
      <c r="N292" s="791"/>
      <c r="O292" s="791"/>
      <c r="P292" s="791"/>
      <c r="Q292" s="792"/>
    </row>
    <row r="293" spans="1:17" s="121" customFormat="1" ht="18" customHeight="1" x14ac:dyDescent="0.15">
      <c r="A293" s="218" t="s">
        <v>0</v>
      </c>
      <c r="B293" s="838" t="s">
        <v>1031</v>
      </c>
      <c r="C293" s="839"/>
      <c r="D293" s="839"/>
      <c r="E293" s="839"/>
      <c r="F293" s="839"/>
      <c r="G293" s="839"/>
      <c r="H293" s="839"/>
      <c r="I293" s="839"/>
      <c r="J293" s="839"/>
      <c r="K293" s="839"/>
      <c r="L293" s="839"/>
      <c r="M293" s="839"/>
      <c r="N293" s="839"/>
      <c r="O293" s="216" t="s">
        <v>73</v>
      </c>
      <c r="P293" s="795" t="s">
        <v>5</v>
      </c>
      <c r="Q293" s="796"/>
    </row>
    <row r="294" spans="1:17" x14ac:dyDescent="0.15">
      <c r="A294" s="790"/>
      <c r="B294" s="791"/>
      <c r="C294" s="791"/>
      <c r="D294" s="791"/>
      <c r="E294" s="791"/>
      <c r="F294" s="791"/>
      <c r="G294" s="791"/>
      <c r="H294" s="791"/>
      <c r="I294" s="791"/>
      <c r="J294" s="791"/>
      <c r="K294" s="791"/>
      <c r="L294" s="791"/>
      <c r="M294" s="791"/>
      <c r="N294" s="791"/>
      <c r="O294" s="791"/>
      <c r="P294" s="791"/>
      <c r="Q294" s="792"/>
    </row>
    <row r="295" spans="1:17" s="126" customFormat="1" ht="12.75" customHeight="1" x14ac:dyDescent="0.15">
      <c r="A295" s="822" t="s">
        <v>150</v>
      </c>
      <c r="B295" s="823" t="s">
        <v>151</v>
      </c>
      <c r="C295" s="823"/>
      <c r="D295" s="832" t="s">
        <v>241</v>
      </c>
      <c r="E295" s="823" t="s">
        <v>152</v>
      </c>
      <c r="F295" s="823"/>
      <c r="G295" s="823"/>
      <c r="H295" s="802" t="s">
        <v>153</v>
      </c>
      <c r="I295" s="802" t="s">
        <v>159</v>
      </c>
      <c r="J295" s="804" t="s">
        <v>73</v>
      </c>
      <c r="K295" s="216" t="s">
        <v>154</v>
      </c>
      <c r="L295" s="123"/>
      <c r="M295" s="124"/>
      <c r="N295" s="124"/>
      <c r="O295" s="124"/>
      <c r="P295" s="124"/>
      <c r="Q295" s="125"/>
    </row>
    <row r="296" spans="1:17" s="130" customFormat="1" x14ac:dyDescent="0.15">
      <c r="A296" s="822"/>
      <c r="B296" s="823"/>
      <c r="C296" s="823"/>
      <c r="D296" s="833"/>
      <c r="E296" s="217" t="s">
        <v>155</v>
      </c>
      <c r="F296" s="217" t="s">
        <v>156</v>
      </c>
      <c r="G296" s="217" t="s">
        <v>157</v>
      </c>
      <c r="H296" s="803"/>
      <c r="I296" s="803"/>
      <c r="J296" s="805"/>
      <c r="K296" s="216" t="s">
        <v>158</v>
      </c>
      <c r="L296" s="127"/>
      <c r="M296" s="128"/>
      <c r="N296" s="128"/>
      <c r="O296" s="128"/>
      <c r="P296" s="128"/>
      <c r="Q296" s="129"/>
    </row>
    <row r="297" spans="1:17" ht="29.25" customHeight="1" x14ac:dyDescent="0.15">
      <c r="A297" s="148"/>
      <c r="B297" s="788" t="s">
        <v>1028</v>
      </c>
      <c r="C297" s="789"/>
      <c r="D297" s="143">
        <v>73.64</v>
      </c>
      <c r="E297" s="143">
        <v>0</v>
      </c>
      <c r="F297" s="143">
        <v>0</v>
      </c>
      <c r="G297" s="143">
        <v>0</v>
      </c>
      <c r="H297" s="143">
        <v>1</v>
      </c>
      <c r="I297" s="143">
        <f>D297</f>
        <v>73.64</v>
      </c>
      <c r="J297" s="133" t="s">
        <v>5</v>
      </c>
      <c r="K297" s="143">
        <f>I297*H297</f>
        <v>73.64</v>
      </c>
      <c r="L297" s="127"/>
      <c r="M297" s="128"/>
      <c r="N297" s="128"/>
      <c r="O297" s="128"/>
      <c r="P297" s="128"/>
      <c r="Q297" s="129"/>
    </row>
    <row r="298" spans="1:17" ht="14" x14ac:dyDescent="0.15">
      <c r="A298" s="795" t="s">
        <v>149</v>
      </c>
      <c r="B298" s="817"/>
      <c r="C298" s="817"/>
      <c r="D298" s="817"/>
      <c r="E298" s="817"/>
      <c r="F298" s="817"/>
      <c r="G298" s="817"/>
      <c r="H298" s="817"/>
      <c r="I298" s="817"/>
      <c r="J298" s="796"/>
      <c r="K298" s="418">
        <f>SUM(K297:K297)</f>
        <v>73.64</v>
      </c>
      <c r="L298" s="134"/>
      <c r="M298" s="135"/>
      <c r="N298" s="135"/>
      <c r="O298" s="135"/>
      <c r="P298" s="135"/>
      <c r="Q298" s="136"/>
    </row>
    <row r="299" spans="1:17" x14ac:dyDescent="0.15">
      <c r="A299" s="790"/>
      <c r="B299" s="791"/>
      <c r="C299" s="791"/>
      <c r="D299" s="791"/>
      <c r="E299" s="791"/>
      <c r="F299" s="791"/>
      <c r="G299" s="791"/>
      <c r="H299" s="791"/>
      <c r="I299" s="791"/>
      <c r="J299" s="791"/>
      <c r="K299" s="791"/>
      <c r="L299" s="791"/>
      <c r="M299" s="791"/>
      <c r="N299" s="791"/>
      <c r="O299" s="791"/>
      <c r="P299" s="791"/>
      <c r="Q299" s="792"/>
    </row>
    <row r="300" spans="1:17" s="121" customFormat="1" ht="18" customHeight="1" x14ac:dyDescent="0.15">
      <c r="A300" s="218" t="s">
        <v>0</v>
      </c>
      <c r="B300" s="838" t="s">
        <v>1033</v>
      </c>
      <c r="C300" s="839"/>
      <c r="D300" s="839"/>
      <c r="E300" s="839"/>
      <c r="F300" s="839"/>
      <c r="G300" s="839"/>
      <c r="H300" s="839"/>
      <c r="I300" s="839"/>
      <c r="J300" s="839"/>
      <c r="K300" s="839"/>
      <c r="L300" s="839"/>
      <c r="M300" s="839"/>
      <c r="N300" s="839"/>
      <c r="O300" s="216" t="s">
        <v>73</v>
      </c>
      <c r="P300" s="795" t="s">
        <v>5</v>
      </c>
      <c r="Q300" s="796"/>
    </row>
    <row r="301" spans="1:17" x14ac:dyDescent="0.15">
      <c r="A301" s="790"/>
      <c r="B301" s="791"/>
      <c r="C301" s="791"/>
      <c r="D301" s="791"/>
      <c r="E301" s="791"/>
      <c r="F301" s="791"/>
      <c r="G301" s="791"/>
      <c r="H301" s="791"/>
      <c r="I301" s="791"/>
      <c r="J301" s="791"/>
      <c r="K301" s="791"/>
      <c r="L301" s="791"/>
      <c r="M301" s="791"/>
      <c r="N301" s="791"/>
      <c r="O301" s="791"/>
      <c r="P301" s="791"/>
      <c r="Q301" s="792"/>
    </row>
    <row r="302" spans="1:17" s="126" customFormat="1" x14ac:dyDescent="0.15">
      <c r="A302" s="865" t="s">
        <v>150</v>
      </c>
      <c r="B302" s="866" t="s">
        <v>151</v>
      </c>
      <c r="C302" s="866"/>
      <c r="D302" s="867" t="s">
        <v>264</v>
      </c>
      <c r="E302" s="866" t="s">
        <v>152</v>
      </c>
      <c r="F302" s="866"/>
      <c r="G302" s="866"/>
      <c r="H302" s="869" t="s">
        <v>153</v>
      </c>
      <c r="I302" s="869" t="s">
        <v>159</v>
      </c>
      <c r="J302" s="871" t="s">
        <v>73</v>
      </c>
      <c r="K302" s="676" t="s">
        <v>154</v>
      </c>
      <c r="L302" s="123"/>
      <c r="M302" s="124"/>
      <c r="N302" s="124"/>
      <c r="O302" s="124"/>
      <c r="P302" s="124"/>
      <c r="Q302" s="125"/>
    </row>
    <row r="303" spans="1:17" s="130" customFormat="1" x14ac:dyDescent="0.15">
      <c r="A303" s="865"/>
      <c r="B303" s="866"/>
      <c r="C303" s="866"/>
      <c r="D303" s="868"/>
      <c r="E303" s="677" t="s">
        <v>155</v>
      </c>
      <c r="F303" s="677" t="s">
        <v>156</v>
      </c>
      <c r="G303" s="677" t="s">
        <v>157</v>
      </c>
      <c r="H303" s="870"/>
      <c r="I303" s="870"/>
      <c r="J303" s="872"/>
      <c r="K303" s="676" t="s">
        <v>158</v>
      </c>
      <c r="L303" s="127"/>
      <c r="M303" s="128"/>
      <c r="N303" s="128"/>
      <c r="O303" s="128"/>
      <c r="P303" s="128"/>
      <c r="Q303" s="129"/>
    </row>
    <row r="304" spans="1:17" ht="28.5" customHeight="1" x14ac:dyDescent="0.15">
      <c r="A304" s="148"/>
      <c r="B304" s="788" t="s">
        <v>1028</v>
      </c>
      <c r="C304" s="789"/>
      <c r="D304" s="143">
        <v>79.64</v>
      </c>
      <c r="E304" s="143">
        <v>0</v>
      </c>
      <c r="F304" s="143">
        <v>0</v>
      </c>
      <c r="G304" s="143">
        <v>0</v>
      </c>
      <c r="H304" s="143">
        <v>1</v>
      </c>
      <c r="I304" s="143">
        <f>D304</f>
        <v>79.64</v>
      </c>
      <c r="J304" s="133" t="s">
        <v>5</v>
      </c>
      <c r="K304" s="143">
        <f>I304*H304</f>
        <v>79.64</v>
      </c>
      <c r="L304" s="127"/>
      <c r="M304" s="128"/>
      <c r="N304" s="128"/>
      <c r="O304" s="128"/>
      <c r="P304" s="128"/>
      <c r="Q304" s="129"/>
    </row>
    <row r="305" spans="1:17" ht="14" x14ac:dyDescent="0.15">
      <c r="A305" s="795" t="s">
        <v>149</v>
      </c>
      <c r="B305" s="817"/>
      <c r="C305" s="817"/>
      <c r="D305" s="817"/>
      <c r="E305" s="817"/>
      <c r="F305" s="817"/>
      <c r="G305" s="817"/>
      <c r="H305" s="817"/>
      <c r="I305" s="817"/>
      <c r="J305" s="796"/>
      <c r="K305" s="418">
        <f>SUM(K304:K304)</f>
        <v>79.64</v>
      </c>
      <c r="L305" s="134"/>
      <c r="M305" s="135"/>
      <c r="N305" s="135"/>
      <c r="O305" s="135"/>
      <c r="P305" s="135"/>
      <c r="Q305" s="136"/>
    </row>
    <row r="306" spans="1:17" x14ac:dyDescent="0.15">
      <c r="A306" s="790"/>
      <c r="B306" s="791"/>
      <c r="C306" s="791"/>
      <c r="D306" s="791"/>
      <c r="E306" s="791"/>
      <c r="F306" s="791"/>
      <c r="G306" s="791"/>
      <c r="H306" s="791"/>
      <c r="I306" s="791"/>
      <c r="J306" s="791"/>
      <c r="K306" s="791"/>
      <c r="L306" s="791"/>
      <c r="M306" s="791"/>
      <c r="N306" s="791"/>
      <c r="O306" s="791"/>
      <c r="P306" s="791"/>
      <c r="Q306" s="792"/>
    </row>
    <row r="307" spans="1:17" s="121" customFormat="1" ht="18" customHeight="1" x14ac:dyDescent="0.15">
      <c r="A307" s="218" t="s">
        <v>0</v>
      </c>
      <c r="B307" s="838" t="s">
        <v>1151</v>
      </c>
      <c r="C307" s="839"/>
      <c r="D307" s="839"/>
      <c r="E307" s="839"/>
      <c r="F307" s="839"/>
      <c r="G307" s="839"/>
      <c r="H307" s="839"/>
      <c r="I307" s="839"/>
      <c r="J307" s="839"/>
      <c r="K307" s="839"/>
      <c r="L307" s="839"/>
      <c r="M307" s="839"/>
      <c r="N307" s="839"/>
      <c r="O307" s="216" t="s">
        <v>73</v>
      </c>
      <c r="P307" s="795" t="s">
        <v>193</v>
      </c>
      <c r="Q307" s="796"/>
    </row>
    <row r="308" spans="1:17" x14ac:dyDescent="0.15">
      <c r="A308" s="790"/>
      <c r="B308" s="791"/>
      <c r="C308" s="791"/>
      <c r="D308" s="791"/>
      <c r="E308" s="791"/>
      <c r="F308" s="791"/>
      <c r="G308" s="791"/>
      <c r="H308" s="791"/>
      <c r="I308" s="791"/>
      <c r="J308" s="791"/>
      <c r="K308" s="791"/>
      <c r="L308" s="791"/>
      <c r="M308" s="791"/>
      <c r="N308" s="791"/>
      <c r="O308" s="791"/>
      <c r="P308" s="791"/>
      <c r="Q308" s="792"/>
    </row>
    <row r="309" spans="1:17" s="126" customFormat="1" x14ac:dyDescent="0.15">
      <c r="A309" s="822" t="s">
        <v>150</v>
      </c>
      <c r="B309" s="823" t="s">
        <v>151</v>
      </c>
      <c r="C309" s="823"/>
      <c r="D309" s="832" t="s">
        <v>264</v>
      </c>
      <c r="E309" s="823" t="s">
        <v>152</v>
      </c>
      <c r="F309" s="823"/>
      <c r="G309" s="823"/>
      <c r="H309" s="802" t="s">
        <v>153</v>
      </c>
      <c r="I309" s="802" t="s">
        <v>242</v>
      </c>
      <c r="J309" s="804" t="s">
        <v>73</v>
      </c>
      <c r="K309" s="216" t="s">
        <v>154</v>
      </c>
      <c r="L309" s="123"/>
      <c r="M309" s="124"/>
      <c r="N309" s="124"/>
      <c r="O309" s="124"/>
      <c r="P309" s="124"/>
      <c r="Q309" s="125"/>
    </row>
    <row r="310" spans="1:17" s="130" customFormat="1" x14ac:dyDescent="0.15">
      <c r="A310" s="822"/>
      <c r="B310" s="823"/>
      <c r="C310" s="823"/>
      <c r="D310" s="833"/>
      <c r="E310" s="217" t="s">
        <v>155</v>
      </c>
      <c r="F310" s="217" t="s">
        <v>156</v>
      </c>
      <c r="G310" s="217" t="s">
        <v>157</v>
      </c>
      <c r="H310" s="803"/>
      <c r="I310" s="803"/>
      <c r="J310" s="805"/>
      <c r="K310" s="216" t="s">
        <v>158</v>
      </c>
      <c r="L310" s="127"/>
      <c r="M310" s="128"/>
      <c r="N310" s="128"/>
      <c r="O310" s="128"/>
      <c r="P310" s="128"/>
      <c r="Q310" s="129"/>
    </row>
    <row r="311" spans="1:17" ht="30" customHeight="1" x14ac:dyDescent="0.15">
      <c r="A311" s="148"/>
      <c r="B311" s="788" t="s">
        <v>1028</v>
      </c>
      <c r="C311" s="789"/>
      <c r="D311" s="143">
        <v>0</v>
      </c>
      <c r="E311" s="143">
        <v>89.64</v>
      </c>
      <c r="F311" s="143">
        <v>0</v>
      </c>
      <c r="G311" s="143">
        <v>0.1</v>
      </c>
      <c r="H311" s="143">
        <v>1</v>
      </c>
      <c r="I311" s="143">
        <f>E311</f>
        <v>89.64</v>
      </c>
      <c r="J311" s="133" t="s">
        <v>193</v>
      </c>
      <c r="K311" s="143">
        <f t="shared" ref="K311" si="46">(I311*H311)-D311</f>
        <v>89.64</v>
      </c>
      <c r="L311" s="127"/>
      <c r="M311" s="128"/>
      <c r="N311" s="128"/>
      <c r="O311" s="128"/>
      <c r="P311" s="128"/>
      <c r="Q311" s="129"/>
    </row>
    <row r="312" spans="1:17" ht="14" x14ac:dyDescent="0.15">
      <c r="A312" s="795" t="s">
        <v>149</v>
      </c>
      <c r="B312" s="817"/>
      <c r="C312" s="817"/>
      <c r="D312" s="817"/>
      <c r="E312" s="817"/>
      <c r="F312" s="817"/>
      <c r="G312" s="817"/>
      <c r="H312" s="817"/>
      <c r="I312" s="817"/>
      <c r="J312" s="796"/>
      <c r="K312" s="418">
        <f>SUM(K311:K311)</f>
        <v>89.64</v>
      </c>
      <c r="L312" s="134"/>
      <c r="M312" s="135"/>
      <c r="N312" s="135"/>
      <c r="O312" s="135"/>
      <c r="P312" s="135"/>
      <c r="Q312" s="136"/>
    </row>
    <row r="313" spans="1:17" x14ac:dyDescent="0.15">
      <c r="A313" s="790"/>
      <c r="B313" s="791"/>
      <c r="C313" s="791"/>
      <c r="D313" s="791"/>
      <c r="E313" s="791"/>
      <c r="F313" s="791"/>
      <c r="G313" s="791"/>
      <c r="H313" s="791"/>
      <c r="I313" s="791"/>
      <c r="J313" s="791"/>
      <c r="K313" s="791"/>
      <c r="L313" s="791"/>
      <c r="M313" s="791"/>
      <c r="N313" s="791"/>
      <c r="O313" s="791"/>
      <c r="P313" s="791"/>
      <c r="Q313" s="792"/>
    </row>
    <row r="314" spans="1:17" s="121" customFormat="1" ht="18" customHeight="1" x14ac:dyDescent="0.15">
      <c r="A314" s="218" t="s">
        <v>0</v>
      </c>
      <c r="B314" s="859" t="s">
        <v>1104</v>
      </c>
      <c r="C314" s="860"/>
      <c r="D314" s="860"/>
      <c r="E314" s="860"/>
      <c r="F314" s="860"/>
      <c r="G314" s="860"/>
      <c r="H314" s="860"/>
      <c r="I314" s="860"/>
      <c r="J314" s="860"/>
      <c r="K314" s="860"/>
      <c r="L314" s="860"/>
      <c r="M314" s="860"/>
      <c r="N314" s="860"/>
      <c r="O314" s="216" t="s">
        <v>73</v>
      </c>
      <c r="P314" s="795" t="s">
        <v>5</v>
      </c>
      <c r="Q314" s="796"/>
    </row>
    <row r="315" spans="1:17" x14ac:dyDescent="0.15">
      <c r="A315" s="790"/>
      <c r="B315" s="791"/>
      <c r="C315" s="791"/>
      <c r="D315" s="791"/>
      <c r="E315" s="791"/>
      <c r="F315" s="791"/>
      <c r="G315" s="791"/>
      <c r="H315" s="791"/>
      <c r="I315" s="791"/>
      <c r="J315" s="791"/>
      <c r="K315" s="791"/>
      <c r="L315" s="791"/>
      <c r="M315" s="791"/>
      <c r="N315" s="791"/>
      <c r="O315" s="791"/>
      <c r="P315" s="791"/>
      <c r="Q315" s="792"/>
    </row>
    <row r="316" spans="1:17" s="126" customFormat="1" ht="12.75" customHeight="1" x14ac:dyDescent="0.15">
      <c r="A316" s="822" t="s">
        <v>150</v>
      </c>
      <c r="B316" s="823" t="s">
        <v>151</v>
      </c>
      <c r="C316" s="823"/>
      <c r="D316" s="832" t="s">
        <v>241</v>
      </c>
      <c r="E316" s="823" t="s">
        <v>152</v>
      </c>
      <c r="F316" s="823"/>
      <c r="G316" s="823"/>
      <c r="H316" s="802" t="s">
        <v>153</v>
      </c>
      <c r="I316" s="802" t="s">
        <v>159</v>
      </c>
      <c r="J316" s="804" t="s">
        <v>73</v>
      </c>
      <c r="K316" s="216" t="s">
        <v>154</v>
      </c>
      <c r="L316" s="123"/>
      <c r="M316" s="124"/>
      <c r="N316" s="124"/>
      <c r="O316" s="124"/>
      <c r="P316" s="124"/>
      <c r="Q316" s="125"/>
    </row>
    <row r="317" spans="1:17" s="130" customFormat="1" x14ac:dyDescent="0.15">
      <c r="A317" s="822"/>
      <c r="B317" s="823"/>
      <c r="C317" s="823"/>
      <c r="D317" s="833"/>
      <c r="E317" s="217" t="s">
        <v>155</v>
      </c>
      <c r="F317" s="217" t="s">
        <v>206</v>
      </c>
      <c r="G317" s="217" t="s">
        <v>1093</v>
      </c>
      <c r="H317" s="803"/>
      <c r="I317" s="803"/>
      <c r="J317" s="805"/>
      <c r="K317" s="216" t="s">
        <v>158</v>
      </c>
      <c r="L317" s="127"/>
      <c r="M317" s="128"/>
      <c r="N317" s="128"/>
      <c r="O317" s="128"/>
      <c r="P317" s="128"/>
      <c r="Q317" s="129"/>
    </row>
    <row r="318" spans="1:17" ht="20.25" customHeight="1" x14ac:dyDescent="0.15">
      <c r="A318" s="148"/>
      <c r="B318" s="815" t="s">
        <v>1083</v>
      </c>
      <c r="C318" s="816"/>
      <c r="D318" s="143">
        <v>0</v>
      </c>
      <c r="E318" s="143">
        <v>38.25</v>
      </c>
      <c r="F318" s="143">
        <v>0</v>
      </c>
      <c r="G318" s="143">
        <v>2</v>
      </c>
      <c r="H318" s="143">
        <v>2</v>
      </c>
      <c r="I318" s="143">
        <f t="shared" ref="I318:I322" si="47">G318*E318</f>
        <v>76.5</v>
      </c>
      <c r="J318" s="133" t="s">
        <v>5</v>
      </c>
      <c r="K318" s="143">
        <f t="shared" ref="K318:K322" si="48">(I318*H318)-D318</f>
        <v>153</v>
      </c>
      <c r="L318" s="127"/>
      <c r="M318" s="128"/>
      <c r="N318" s="128"/>
      <c r="O318" s="128"/>
      <c r="P318" s="128"/>
      <c r="Q318" s="129"/>
    </row>
    <row r="319" spans="1:17" ht="20.25" customHeight="1" x14ac:dyDescent="0.15">
      <c r="A319" s="148"/>
      <c r="B319" s="788" t="s">
        <v>988</v>
      </c>
      <c r="C319" s="789"/>
      <c r="D319" s="143">
        <v>0</v>
      </c>
      <c r="E319" s="143">
        <v>0.2</v>
      </c>
      <c r="F319" s="143">
        <v>0</v>
      </c>
      <c r="G319" s="143">
        <v>2</v>
      </c>
      <c r="H319" s="143">
        <v>30</v>
      </c>
      <c r="I319" s="143">
        <f t="shared" si="47"/>
        <v>0.4</v>
      </c>
      <c r="J319" s="133" t="s">
        <v>5</v>
      </c>
      <c r="K319" s="143">
        <f t="shared" si="48"/>
        <v>12</v>
      </c>
      <c r="L319" s="127"/>
      <c r="M319" s="128"/>
      <c r="N319" s="128"/>
      <c r="O319" s="128"/>
      <c r="P319" s="128"/>
      <c r="Q319" s="129"/>
    </row>
    <row r="320" spans="1:17" ht="20.25" customHeight="1" x14ac:dyDescent="0.15">
      <c r="A320" s="148"/>
      <c r="B320" s="788" t="s">
        <v>1092</v>
      </c>
      <c r="C320" s="789"/>
      <c r="D320" s="143">
        <v>0</v>
      </c>
      <c r="E320" s="143">
        <v>42</v>
      </c>
      <c r="F320" s="143">
        <v>0</v>
      </c>
      <c r="G320" s="143">
        <v>0.6</v>
      </c>
      <c r="H320" s="143">
        <v>1</v>
      </c>
      <c r="I320" s="143">
        <f t="shared" si="47"/>
        <v>25.2</v>
      </c>
      <c r="J320" s="133" t="s">
        <v>5</v>
      </c>
      <c r="K320" s="143">
        <f t="shared" si="48"/>
        <v>25.2</v>
      </c>
      <c r="L320" s="127"/>
      <c r="M320" s="128"/>
      <c r="N320" s="128"/>
      <c r="O320" s="128"/>
      <c r="P320" s="128"/>
      <c r="Q320" s="129"/>
    </row>
    <row r="321" spans="1:17" ht="20.25" customHeight="1" x14ac:dyDescent="0.15">
      <c r="A321" s="148"/>
      <c r="B321" s="788" t="s">
        <v>1094</v>
      </c>
      <c r="C321" s="789"/>
      <c r="D321" s="143">
        <v>0</v>
      </c>
      <c r="E321" s="143">
        <v>42</v>
      </c>
      <c r="F321" s="143">
        <v>0</v>
      </c>
      <c r="G321" s="143">
        <v>0.1</v>
      </c>
      <c r="H321" s="143">
        <v>2</v>
      </c>
      <c r="I321" s="143">
        <f t="shared" si="47"/>
        <v>4.2</v>
      </c>
      <c r="J321" s="133" t="s">
        <v>5</v>
      </c>
      <c r="K321" s="143">
        <f t="shared" si="48"/>
        <v>8.4</v>
      </c>
      <c r="L321" s="127"/>
      <c r="M321" s="128"/>
      <c r="N321" s="128"/>
      <c r="O321" s="128"/>
      <c r="P321" s="128"/>
      <c r="Q321" s="129"/>
    </row>
    <row r="322" spans="1:17" ht="30.75" customHeight="1" x14ac:dyDescent="0.15">
      <c r="A322" s="148"/>
      <c r="B322" s="815" t="s">
        <v>1097</v>
      </c>
      <c r="C322" s="816"/>
      <c r="D322" s="143">
        <v>0</v>
      </c>
      <c r="E322" s="143">
        <v>10.5</v>
      </c>
      <c r="F322" s="143">
        <v>0</v>
      </c>
      <c r="G322" s="143">
        <v>7.0000000000000007E-2</v>
      </c>
      <c r="H322" s="143">
        <v>14</v>
      </c>
      <c r="I322" s="143">
        <f t="shared" si="47"/>
        <v>0.7350000000000001</v>
      </c>
      <c r="J322" s="133" t="s">
        <v>5</v>
      </c>
      <c r="K322" s="143">
        <f t="shared" si="48"/>
        <v>10.290000000000001</v>
      </c>
      <c r="L322" s="127"/>
      <c r="M322" s="128"/>
      <c r="N322" s="128"/>
      <c r="O322" s="128"/>
      <c r="P322" s="128"/>
      <c r="Q322" s="129"/>
    </row>
    <row r="323" spans="1:17" ht="14" x14ac:dyDescent="0.15">
      <c r="A323" s="795" t="s">
        <v>149</v>
      </c>
      <c r="B323" s="817"/>
      <c r="C323" s="817"/>
      <c r="D323" s="817"/>
      <c r="E323" s="817"/>
      <c r="F323" s="817"/>
      <c r="G323" s="817"/>
      <c r="H323" s="817"/>
      <c r="I323" s="817"/>
      <c r="J323" s="796"/>
      <c r="K323" s="418">
        <f>SUM(K318:K322)</f>
        <v>208.89</v>
      </c>
      <c r="L323" s="134"/>
      <c r="M323" s="135"/>
      <c r="N323" s="135"/>
      <c r="O323" s="135"/>
      <c r="P323" s="135"/>
      <c r="Q323" s="136"/>
    </row>
    <row r="324" spans="1:17" x14ac:dyDescent="0.15">
      <c r="A324" s="790"/>
      <c r="B324" s="791"/>
      <c r="C324" s="791"/>
      <c r="D324" s="791"/>
      <c r="E324" s="791"/>
      <c r="F324" s="791"/>
      <c r="G324" s="791"/>
      <c r="H324" s="791"/>
      <c r="I324" s="791"/>
      <c r="J324" s="791"/>
      <c r="K324" s="791"/>
      <c r="L324" s="791"/>
      <c r="M324" s="791"/>
      <c r="N324" s="791"/>
      <c r="O324" s="791"/>
      <c r="P324" s="791"/>
      <c r="Q324" s="792"/>
    </row>
    <row r="325" spans="1:17" s="121" customFormat="1" ht="18" customHeight="1" x14ac:dyDescent="0.15">
      <c r="A325" s="218" t="s">
        <v>0</v>
      </c>
      <c r="B325" s="843" t="s">
        <v>1035</v>
      </c>
      <c r="C325" s="844"/>
      <c r="D325" s="844"/>
      <c r="E325" s="844"/>
      <c r="F325" s="844"/>
      <c r="G325" s="844"/>
      <c r="H325" s="844"/>
      <c r="I325" s="844"/>
      <c r="J325" s="844"/>
      <c r="K325" s="844"/>
      <c r="L325" s="844"/>
      <c r="M325" s="844"/>
      <c r="N325" s="844"/>
      <c r="O325" s="216" t="s">
        <v>73</v>
      </c>
      <c r="P325" s="795" t="s">
        <v>19</v>
      </c>
      <c r="Q325" s="796"/>
    </row>
    <row r="326" spans="1:17" x14ac:dyDescent="0.15">
      <c r="A326" s="790"/>
      <c r="B326" s="791"/>
      <c r="C326" s="791"/>
      <c r="D326" s="791"/>
      <c r="E326" s="791"/>
      <c r="F326" s="791"/>
      <c r="G326" s="791"/>
      <c r="H326" s="791"/>
      <c r="I326" s="791"/>
      <c r="J326" s="791"/>
      <c r="K326" s="791"/>
      <c r="L326" s="791"/>
      <c r="M326" s="791"/>
      <c r="N326" s="791"/>
      <c r="O326" s="791"/>
      <c r="P326" s="791"/>
      <c r="Q326" s="792"/>
    </row>
    <row r="327" spans="1:17" s="126" customFormat="1" x14ac:dyDescent="0.15">
      <c r="A327" s="822" t="s">
        <v>150</v>
      </c>
      <c r="B327" s="823" t="s">
        <v>151</v>
      </c>
      <c r="C327" s="823"/>
      <c r="D327" s="802" t="s">
        <v>165</v>
      </c>
      <c r="E327" s="823" t="s">
        <v>152</v>
      </c>
      <c r="F327" s="823"/>
      <c r="G327" s="823"/>
      <c r="H327" s="802" t="s">
        <v>153</v>
      </c>
      <c r="I327" s="802" t="s">
        <v>479</v>
      </c>
      <c r="J327" s="804" t="s">
        <v>73</v>
      </c>
      <c r="K327" s="216" t="s">
        <v>154</v>
      </c>
      <c r="L327" s="123"/>
      <c r="M327" s="124"/>
      <c r="N327" s="124"/>
      <c r="O327" s="124"/>
      <c r="P327" s="124"/>
      <c r="Q327" s="125"/>
    </row>
    <row r="328" spans="1:17" s="130" customFormat="1" x14ac:dyDescent="0.15">
      <c r="A328" s="822"/>
      <c r="B328" s="823"/>
      <c r="C328" s="823"/>
      <c r="D328" s="803"/>
      <c r="E328" s="217" t="s">
        <v>155</v>
      </c>
      <c r="F328" s="217" t="s">
        <v>156</v>
      </c>
      <c r="G328" s="217" t="s">
        <v>157</v>
      </c>
      <c r="H328" s="803"/>
      <c r="I328" s="803"/>
      <c r="J328" s="805"/>
      <c r="K328" s="216" t="s">
        <v>158</v>
      </c>
      <c r="L328" s="127"/>
      <c r="M328" s="128"/>
      <c r="N328" s="128"/>
      <c r="O328" s="128"/>
      <c r="P328" s="128"/>
      <c r="Q328" s="129"/>
    </row>
    <row r="329" spans="1:17" ht="27.75" customHeight="1" x14ac:dyDescent="0.15">
      <c r="A329" s="148"/>
      <c r="B329" s="788" t="s">
        <v>1028</v>
      </c>
      <c r="C329" s="789"/>
      <c r="D329" s="143" t="s">
        <v>19</v>
      </c>
      <c r="E329" s="143">
        <v>0</v>
      </c>
      <c r="F329" s="143">
        <v>0</v>
      </c>
      <c r="G329" s="143">
        <v>0</v>
      </c>
      <c r="H329" s="143">
        <v>1</v>
      </c>
      <c r="I329" s="143">
        <v>1</v>
      </c>
      <c r="J329" s="133" t="s">
        <v>19</v>
      </c>
      <c r="K329" s="143">
        <f>I329*H329</f>
        <v>1</v>
      </c>
      <c r="L329" s="127"/>
      <c r="M329" s="128"/>
      <c r="N329" s="128"/>
      <c r="O329" s="128"/>
      <c r="P329" s="128"/>
      <c r="Q329" s="129"/>
    </row>
    <row r="330" spans="1:17" ht="14" x14ac:dyDescent="0.15">
      <c r="A330" s="795" t="s">
        <v>149</v>
      </c>
      <c r="B330" s="817"/>
      <c r="C330" s="817"/>
      <c r="D330" s="817"/>
      <c r="E330" s="817"/>
      <c r="F330" s="817"/>
      <c r="G330" s="817"/>
      <c r="H330" s="817"/>
      <c r="I330" s="817"/>
      <c r="J330" s="796"/>
      <c r="K330" s="418">
        <f>SUM(K329:K329)</f>
        <v>1</v>
      </c>
      <c r="L330" s="134"/>
      <c r="M330" s="135"/>
      <c r="N330" s="135"/>
      <c r="O330" s="135"/>
      <c r="P330" s="135"/>
      <c r="Q330" s="136"/>
    </row>
    <row r="331" spans="1:17" x14ac:dyDescent="0.15">
      <c r="A331" s="790"/>
      <c r="B331" s="791"/>
      <c r="C331" s="791"/>
      <c r="D331" s="791"/>
      <c r="E331" s="791"/>
      <c r="F331" s="791"/>
      <c r="G331" s="791"/>
      <c r="H331" s="791"/>
      <c r="I331" s="791"/>
      <c r="J331" s="791"/>
      <c r="K331" s="791"/>
      <c r="L331" s="791"/>
      <c r="M331" s="791"/>
      <c r="N331" s="791"/>
      <c r="O331" s="791"/>
      <c r="P331" s="791"/>
      <c r="Q331" s="792"/>
    </row>
    <row r="332" spans="1:17" s="121" customFormat="1" ht="18" customHeight="1" x14ac:dyDescent="0.15">
      <c r="A332" s="218" t="s">
        <v>0</v>
      </c>
      <c r="B332" s="843" t="s">
        <v>1036</v>
      </c>
      <c r="C332" s="844"/>
      <c r="D332" s="844"/>
      <c r="E332" s="844"/>
      <c r="F332" s="844"/>
      <c r="G332" s="844"/>
      <c r="H332" s="844"/>
      <c r="I332" s="844"/>
      <c r="J332" s="844"/>
      <c r="K332" s="844"/>
      <c r="L332" s="844"/>
      <c r="M332" s="844"/>
      <c r="N332" s="844"/>
      <c r="O332" s="216" t="s">
        <v>73</v>
      </c>
      <c r="P332" s="795" t="s">
        <v>319</v>
      </c>
      <c r="Q332" s="796"/>
    </row>
    <row r="333" spans="1:17" x14ac:dyDescent="0.15">
      <c r="A333" s="790"/>
      <c r="B333" s="791"/>
      <c r="C333" s="791"/>
      <c r="D333" s="791"/>
      <c r="E333" s="791"/>
      <c r="F333" s="791"/>
      <c r="G333" s="791"/>
      <c r="H333" s="791"/>
      <c r="I333" s="791"/>
      <c r="J333" s="791"/>
      <c r="K333" s="791"/>
      <c r="L333" s="791"/>
      <c r="M333" s="791"/>
      <c r="N333" s="791"/>
      <c r="O333" s="791"/>
      <c r="P333" s="791"/>
      <c r="Q333" s="792"/>
    </row>
    <row r="334" spans="1:17" s="126" customFormat="1" ht="12.75" customHeight="1" x14ac:dyDescent="0.15">
      <c r="A334" s="822" t="s">
        <v>150</v>
      </c>
      <c r="B334" s="823" t="s">
        <v>151</v>
      </c>
      <c r="C334" s="823"/>
      <c r="D334" s="802"/>
      <c r="E334" s="823" t="s">
        <v>152</v>
      </c>
      <c r="F334" s="823"/>
      <c r="G334" s="823"/>
      <c r="H334" s="802" t="s">
        <v>153</v>
      </c>
      <c r="I334" s="802" t="s">
        <v>479</v>
      </c>
      <c r="J334" s="804" t="s">
        <v>73</v>
      </c>
      <c r="K334" s="216" t="s">
        <v>154</v>
      </c>
      <c r="L334" s="123"/>
      <c r="M334" s="124"/>
      <c r="N334" s="124"/>
      <c r="O334" s="124"/>
      <c r="P334" s="124"/>
      <c r="Q334" s="125"/>
    </row>
    <row r="335" spans="1:17" s="130" customFormat="1" x14ac:dyDescent="0.15">
      <c r="A335" s="822"/>
      <c r="B335" s="823"/>
      <c r="C335" s="823"/>
      <c r="D335" s="803"/>
      <c r="E335" s="217" t="s">
        <v>155</v>
      </c>
      <c r="F335" s="217" t="s">
        <v>156</v>
      </c>
      <c r="G335" s="217" t="s">
        <v>157</v>
      </c>
      <c r="H335" s="803"/>
      <c r="I335" s="803"/>
      <c r="J335" s="805"/>
      <c r="K335" s="216" t="s">
        <v>158</v>
      </c>
      <c r="L335" s="127"/>
      <c r="M335" s="128"/>
      <c r="N335" s="128"/>
      <c r="O335" s="128"/>
      <c r="P335" s="128"/>
      <c r="Q335" s="129"/>
    </row>
    <row r="336" spans="1:17" ht="21" customHeight="1" x14ac:dyDescent="0.15">
      <c r="A336" s="148"/>
      <c r="B336" s="788" t="s">
        <v>1037</v>
      </c>
      <c r="C336" s="789"/>
      <c r="D336" s="143"/>
      <c r="E336" s="143">
        <v>0</v>
      </c>
      <c r="F336" s="143">
        <v>0</v>
      </c>
      <c r="G336" s="143">
        <v>0</v>
      </c>
      <c r="H336" s="143">
        <v>1</v>
      </c>
      <c r="I336" s="143">
        <v>1</v>
      </c>
      <c r="J336" s="133" t="s">
        <v>319</v>
      </c>
      <c r="K336" s="143">
        <f>I336*H336</f>
        <v>1</v>
      </c>
      <c r="L336" s="127"/>
      <c r="M336" s="128"/>
      <c r="N336" s="128"/>
      <c r="O336" s="128"/>
      <c r="P336" s="128"/>
      <c r="Q336" s="129"/>
    </row>
    <row r="337" spans="1:17" ht="14" x14ac:dyDescent="0.15">
      <c r="A337" s="795" t="s">
        <v>149</v>
      </c>
      <c r="B337" s="817"/>
      <c r="C337" s="817"/>
      <c r="D337" s="817"/>
      <c r="E337" s="817"/>
      <c r="F337" s="817"/>
      <c r="G337" s="817"/>
      <c r="H337" s="817"/>
      <c r="I337" s="817"/>
      <c r="J337" s="796"/>
      <c r="K337" s="418">
        <f>SUM(K336:K336)</f>
        <v>1</v>
      </c>
      <c r="L337" s="134"/>
      <c r="M337" s="135"/>
      <c r="N337" s="135"/>
      <c r="O337" s="135"/>
      <c r="P337" s="135"/>
      <c r="Q337" s="136"/>
    </row>
    <row r="338" spans="1:17" x14ac:dyDescent="0.15">
      <c r="A338" s="790"/>
      <c r="B338" s="791"/>
      <c r="C338" s="791"/>
      <c r="D338" s="791"/>
      <c r="E338" s="791"/>
      <c r="F338" s="791"/>
      <c r="G338" s="791"/>
      <c r="H338" s="791"/>
      <c r="I338" s="791"/>
      <c r="J338" s="791"/>
      <c r="K338" s="791"/>
      <c r="L338" s="791"/>
      <c r="M338" s="791"/>
      <c r="N338" s="791"/>
      <c r="O338" s="791"/>
      <c r="P338" s="791"/>
      <c r="Q338" s="792"/>
    </row>
    <row r="339" spans="1:17" s="121" customFormat="1" ht="18" customHeight="1" x14ac:dyDescent="0.15">
      <c r="A339" s="218" t="s">
        <v>0</v>
      </c>
      <c r="B339" s="843" t="s">
        <v>1039</v>
      </c>
      <c r="C339" s="844"/>
      <c r="D339" s="844"/>
      <c r="E339" s="844"/>
      <c r="F339" s="844"/>
      <c r="G339" s="844"/>
      <c r="H339" s="844"/>
      <c r="I339" s="844"/>
      <c r="J339" s="844"/>
      <c r="K339" s="844"/>
      <c r="L339" s="844"/>
      <c r="M339" s="844"/>
      <c r="N339" s="844"/>
      <c r="O339" s="216" t="s">
        <v>73</v>
      </c>
      <c r="P339" s="795" t="s">
        <v>319</v>
      </c>
      <c r="Q339" s="796"/>
    </row>
    <row r="340" spans="1:17" x14ac:dyDescent="0.15">
      <c r="A340" s="790"/>
      <c r="B340" s="791"/>
      <c r="C340" s="791"/>
      <c r="D340" s="791"/>
      <c r="E340" s="791"/>
      <c r="F340" s="791"/>
      <c r="G340" s="791"/>
      <c r="H340" s="791"/>
      <c r="I340" s="791"/>
      <c r="J340" s="791"/>
      <c r="K340" s="791"/>
      <c r="L340" s="791"/>
      <c r="M340" s="791"/>
      <c r="N340" s="791"/>
      <c r="O340" s="791"/>
      <c r="P340" s="791"/>
      <c r="Q340" s="792"/>
    </row>
    <row r="341" spans="1:17" s="126" customFormat="1" ht="12.75" customHeight="1" x14ac:dyDescent="0.15">
      <c r="A341" s="822" t="s">
        <v>150</v>
      </c>
      <c r="B341" s="823" t="s">
        <v>151</v>
      </c>
      <c r="C341" s="823"/>
      <c r="D341" s="802"/>
      <c r="E341" s="823" t="s">
        <v>152</v>
      </c>
      <c r="F341" s="823"/>
      <c r="G341" s="823"/>
      <c r="H341" s="802" t="s">
        <v>153</v>
      </c>
      <c r="I341" s="802" t="s">
        <v>479</v>
      </c>
      <c r="J341" s="804" t="s">
        <v>73</v>
      </c>
      <c r="K341" s="216" t="s">
        <v>154</v>
      </c>
      <c r="L341" s="123"/>
      <c r="M341" s="124"/>
      <c r="N341" s="124"/>
      <c r="O341" s="124"/>
      <c r="P341" s="124"/>
      <c r="Q341" s="125"/>
    </row>
    <row r="342" spans="1:17" s="130" customFormat="1" x14ac:dyDescent="0.15">
      <c r="A342" s="822"/>
      <c r="B342" s="823"/>
      <c r="C342" s="823"/>
      <c r="D342" s="803"/>
      <c r="E342" s="217" t="s">
        <v>155</v>
      </c>
      <c r="F342" s="217" t="s">
        <v>156</v>
      </c>
      <c r="G342" s="217" t="s">
        <v>157</v>
      </c>
      <c r="H342" s="803"/>
      <c r="I342" s="803"/>
      <c r="J342" s="805"/>
      <c r="K342" s="216" t="s">
        <v>158</v>
      </c>
      <c r="L342" s="127"/>
      <c r="M342" s="128"/>
      <c r="N342" s="128"/>
      <c r="O342" s="128"/>
      <c r="P342" s="128"/>
      <c r="Q342" s="129"/>
    </row>
    <row r="343" spans="1:17" ht="21" customHeight="1" x14ac:dyDescent="0.15">
      <c r="A343" s="148"/>
      <c r="B343" s="788" t="s">
        <v>1038</v>
      </c>
      <c r="C343" s="789"/>
      <c r="D343" s="143"/>
      <c r="E343" s="143">
        <v>0</v>
      </c>
      <c r="F343" s="143">
        <v>0</v>
      </c>
      <c r="G343" s="143">
        <v>0</v>
      </c>
      <c r="H343" s="143">
        <v>1</v>
      </c>
      <c r="I343" s="143">
        <v>1</v>
      </c>
      <c r="J343" s="133" t="s">
        <v>319</v>
      </c>
      <c r="K343" s="143">
        <f>I343*H343</f>
        <v>1</v>
      </c>
      <c r="L343" s="127"/>
      <c r="M343" s="128"/>
      <c r="N343" s="128"/>
      <c r="O343" s="128"/>
      <c r="P343" s="128"/>
      <c r="Q343" s="129"/>
    </row>
    <row r="344" spans="1:17" ht="14" x14ac:dyDescent="0.15">
      <c r="A344" s="795" t="s">
        <v>149</v>
      </c>
      <c r="B344" s="817"/>
      <c r="C344" s="817"/>
      <c r="D344" s="817"/>
      <c r="E344" s="817"/>
      <c r="F344" s="817"/>
      <c r="G344" s="817"/>
      <c r="H344" s="817"/>
      <c r="I344" s="817"/>
      <c r="J344" s="796"/>
      <c r="K344" s="418">
        <f>SUM(K343:K343)</f>
        <v>1</v>
      </c>
      <c r="L344" s="134"/>
      <c r="M344" s="135"/>
      <c r="N344" s="135"/>
      <c r="O344" s="135"/>
      <c r="P344" s="135"/>
      <c r="Q344" s="136"/>
    </row>
    <row r="345" spans="1:17" x14ac:dyDescent="0.15">
      <c r="A345" s="790"/>
      <c r="B345" s="791"/>
      <c r="C345" s="791"/>
      <c r="D345" s="791"/>
      <c r="E345" s="791"/>
      <c r="F345" s="791"/>
      <c r="G345" s="791"/>
      <c r="H345" s="791"/>
      <c r="I345" s="791"/>
      <c r="J345" s="791"/>
      <c r="K345" s="791"/>
      <c r="L345" s="791"/>
      <c r="M345" s="791"/>
      <c r="N345" s="791"/>
      <c r="O345" s="791"/>
      <c r="P345" s="791"/>
      <c r="Q345" s="792"/>
    </row>
    <row r="346" spans="1:17" s="121" customFormat="1" ht="18" customHeight="1" x14ac:dyDescent="0.15">
      <c r="A346" s="218" t="s">
        <v>0</v>
      </c>
      <c r="B346" s="841" t="s">
        <v>1040</v>
      </c>
      <c r="C346" s="842"/>
      <c r="D346" s="842"/>
      <c r="E346" s="842"/>
      <c r="F346" s="842"/>
      <c r="G346" s="842"/>
      <c r="H346" s="842"/>
      <c r="I346" s="842"/>
      <c r="J346" s="842"/>
      <c r="K346" s="842"/>
      <c r="L346" s="842"/>
      <c r="M346" s="842"/>
      <c r="N346" s="842"/>
      <c r="O346" s="216" t="s">
        <v>73</v>
      </c>
      <c r="P346" s="795" t="s">
        <v>19</v>
      </c>
      <c r="Q346" s="796"/>
    </row>
    <row r="347" spans="1:17" x14ac:dyDescent="0.15">
      <c r="A347" s="790"/>
      <c r="B347" s="791"/>
      <c r="C347" s="791"/>
      <c r="D347" s="791"/>
      <c r="E347" s="791"/>
      <c r="F347" s="791"/>
      <c r="G347" s="791"/>
      <c r="H347" s="791"/>
      <c r="I347" s="791"/>
      <c r="J347" s="791"/>
      <c r="K347" s="791"/>
      <c r="L347" s="791"/>
      <c r="M347" s="791"/>
      <c r="N347" s="791"/>
      <c r="O347" s="791"/>
      <c r="P347" s="791"/>
      <c r="Q347" s="792"/>
    </row>
    <row r="348" spans="1:17" s="126" customFormat="1" x14ac:dyDescent="0.15">
      <c r="A348" s="822" t="s">
        <v>150</v>
      </c>
      <c r="B348" s="823" t="s">
        <v>151</v>
      </c>
      <c r="C348" s="823"/>
      <c r="D348" s="802" t="s">
        <v>165</v>
      </c>
      <c r="E348" s="823" t="s">
        <v>152</v>
      </c>
      <c r="F348" s="823"/>
      <c r="G348" s="823"/>
      <c r="H348" s="802" t="s">
        <v>153</v>
      </c>
      <c r="I348" s="802" t="s">
        <v>479</v>
      </c>
      <c r="J348" s="804" t="s">
        <v>73</v>
      </c>
      <c r="K348" s="216" t="s">
        <v>154</v>
      </c>
      <c r="L348" s="123"/>
      <c r="M348" s="124"/>
      <c r="N348" s="124"/>
      <c r="O348" s="124"/>
      <c r="P348" s="124"/>
      <c r="Q348" s="125"/>
    </row>
    <row r="349" spans="1:17" s="130" customFormat="1" x14ac:dyDescent="0.15">
      <c r="A349" s="822"/>
      <c r="B349" s="823"/>
      <c r="C349" s="823"/>
      <c r="D349" s="803"/>
      <c r="E349" s="217" t="s">
        <v>155</v>
      </c>
      <c r="F349" s="217" t="s">
        <v>156</v>
      </c>
      <c r="G349" s="217" t="s">
        <v>157</v>
      </c>
      <c r="H349" s="803"/>
      <c r="I349" s="803"/>
      <c r="J349" s="805"/>
      <c r="K349" s="216" t="s">
        <v>158</v>
      </c>
      <c r="L349" s="127"/>
      <c r="M349" s="128"/>
      <c r="N349" s="128"/>
      <c r="O349" s="128"/>
      <c r="P349" s="128"/>
      <c r="Q349" s="129"/>
    </row>
    <row r="350" spans="1:17" ht="27.75" customHeight="1" x14ac:dyDescent="0.15">
      <c r="A350" s="148"/>
      <c r="B350" s="788" t="s">
        <v>1028</v>
      </c>
      <c r="C350" s="789"/>
      <c r="D350" s="143" t="s">
        <v>19</v>
      </c>
      <c r="E350" s="143">
        <v>0</v>
      </c>
      <c r="F350" s="143">
        <v>0</v>
      </c>
      <c r="G350" s="143">
        <v>0</v>
      </c>
      <c r="H350" s="143">
        <v>1</v>
      </c>
      <c r="I350" s="143">
        <v>1</v>
      </c>
      <c r="J350" s="133" t="s">
        <v>19</v>
      </c>
      <c r="K350" s="143">
        <f>I350*H350</f>
        <v>1</v>
      </c>
      <c r="L350" s="127"/>
      <c r="M350" s="128"/>
      <c r="N350" s="128"/>
      <c r="O350" s="128"/>
      <c r="P350" s="128"/>
      <c r="Q350" s="129"/>
    </row>
    <row r="351" spans="1:17" ht="14" x14ac:dyDescent="0.15">
      <c r="A351" s="795" t="s">
        <v>149</v>
      </c>
      <c r="B351" s="817"/>
      <c r="C351" s="817"/>
      <c r="D351" s="817"/>
      <c r="E351" s="817"/>
      <c r="F351" s="817"/>
      <c r="G351" s="817"/>
      <c r="H351" s="817"/>
      <c r="I351" s="817"/>
      <c r="J351" s="796"/>
      <c r="K351" s="418">
        <f>SUM(K350:K350)</f>
        <v>1</v>
      </c>
      <c r="L351" s="134"/>
      <c r="M351" s="135"/>
      <c r="N351" s="135"/>
      <c r="O351" s="135"/>
      <c r="P351" s="135"/>
      <c r="Q351" s="136"/>
    </row>
    <row r="352" spans="1:17" x14ac:dyDescent="0.15">
      <c r="A352" s="790"/>
      <c r="B352" s="791"/>
      <c r="C352" s="791"/>
      <c r="D352" s="791"/>
      <c r="E352" s="791"/>
      <c r="F352" s="791"/>
      <c r="G352" s="791"/>
      <c r="H352" s="791"/>
      <c r="I352" s="791"/>
      <c r="J352" s="791"/>
      <c r="K352" s="791"/>
      <c r="L352" s="791"/>
      <c r="M352" s="791"/>
      <c r="N352" s="791"/>
      <c r="O352" s="791"/>
      <c r="P352" s="791"/>
      <c r="Q352" s="792"/>
    </row>
    <row r="353" spans="1:17" s="121" customFormat="1" ht="18" customHeight="1" x14ac:dyDescent="0.15">
      <c r="A353" s="218" t="s">
        <v>0</v>
      </c>
      <c r="B353" s="841" t="s">
        <v>1041</v>
      </c>
      <c r="C353" s="842"/>
      <c r="D353" s="842"/>
      <c r="E353" s="842"/>
      <c r="F353" s="842"/>
      <c r="G353" s="842"/>
      <c r="H353" s="842"/>
      <c r="I353" s="842"/>
      <c r="J353" s="842"/>
      <c r="K353" s="842"/>
      <c r="L353" s="842"/>
      <c r="M353" s="842"/>
      <c r="N353" s="842"/>
      <c r="O353" s="216" t="s">
        <v>73</v>
      </c>
      <c r="P353" s="795" t="s">
        <v>319</v>
      </c>
      <c r="Q353" s="796"/>
    </row>
    <row r="354" spans="1:17" x14ac:dyDescent="0.15">
      <c r="A354" s="790"/>
      <c r="B354" s="791"/>
      <c r="C354" s="791"/>
      <c r="D354" s="791"/>
      <c r="E354" s="791"/>
      <c r="F354" s="791"/>
      <c r="G354" s="791"/>
      <c r="H354" s="791"/>
      <c r="I354" s="791"/>
      <c r="J354" s="791"/>
      <c r="K354" s="791"/>
      <c r="L354" s="791"/>
      <c r="M354" s="791"/>
      <c r="N354" s="791"/>
      <c r="O354" s="791"/>
      <c r="P354" s="791"/>
      <c r="Q354" s="792"/>
    </row>
    <row r="355" spans="1:17" s="126" customFormat="1" ht="12.75" customHeight="1" x14ac:dyDescent="0.15">
      <c r="A355" s="822" t="s">
        <v>150</v>
      </c>
      <c r="B355" s="823" t="s">
        <v>151</v>
      </c>
      <c r="C355" s="823"/>
      <c r="D355" s="802"/>
      <c r="E355" s="823" t="s">
        <v>152</v>
      </c>
      <c r="F355" s="823"/>
      <c r="G355" s="823"/>
      <c r="H355" s="802" t="s">
        <v>153</v>
      </c>
      <c r="I355" s="802" t="s">
        <v>479</v>
      </c>
      <c r="J355" s="804" t="s">
        <v>73</v>
      </c>
      <c r="K355" s="216" t="s">
        <v>154</v>
      </c>
      <c r="L355" s="123"/>
      <c r="M355" s="124"/>
      <c r="N355" s="124"/>
      <c r="O355" s="124"/>
      <c r="P355" s="124"/>
      <c r="Q355" s="125"/>
    </row>
    <row r="356" spans="1:17" s="130" customFormat="1" x14ac:dyDescent="0.15">
      <c r="A356" s="822"/>
      <c r="B356" s="823"/>
      <c r="C356" s="823"/>
      <c r="D356" s="803"/>
      <c r="E356" s="217" t="s">
        <v>155</v>
      </c>
      <c r="F356" s="217" t="s">
        <v>156</v>
      </c>
      <c r="G356" s="217" t="s">
        <v>157</v>
      </c>
      <c r="H356" s="803"/>
      <c r="I356" s="803"/>
      <c r="J356" s="805"/>
      <c r="K356" s="216" t="s">
        <v>158</v>
      </c>
      <c r="L356" s="127"/>
      <c r="M356" s="128"/>
      <c r="N356" s="128"/>
      <c r="O356" s="128"/>
      <c r="P356" s="128"/>
      <c r="Q356" s="129"/>
    </row>
    <row r="357" spans="1:17" ht="28.5" customHeight="1" x14ac:dyDescent="0.15">
      <c r="A357" s="148"/>
      <c r="B357" s="788" t="s">
        <v>1042</v>
      </c>
      <c r="C357" s="789"/>
      <c r="D357" s="143"/>
      <c r="E357" s="143">
        <v>0</v>
      </c>
      <c r="F357" s="143">
        <v>0</v>
      </c>
      <c r="G357" s="143">
        <v>0</v>
      </c>
      <c r="H357" s="143">
        <v>2</v>
      </c>
      <c r="I357" s="143">
        <v>1</v>
      </c>
      <c r="J357" s="133" t="s">
        <v>319</v>
      </c>
      <c r="K357" s="143">
        <f>I357*H357</f>
        <v>2</v>
      </c>
      <c r="L357" s="127"/>
      <c r="M357" s="128"/>
      <c r="N357" s="128"/>
      <c r="O357" s="128"/>
      <c r="P357" s="128"/>
      <c r="Q357" s="129"/>
    </row>
    <row r="358" spans="1:17" ht="14" x14ac:dyDescent="0.15">
      <c r="A358" s="795" t="s">
        <v>149</v>
      </c>
      <c r="B358" s="817"/>
      <c r="C358" s="817"/>
      <c r="D358" s="817"/>
      <c r="E358" s="817"/>
      <c r="F358" s="817"/>
      <c r="G358" s="817"/>
      <c r="H358" s="817"/>
      <c r="I358" s="817"/>
      <c r="J358" s="796"/>
      <c r="K358" s="418">
        <f>SUM(K357:K357)</f>
        <v>2</v>
      </c>
      <c r="L358" s="134"/>
      <c r="M358" s="135"/>
      <c r="N358" s="135"/>
      <c r="O358" s="135"/>
      <c r="P358" s="135"/>
      <c r="Q358" s="136"/>
    </row>
    <row r="359" spans="1:17" x14ac:dyDescent="0.15">
      <c r="A359" s="790"/>
      <c r="B359" s="791"/>
      <c r="C359" s="791"/>
      <c r="D359" s="791"/>
      <c r="E359" s="791"/>
      <c r="F359" s="791"/>
      <c r="G359" s="791"/>
      <c r="H359" s="791"/>
      <c r="I359" s="791"/>
      <c r="J359" s="791"/>
      <c r="K359" s="791"/>
      <c r="L359" s="791"/>
      <c r="M359" s="791"/>
      <c r="N359" s="791"/>
      <c r="O359" s="791"/>
      <c r="P359" s="791"/>
      <c r="Q359" s="792"/>
    </row>
    <row r="360" spans="1:17" s="121" customFormat="1" ht="18" customHeight="1" x14ac:dyDescent="0.15">
      <c r="A360" s="218" t="s">
        <v>0</v>
      </c>
      <c r="B360" s="841" t="s">
        <v>1200</v>
      </c>
      <c r="C360" s="842"/>
      <c r="D360" s="842"/>
      <c r="E360" s="842"/>
      <c r="F360" s="842"/>
      <c r="G360" s="842"/>
      <c r="H360" s="842"/>
      <c r="I360" s="842"/>
      <c r="J360" s="842"/>
      <c r="K360" s="842"/>
      <c r="L360" s="842"/>
      <c r="M360" s="842"/>
      <c r="N360" s="842"/>
      <c r="O360" s="216" t="s">
        <v>73</v>
      </c>
      <c r="P360" s="795" t="s">
        <v>319</v>
      </c>
      <c r="Q360" s="796"/>
    </row>
    <row r="361" spans="1:17" x14ac:dyDescent="0.15">
      <c r="A361" s="790"/>
      <c r="B361" s="791"/>
      <c r="C361" s="791"/>
      <c r="D361" s="791"/>
      <c r="E361" s="791"/>
      <c r="F361" s="791"/>
      <c r="G361" s="791"/>
      <c r="H361" s="791"/>
      <c r="I361" s="791"/>
      <c r="J361" s="791"/>
      <c r="K361" s="791"/>
      <c r="L361" s="791"/>
      <c r="M361" s="791"/>
      <c r="N361" s="791"/>
      <c r="O361" s="791"/>
      <c r="P361" s="791"/>
      <c r="Q361" s="792"/>
    </row>
    <row r="362" spans="1:17" s="126" customFormat="1" ht="12.75" customHeight="1" x14ac:dyDescent="0.15">
      <c r="A362" s="822" t="s">
        <v>150</v>
      </c>
      <c r="B362" s="823" t="s">
        <v>151</v>
      </c>
      <c r="C362" s="823"/>
      <c r="D362" s="802"/>
      <c r="E362" s="823" t="s">
        <v>152</v>
      </c>
      <c r="F362" s="823"/>
      <c r="G362" s="823"/>
      <c r="H362" s="802" t="s">
        <v>153</v>
      </c>
      <c r="I362" s="802" t="s">
        <v>479</v>
      </c>
      <c r="J362" s="804" t="s">
        <v>73</v>
      </c>
      <c r="K362" s="216" t="s">
        <v>154</v>
      </c>
      <c r="L362" s="123"/>
      <c r="M362" s="124"/>
      <c r="N362" s="124"/>
      <c r="O362" s="124"/>
      <c r="P362" s="124"/>
      <c r="Q362" s="125"/>
    </row>
    <row r="363" spans="1:17" s="130" customFormat="1" x14ac:dyDescent="0.15">
      <c r="A363" s="822"/>
      <c r="B363" s="823"/>
      <c r="C363" s="823"/>
      <c r="D363" s="803"/>
      <c r="E363" s="217" t="s">
        <v>155</v>
      </c>
      <c r="F363" s="217" t="s">
        <v>156</v>
      </c>
      <c r="G363" s="217" t="s">
        <v>157</v>
      </c>
      <c r="H363" s="803"/>
      <c r="I363" s="803"/>
      <c r="J363" s="805"/>
      <c r="K363" s="216" t="s">
        <v>158</v>
      </c>
      <c r="L363" s="127"/>
      <c r="M363" s="128"/>
      <c r="N363" s="128"/>
      <c r="O363" s="128"/>
      <c r="P363" s="128"/>
      <c r="Q363" s="129"/>
    </row>
    <row r="364" spans="1:17" ht="21" customHeight="1" x14ac:dyDescent="0.15">
      <c r="A364" s="148"/>
      <c r="B364" s="788" t="s">
        <v>1044</v>
      </c>
      <c r="C364" s="789"/>
      <c r="D364" s="143"/>
      <c r="E364" s="143">
        <v>2.2999999999999998</v>
      </c>
      <c r="F364" s="143">
        <v>1.25</v>
      </c>
      <c r="G364" s="143">
        <v>1.1499999999999999</v>
      </c>
      <c r="H364" s="143">
        <v>1</v>
      </c>
      <c r="I364" s="143">
        <v>1</v>
      </c>
      <c r="J364" s="133" t="s">
        <v>319</v>
      </c>
      <c r="K364" s="143">
        <f>I364*H364</f>
        <v>1</v>
      </c>
      <c r="L364" s="127"/>
      <c r="M364" s="128"/>
      <c r="N364" s="128"/>
      <c r="O364" s="128"/>
      <c r="P364" s="128"/>
      <c r="Q364" s="129"/>
    </row>
    <row r="365" spans="1:17" ht="14" x14ac:dyDescent="0.15">
      <c r="A365" s="795" t="s">
        <v>149</v>
      </c>
      <c r="B365" s="817"/>
      <c r="C365" s="817"/>
      <c r="D365" s="817"/>
      <c r="E365" s="817"/>
      <c r="F365" s="817"/>
      <c r="G365" s="817"/>
      <c r="H365" s="817"/>
      <c r="I365" s="817"/>
      <c r="J365" s="796"/>
      <c r="K365" s="418">
        <f>SUM(K364:K364)</f>
        <v>1</v>
      </c>
      <c r="L365" s="134"/>
      <c r="M365" s="135"/>
      <c r="N365" s="135"/>
      <c r="O365" s="135"/>
      <c r="P365" s="135"/>
      <c r="Q365" s="136"/>
    </row>
    <row r="366" spans="1:17" x14ac:dyDescent="0.15">
      <c r="A366" s="790"/>
      <c r="B366" s="791"/>
      <c r="C366" s="791"/>
      <c r="D366" s="791"/>
      <c r="E366" s="791"/>
      <c r="F366" s="791"/>
      <c r="G366" s="791"/>
      <c r="H366" s="791"/>
      <c r="I366" s="791"/>
      <c r="J366" s="791"/>
      <c r="K366" s="791"/>
      <c r="L366" s="791"/>
      <c r="M366" s="791"/>
      <c r="N366" s="791"/>
      <c r="O366" s="791"/>
      <c r="P366" s="791"/>
      <c r="Q366" s="792"/>
    </row>
    <row r="367" spans="1:17" s="121" customFormat="1" ht="18" customHeight="1" x14ac:dyDescent="0.15">
      <c r="A367" s="218" t="s">
        <v>0</v>
      </c>
      <c r="B367" s="841" t="s">
        <v>1153</v>
      </c>
      <c r="C367" s="842"/>
      <c r="D367" s="842"/>
      <c r="E367" s="842"/>
      <c r="F367" s="842"/>
      <c r="G367" s="842"/>
      <c r="H367" s="842"/>
      <c r="I367" s="842"/>
      <c r="J367" s="842"/>
      <c r="K367" s="842"/>
      <c r="L367" s="842"/>
      <c r="M367" s="842"/>
      <c r="N367" s="842"/>
      <c r="O367" s="216" t="s">
        <v>73</v>
      </c>
      <c r="P367" s="795" t="s">
        <v>319</v>
      </c>
      <c r="Q367" s="796"/>
    </row>
    <row r="368" spans="1:17" x14ac:dyDescent="0.15">
      <c r="A368" s="790"/>
      <c r="B368" s="791"/>
      <c r="C368" s="791"/>
      <c r="D368" s="791"/>
      <c r="E368" s="791"/>
      <c r="F368" s="791"/>
      <c r="G368" s="791"/>
      <c r="H368" s="791"/>
      <c r="I368" s="791"/>
      <c r="J368" s="791"/>
      <c r="K368" s="791"/>
      <c r="L368" s="791"/>
      <c r="M368" s="791"/>
      <c r="N368" s="791"/>
      <c r="O368" s="791"/>
      <c r="P368" s="791"/>
      <c r="Q368" s="792"/>
    </row>
    <row r="369" spans="1:17" s="126" customFormat="1" ht="12.75" customHeight="1" x14ac:dyDescent="0.15">
      <c r="A369" s="822" t="s">
        <v>150</v>
      </c>
      <c r="B369" s="823" t="s">
        <v>151</v>
      </c>
      <c r="C369" s="823"/>
      <c r="D369" s="802"/>
      <c r="E369" s="823" t="s">
        <v>152</v>
      </c>
      <c r="F369" s="823"/>
      <c r="G369" s="823"/>
      <c r="H369" s="802" t="s">
        <v>153</v>
      </c>
      <c r="I369" s="802" t="s">
        <v>479</v>
      </c>
      <c r="J369" s="804" t="s">
        <v>73</v>
      </c>
      <c r="K369" s="216" t="s">
        <v>154</v>
      </c>
      <c r="L369" s="123"/>
      <c r="M369" s="124"/>
      <c r="N369" s="124"/>
      <c r="O369" s="124"/>
      <c r="P369" s="124"/>
      <c r="Q369" s="125"/>
    </row>
    <row r="370" spans="1:17" s="130" customFormat="1" x14ac:dyDescent="0.15">
      <c r="A370" s="822"/>
      <c r="B370" s="823"/>
      <c r="C370" s="823"/>
      <c r="D370" s="803"/>
      <c r="E370" s="217" t="s">
        <v>155</v>
      </c>
      <c r="F370" s="217" t="s">
        <v>156</v>
      </c>
      <c r="G370" s="217" t="s">
        <v>157</v>
      </c>
      <c r="H370" s="803"/>
      <c r="I370" s="803"/>
      <c r="J370" s="805"/>
      <c r="K370" s="216" t="s">
        <v>158</v>
      </c>
      <c r="L370" s="127"/>
      <c r="M370" s="128"/>
      <c r="N370" s="128"/>
      <c r="O370" s="128"/>
      <c r="P370" s="128"/>
      <c r="Q370" s="129"/>
    </row>
    <row r="371" spans="1:17" ht="21" customHeight="1" x14ac:dyDescent="0.15">
      <c r="A371" s="148"/>
      <c r="B371" s="788" t="s">
        <v>254</v>
      </c>
      <c r="C371" s="789"/>
      <c r="D371" s="143"/>
      <c r="E371" s="143">
        <v>0.6</v>
      </c>
      <c r="F371" s="143">
        <v>0.4</v>
      </c>
      <c r="G371" s="143">
        <v>0.15</v>
      </c>
      <c r="H371" s="143">
        <v>1</v>
      </c>
      <c r="I371" s="143">
        <v>1</v>
      </c>
      <c r="J371" s="133" t="s">
        <v>319</v>
      </c>
      <c r="K371" s="143">
        <f>I371*H371</f>
        <v>1</v>
      </c>
      <c r="L371" s="127"/>
      <c r="M371" s="128"/>
      <c r="N371" s="128"/>
      <c r="O371" s="128"/>
      <c r="P371" s="128"/>
      <c r="Q371" s="129"/>
    </row>
    <row r="372" spans="1:17" ht="14" x14ac:dyDescent="0.15">
      <c r="A372" s="795" t="s">
        <v>149</v>
      </c>
      <c r="B372" s="817"/>
      <c r="C372" s="817"/>
      <c r="D372" s="817"/>
      <c r="E372" s="817"/>
      <c r="F372" s="817"/>
      <c r="G372" s="817"/>
      <c r="H372" s="817"/>
      <c r="I372" s="817"/>
      <c r="J372" s="796"/>
      <c r="K372" s="418">
        <f>SUM(K371:K371)</f>
        <v>1</v>
      </c>
      <c r="L372" s="134"/>
      <c r="M372" s="135"/>
      <c r="N372" s="135"/>
      <c r="O372" s="135"/>
      <c r="P372" s="135"/>
      <c r="Q372" s="136"/>
    </row>
    <row r="373" spans="1:17" x14ac:dyDescent="0.15">
      <c r="A373" s="790"/>
      <c r="B373" s="791"/>
      <c r="C373" s="791"/>
      <c r="D373" s="791"/>
      <c r="E373" s="791"/>
      <c r="F373" s="791"/>
      <c r="G373" s="791"/>
      <c r="H373" s="791"/>
      <c r="I373" s="791"/>
      <c r="J373" s="791"/>
      <c r="K373" s="791"/>
      <c r="L373" s="791"/>
      <c r="M373" s="791"/>
      <c r="N373" s="791"/>
      <c r="O373" s="791"/>
      <c r="P373" s="791"/>
      <c r="Q373" s="792"/>
    </row>
    <row r="374" spans="1:17" s="121" customFormat="1" ht="21.75" customHeight="1" x14ac:dyDescent="0.15">
      <c r="A374" s="218" t="s">
        <v>0</v>
      </c>
      <c r="B374" s="845" t="s">
        <v>1045</v>
      </c>
      <c r="C374" s="846"/>
      <c r="D374" s="846"/>
      <c r="E374" s="846"/>
      <c r="F374" s="846"/>
      <c r="G374" s="846"/>
      <c r="H374" s="846"/>
      <c r="I374" s="846"/>
      <c r="J374" s="846"/>
      <c r="K374" s="846"/>
      <c r="L374" s="846"/>
      <c r="M374" s="846"/>
      <c r="N374" s="847"/>
      <c r="O374" s="216" t="s">
        <v>73</v>
      </c>
      <c r="P374" s="795" t="s">
        <v>193</v>
      </c>
      <c r="Q374" s="796"/>
    </row>
    <row r="375" spans="1:17" x14ac:dyDescent="0.15">
      <c r="A375" s="790"/>
      <c r="B375" s="791"/>
      <c r="C375" s="791"/>
      <c r="D375" s="791"/>
      <c r="E375" s="791"/>
      <c r="F375" s="791"/>
      <c r="G375" s="791"/>
      <c r="H375" s="791"/>
      <c r="I375" s="791"/>
      <c r="J375" s="791"/>
      <c r="K375" s="791"/>
      <c r="L375" s="791"/>
      <c r="M375" s="791"/>
      <c r="N375" s="791"/>
      <c r="O375" s="791"/>
      <c r="P375" s="791"/>
      <c r="Q375" s="792"/>
    </row>
    <row r="376" spans="1:17" s="126" customFormat="1" x14ac:dyDescent="0.15">
      <c r="A376" s="822" t="s">
        <v>150</v>
      </c>
      <c r="B376" s="823" t="s">
        <v>151</v>
      </c>
      <c r="C376" s="823"/>
      <c r="D376" s="802"/>
      <c r="E376" s="823" t="s">
        <v>152</v>
      </c>
      <c r="F376" s="823"/>
      <c r="G376" s="823"/>
      <c r="H376" s="802" t="s">
        <v>153</v>
      </c>
      <c r="I376" s="802" t="s">
        <v>242</v>
      </c>
      <c r="J376" s="804" t="s">
        <v>73</v>
      </c>
      <c r="K376" s="216" t="s">
        <v>154</v>
      </c>
      <c r="L376" s="123"/>
      <c r="M376" s="124"/>
      <c r="N376" s="124"/>
      <c r="O376" s="124"/>
      <c r="P376" s="124"/>
      <c r="Q376" s="125"/>
    </row>
    <row r="377" spans="1:17" s="130" customFormat="1" x14ac:dyDescent="0.15">
      <c r="A377" s="822"/>
      <c r="B377" s="823"/>
      <c r="C377" s="823"/>
      <c r="D377" s="803"/>
      <c r="E377" s="217" t="s">
        <v>155</v>
      </c>
      <c r="F377" s="217" t="s">
        <v>156</v>
      </c>
      <c r="G377" s="217" t="s">
        <v>157</v>
      </c>
      <c r="H377" s="803"/>
      <c r="I377" s="803"/>
      <c r="J377" s="805"/>
      <c r="K377" s="216" t="s">
        <v>158</v>
      </c>
      <c r="L377" s="127"/>
      <c r="M377" s="128"/>
      <c r="N377" s="128"/>
      <c r="O377" s="128"/>
      <c r="P377" s="128"/>
      <c r="Q377" s="129"/>
    </row>
    <row r="378" spans="1:17" ht="43.5" customHeight="1" x14ac:dyDescent="0.15">
      <c r="A378" s="148"/>
      <c r="B378" s="788" t="s">
        <v>1028</v>
      </c>
      <c r="C378" s="789"/>
      <c r="D378" s="149"/>
      <c r="E378" s="143">
        <v>80</v>
      </c>
      <c r="F378" s="143">
        <v>0</v>
      </c>
      <c r="G378" s="143">
        <v>0</v>
      </c>
      <c r="H378" s="143">
        <v>1</v>
      </c>
      <c r="I378" s="143">
        <v>85</v>
      </c>
      <c r="J378" s="133" t="s">
        <v>193</v>
      </c>
      <c r="K378" s="143">
        <f>I378*H378</f>
        <v>85</v>
      </c>
      <c r="L378" s="127"/>
      <c r="M378" s="128"/>
      <c r="N378" s="128"/>
      <c r="O378" s="128"/>
      <c r="P378" s="128"/>
      <c r="Q378" s="129"/>
    </row>
    <row r="379" spans="1:17" ht="14" x14ac:dyDescent="0.15">
      <c r="A379" s="795" t="s">
        <v>149</v>
      </c>
      <c r="B379" s="817"/>
      <c r="C379" s="817"/>
      <c r="D379" s="817"/>
      <c r="E379" s="817"/>
      <c r="F379" s="817"/>
      <c r="G379" s="817"/>
      <c r="H379" s="817"/>
      <c r="I379" s="817"/>
      <c r="J379" s="796"/>
      <c r="K379" s="418">
        <f>SUM(K378:K378)</f>
        <v>85</v>
      </c>
      <c r="L379" s="134"/>
      <c r="M379" s="135"/>
      <c r="N379" s="135"/>
      <c r="O379" s="135"/>
      <c r="P379" s="135"/>
      <c r="Q379" s="136"/>
    </row>
    <row r="380" spans="1:17" x14ac:dyDescent="0.15">
      <c r="A380" s="790"/>
      <c r="B380" s="791"/>
      <c r="C380" s="791"/>
      <c r="D380" s="791"/>
      <c r="E380" s="791"/>
      <c r="F380" s="791"/>
      <c r="G380" s="791"/>
      <c r="H380" s="791"/>
      <c r="I380" s="791"/>
      <c r="J380" s="791"/>
      <c r="K380" s="791"/>
      <c r="L380" s="791"/>
      <c r="M380" s="791"/>
      <c r="N380" s="791"/>
      <c r="O380" s="791"/>
      <c r="P380" s="791"/>
      <c r="Q380" s="792"/>
    </row>
    <row r="381" spans="1:17" s="121" customFormat="1" ht="18" customHeight="1" x14ac:dyDescent="0.15">
      <c r="A381" s="218" t="s">
        <v>0</v>
      </c>
      <c r="B381" s="843" t="s">
        <v>1046</v>
      </c>
      <c r="C381" s="844"/>
      <c r="D381" s="844"/>
      <c r="E381" s="844"/>
      <c r="F381" s="844"/>
      <c r="G381" s="844"/>
      <c r="H381" s="844"/>
      <c r="I381" s="844"/>
      <c r="J381" s="844"/>
      <c r="K381" s="844"/>
      <c r="L381" s="844"/>
      <c r="M381" s="844"/>
      <c r="N381" s="844"/>
      <c r="O381" s="216" t="s">
        <v>73</v>
      </c>
      <c r="P381" s="795" t="s">
        <v>319</v>
      </c>
      <c r="Q381" s="796"/>
    </row>
    <row r="382" spans="1:17" x14ac:dyDescent="0.15">
      <c r="A382" s="790"/>
      <c r="B382" s="791"/>
      <c r="C382" s="791"/>
      <c r="D382" s="791"/>
      <c r="E382" s="791"/>
      <c r="F382" s="791"/>
      <c r="G382" s="791"/>
      <c r="H382" s="791"/>
      <c r="I382" s="791"/>
      <c r="J382" s="791"/>
      <c r="K382" s="791"/>
      <c r="L382" s="791"/>
      <c r="M382" s="791"/>
      <c r="N382" s="791"/>
      <c r="O382" s="791"/>
      <c r="P382" s="791"/>
      <c r="Q382" s="792"/>
    </row>
    <row r="383" spans="1:17" s="126" customFormat="1" x14ac:dyDescent="0.15">
      <c r="A383" s="822" t="s">
        <v>150</v>
      </c>
      <c r="B383" s="823" t="s">
        <v>151</v>
      </c>
      <c r="C383" s="823"/>
      <c r="D383" s="802"/>
      <c r="E383" s="823" t="s">
        <v>152</v>
      </c>
      <c r="F383" s="823"/>
      <c r="G383" s="823"/>
      <c r="H383" s="802" t="s">
        <v>153</v>
      </c>
      <c r="I383" s="802" t="s">
        <v>479</v>
      </c>
      <c r="J383" s="804" t="s">
        <v>73</v>
      </c>
      <c r="K383" s="216" t="s">
        <v>154</v>
      </c>
      <c r="L383" s="123"/>
      <c r="M383" s="124"/>
      <c r="N383" s="124"/>
      <c r="O383" s="124"/>
      <c r="P383" s="124"/>
      <c r="Q383" s="125"/>
    </row>
    <row r="384" spans="1:17" s="130" customFormat="1" x14ac:dyDescent="0.15">
      <c r="A384" s="822"/>
      <c r="B384" s="823"/>
      <c r="C384" s="823"/>
      <c r="D384" s="803"/>
      <c r="E384" s="217" t="s">
        <v>155</v>
      </c>
      <c r="F384" s="217" t="s">
        <v>156</v>
      </c>
      <c r="G384" s="217" t="s">
        <v>157</v>
      </c>
      <c r="H384" s="803"/>
      <c r="I384" s="803"/>
      <c r="J384" s="805"/>
      <c r="K384" s="216" t="s">
        <v>158</v>
      </c>
      <c r="L384" s="127"/>
      <c r="M384" s="128"/>
      <c r="N384" s="128"/>
      <c r="O384" s="128"/>
      <c r="P384" s="128"/>
      <c r="Q384" s="129"/>
    </row>
    <row r="385" spans="1:17" ht="30" customHeight="1" x14ac:dyDescent="0.15">
      <c r="A385" s="148"/>
      <c r="B385" s="788" t="s">
        <v>1047</v>
      </c>
      <c r="C385" s="789"/>
      <c r="D385" s="149"/>
      <c r="E385" s="143">
        <v>0</v>
      </c>
      <c r="F385" s="143">
        <v>0</v>
      </c>
      <c r="G385" s="143">
        <v>0</v>
      </c>
      <c r="H385" s="143">
        <v>1</v>
      </c>
      <c r="I385" s="143">
        <v>1</v>
      </c>
      <c r="J385" s="133" t="s">
        <v>319</v>
      </c>
      <c r="K385" s="143">
        <f>I385*H385</f>
        <v>1</v>
      </c>
      <c r="L385" s="127"/>
      <c r="M385" s="128"/>
      <c r="N385" s="128"/>
      <c r="O385" s="128"/>
      <c r="P385" s="128"/>
      <c r="Q385" s="129"/>
    </row>
    <row r="386" spans="1:17" ht="14" x14ac:dyDescent="0.15">
      <c r="A386" s="795" t="s">
        <v>149</v>
      </c>
      <c r="B386" s="817"/>
      <c r="C386" s="817"/>
      <c r="D386" s="817"/>
      <c r="E386" s="817"/>
      <c r="F386" s="817"/>
      <c r="G386" s="817"/>
      <c r="H386" s="817"/>
      <c r="I386" s="817"/>
      <c r="J386" s="796"/>
      <c r="K386" s="418">
        <f>SUM(K385:K385)</f>
        <v>1</v>
      </c>
      <c r="L386" s="134"/>
      <c r="M386" s="135"/>
      <c r="N386" s="135"/>
      <c r="O386" s="135"/>
      <c r="P386" s="135"/>
      <c r="Q386" s="136"/>
    </row>
    <row r="387" spans="1:17" x14ac:dyDescent="0.15">
      <c r="A387" s="790"/>
      <c r="B387" s="791"/>
      <c r="C387" s="791"/>
      <c r="D387" s="791"/>
      <c r="E387" s="791"/>
      <c r="F387" s="791"/>
      <c r="G387" s="791"/>
      <c r="H387" s="791"/>
      <c r="I387" s="791"/>
      <c r="J387" s="791"/>
      <c r="K387" s="791"/>
      <c r="L387" s="791"/>
      <c r="M387" s="791"/>
      <c r="N387" s="791"/>
      <c r="O387" s="791"/>
      <c r="P387" s="791"/>
      <c r="Q387" s="792"/>
    </row>
    <row r="388" spans="1:17" s="121" customFormat="1" ht="18" customHeight="1" x14ac:dyDescent="0.15">
      <c r="A388" s="218" t="s">
        <v>0</v>
      </c>
      <c r="B388" s="845" t="s">
        <v>1048</v>
      </c>
      <c r="C388" s="846"/>
      <c r="D388" s="846"/>
      <c r="E388" s="846"/>
      <c r="F388" s="846"/>
      <c r="G388" s="846"/>
      <c r="H388" s="846"/>
      <c r="I388" s="846"/>
      <c r="J388" s="846"/>
      <c r="K388" s="846"/>
      <c r="L388" s="846"/>
      <c r="M388" s="846"/>
      <c r="N388" s="847"/>
      <c r="O388" s="216" t="s">
        <v>73</v>
      </c>
      <c r="P388" s="795" t="s">
        <v>319</v>
      </c>
      <c r="Q388" s="796"/>
    </row>
    <row r="389" spans="1:17" x14ac:dyDescent="0.15">
      <c r="A389" s="790"/>
      <c r="B389" s="791"/>
      <c r="C389" s="791"/>
      <c r="D389" s="791"/>
      <c r="E389" s="791"/>
      <c r="F389" s="791"/>
      <c r="G389" s="791"/>
      <c r="H389" s="791"/>
      <c r="I389" s="791"/>
      <c r="J389" s="791"/>
      <c r="K389" s="791"/>
      <c r="L389" s="791"/>
      <c r="M389" s="791"/>
      <c r="N389" s="791"/>
      <c r="O389" s="791"/>
      <c r="P389" s="791"/>
      <c r="Q389" s="792"/>
    </row>
    <row r="390" spans="1:17" s="126" customFormat="1" x14ac:dyDescent="0.15">
      <c r="A390" s="822" t="s">
        <v>150</v>
      </c>
      <c r="B390" s="823" t="s">
        <v>151</v>
      </c>
      <c r="C390" s="823"/>
      <c r="D390" s="802"/>
      <c r="E390" s="823" t="s">
        <v>152</v>
      </c>
      <c r="F390" s="823"/>
      <c r="G390" s="823"/>
      <c r="H390" s="802" t="s">
        <v>153</v>
      </c>
      <c r="I390" s="802" t="s">
        <v>479</v>
      </c>
      <c r="J390" s="804" t="s">
        <v>73</v>
      </c>
      <c r="K390" s="216" t="s">
        <v>154</v>
      </c>
      <c r="L390" s="123"/>
      <c r="M390" s="124"/>
      <c r="N390" s="124"/>
      <c r="O390" s="124"/>
      <c r="P390" s="124"/>
      <c r="Q390" s="125"/>
    </row>
    <row r="391" spans="1:17" s="130" customFormat="1" x14ac:dyDescent="0.15">
      <c r="A391" s="822"/>
      <c r="B391" s="823"/>
      <c r="C391" s="823"/>
      <c r="D391" s="803"/>
      <c r="E391" s="217" t="s">
        <v>155</v>
      </c>
      <c r="F391" s="217" t="s">
        <v>156</v>
      </c>
      <c r="G391" s="217" t="s">
        <v>157</v>
      </c>
      <c r="H391" s="803"/>
      <c r="I391" s="803"/>
      <c r="J391" s="805"/>
      <c r="K391" s="216" t="s">
        <v>158</v>
      </c>
      <c r="L391" s="127"/>
      <c r="M391" s="128"/>
      <c r="N391" s="128"/>
      <c r="O391" s="128"/>
      <c r="P391" s="128"/>
      <c r="Q391" s="129"/>
    </row>
    <row r="392" spans="1:17" ht="24" customHeight="1" x14ac:dyDescent="0.15">
      <c r="A392" s="148"/>
      <c r="B392" s="788" t="s">
        <v>1049</v>
      </c>
      <c r="C392" s="789"/>
      <c r="D392" s="149"/>
      <c r="E392" s="143">
        <v>0</v>
      </c>
      <c r="F392" s="143">
        <v>0</v>
      </c>
      <c r="G392" s="143">
        <v>0</v>
      </c>
      <c r="H392" s="143">
        <v>11</v>
      </c>
      <c r="I392" s="143">
        <f t="shared" ref="I392:I393" si="49">H392</f>
        <v>11</v>
      </c>
      <c r="J392" s="133" t="s">
        <v>319</v>
      </c>
      <c r="K392" s="143">
        <f t="shared" ref="K392:K393" si="50">I392</f>
        <v>11</v>
      </c>
      <c r="L392" s="127"/>
      <c r="M392" s="128"/>
      <c r="N392" s="128"/>
      <c r="O392" s="128"/>
      <c r="P392" s="128"/>
      <c r="Q392" s="129"/>
    </row>
    <row r="393" spans="1:17" ht="24" customHeight="1" x14ac:dyDescent="0.15">
      <c r="A393" s="148"/>
      <c r="B393" s="788" t="s">
        <v>1050</v>
      </c>
      <c r="C393" s="789"/>
      <c r="D393" s="149"/>
      <c r="E393" s="143">
        <v>0</v>
      </c>
      <c r="F393" s="143">
        <v>0</v>
      </c>
      <c r="G393" s="143">
        <v>0</v>
      </c>
      <c r="H393" s="143">
        <v>4</v>
      </c>
      <c r="I393" s="143">
        <f t="shared" si="49"/>
        <v>4</v>
      </c>
      <c r="J393" s="133" t="s">
        <v>319</v>
      </c>
      <c r="K393" s="143">
        <f t="shared" si="50"/>
        <v>4</v>
      </c>
      <c r="L393" s="127"/>
      <c r="M393" s="128"/>
      <c r="N393" s="128"/>
      <c r="O393" s="128"/>
      <c r="P393" s="128"/>
      <c r="Q393" s="129"/>
    </row>
    <row r="394" spans="1:17" ht="24" customHeight="1" x14ac:dyDescent="0.15">
      <c r="A394" s="148"/>
      <c r="B394" s="788" t="s">
        <v>1051</v>
      </c>
      <c r="C394" s="789"/>
      <c r="D394" s="149"/>
      <c r="E394" s="143">
        <v>0</v>
      </c>
      <c r="F394" s="143">
        <v>0</v>
      </c>
      <c r="G394" s="143">
        <v>0</v>
      </c>
      <c r="H394" s="143">
        <v>11</v>
      </c>
      <c r="I394" s="143">
        <f t="shared" ref="I394" si="51">H394</f>
        <v>11</v>
      </c>
      <c r="J394" s="133" t="s">
        <v>319</v>
      </c>
      <c r="K394" s="143">
        <f t="shared" ref="K394" si="52">I394</f>
        <v>11</v>
      </c>
      <c r="L394" s="127"/>
      <c r="M394" s="128"/>
      <c r="N394" s="128"/>
      <c r="O394" s="128"/>
      <c r="P394" s="128"/>
      <c r="Q394" s="129"/>
    </row>
    <row r="395" spans="1:17" ht="14" x14ac:dyDescent="0.15">
      <c r="A395" s="795" t="s">
        <v>149</v>
      </c>
      <c r="B395" s="817"/>
      <c r="C395" s="817"/>
      <c r="D395" s="817"/>
      <c r="E395" s="817"/>
      <c r="F395" s="817"/>
      <c r="G395" s="817"/>
      <c r="H395" s="817"/>
      <c r="I395" s="817"/>
      <c r="J395" s="796"/>
      <c r="K395" s="418">
        <f>SUM(K392:K394)</f>
        <v>26</v>
      </c>
      <c r="L395" s="134"/>
      <c r="M395" s="135"/>
      <c r="N395" s="135"/>
      <c r="O395" s="135"/>
      <c r="P395" s="135"/>
      <c r="Q395" s="136"/>
    </row>
    <row r="396" spans="1:17" x14ac:dyDescent="0.15">
      <c r="A396" s="790"/>
      <c r="B396" s="791"/>
      <c r="C396" s="791"/>
      <c r="D396" s="791"/>
      <c r="E396" s="791"/>
      <c r="F396" s="791"/>
      <c r="G396" s="791"/>
      <c r="H396" s="791"/>
      <c r="I396" s="791"/>
      <c r="J396" s="791"/>
      <c r="K396" s="791"/>
      <c r="L396" s="791"/>
      <c r="M396" s="791"/>
      <c r="N396" s="791"/>
      <c r="O396" s="791"/>
      <c r="P396" s="791"/>
      <c r="Q396" s="792"/>
    </row>
    <row r="397" spans="1:17" s="121" customFormat="1" ht="18" customHeight="1" x14ac:dyDescent="0.15">
      <c r="A397" s="218" t="s">
        <v>0</v>
      </c>
      <c r="B397" s="845" t="s">
        <v>1052</v>
      </c>
      <c r="C397" s="846"/>
      <c r="D397" s="846"/>
      <c r="E397" s="846"/>
      <c r="F397" s="846"/>
      <c r="G397" s="846"/>
      <c r="H397" s="846"/>
      <c r="I397" s="846"/>
      <c r="J397" s="846"/>
      <c r="K397" s="846"/>
      <c r="L397" s="846"/>
      <c r="M397" s="846"/>
      <c r="N397" s="847"/>
      <c r="O397" s="216" t="s">
        <v>73</v>
      </c>
      <c r="P397" s="795" t="s">
        <v>319</v>
      </c>
      <c r="Q397" s="796"/>
    </row>
    <row r="398" spans="1:17" x14ac:dyDescent="0.15">
      <c r="A398" s="790"/>
      <c r="B398" s="791"/>
      <c r="C398" s="791"/>
      <c r="D398" s="791"/>
      <c r="E398" s="791"/>
      <c r="F398" s="791"/>
      <c r="G398" s="791"/>
      <c r="H398" s="791"/>
      <c r="I398" s="791"/>
      <c r="J398" s="791"/>
      <c r="K398" s="791"/>
      <c r="L398" s="791"/>
      <c r="M398" s="791"/>
      <c r="N398" s="791"/>
      <c r="O398" s="791"/>
      <c r="P398" s="791"/>
      <c r="Q398" s="792"/>
    </row>
    <row r="399" spans="1:17" s="126" customFormat="1" x14ac:dyDescent="0.15">
      <c r="A399" s="822" t="s">
        <v>150</v>
      </c>
      <c r="B399" s="823" t="s">
        <v>151</v>
      </c>
      <c r="C399" s="823"/>
      <c r="D399" s="802"/>
      <c r="E399" s="823" t="s">
        <v>152</v>
      </c>
      <c r="F399" s="823"/>
      <c r="G399" s="823"/>
      <c r="H399" s="802" t="s">
        <v>153</v>
      </c>
      <c r="I399" s="802" t="s">
        <v>479</v>
      </c>
      <c r="J399" s="804" t="s">
        <v>73</v>
      </c>
      <c r="K399" s="216" t="s">
        <v>154</v>
      </c>
      <c r="L399" s="123"/>
      <c r="M399" s="124"/>
      <c r="N399" s="124"/>
      <c r="O399" s="124"/>
      <c r="P399" s="124"/>
      <c r="Q399" s="125"/>
    </row>
    <row r="400" spans="1:17" s="130" customFormat="1" x14ac:dyDescent="0.15">
      <c r="A400" s="822"/>
      <c r="B400" s="823"/>
      <c r="C400" s="823"/>
      <c r="D400" s="803"/>
      <c r="E400" s="217" t="s">
        <v>155</v>
      </c>
      <c r="F400" s="217" t="s">
        <v>156</v>
      </c>
      <c r="G400" s="217" t="s">
        <v>157</v>
      </c>
      <c r="H400" s="803"/>
      <c r="I400" s="803"/>
      <c r="J400" s="805"/>
      <c r="K400" s="216" t="s">
        <v>158</v>
      </c>
      <c r="L400" s="127"/>
      <c r="M400" s="128"/>
      <c r="N400" s="128"/>
      <c r="O400" s="128"/>
      <c r="P400" s="128"/>
      <c r="Q400" s="129"/>
    </row>
    <row r="401" spans="1:17" ht="28.5" customHeight="1" x14ac:dyDescent="0.15">
      <c r="A401" s="148"/>
      <c r="B401" s="788" t="s">
        <v>1049</v>
      </c>
      <c r="C401" s="789"/>
      <c r="D401" s="149"/>
      <c r="E401" s="143">
        <v>0</v>
      </c>
      <c r="F401" s="143">
        <v>0</v>
      </c>
      <c r="G401" s="143">
        <v>0</v>
      </c>
      <c r="H401" s="143">
        <v>11</v>
      </c>
      <c r="I401" s="143">
        <f t="shared" ref="I401" si="53">H401</f>
        <v>11</v>
      </c>
      <c r="J401" s="133" t="s">
        <v>319</v>
      </c>
      <c r="K401" s="143">
        <f t="shared" ref="K401" si="54">I401</f>
        <v>11</v>
      </c>
      <c r="L401" s="127"/>
      <c r="M401" s="128"/>
      <c r="N401" s="128"/>
      <c r="O401" s="128"/>
      <c r="P401" s="128"/>
      <c r="Q401" s="129"/>
    </row>
    <row r="402" spans="1:17" ht="14" x14ac:dyDescent="0.15">
      <c r="A402" s="795" t="s">
        <v>149</v>
      </c>
      <c r="B402" s="817"/>
      <c r="C402" s="817"/>
      <c r="D402" s="817"/>
      <c r="E402" s="817"/>
      <c r="F402" s="817"/>
      <c r="G402" s="817"/>
      <c r="H402" s="817"/>
      <c r="I402" s="817"/>
      <c r="J402" s="796"/>
      <c r="K402" s="418">
        <f>SUM(K401:K401)</f>
        <v>11</v>
      </c>
      <c r="L402" s="134"/>
      <c r="M402" s="135"/>
      <c r="N402" s="135"/>
      <c r="O402" s="135"/>
      <c r="P402" s="135"/>
      <c r="Q402" s="136"/>
    </row>
    <row r="403" spans="1:17" x14ac:dyDescent="0.15">
      <c r="A403" s="790"/>
      <c r="B403" s="791"/>
      <c r="C403" s="791"/>
      <c r="D403" s="791"/>
      <c r="E403" s="791"/>
      <c r="F403" s="791"/>
      <c r="G403" s="791"/>
      <c r="H403" s="791"/>
      <c r="I403" s="791"/>
      <c r="J403" s="791"/>
      <c r="K403" s="791"/>
      <c r="L403" s="791"/>
      <c r="M403" s="791"/>
      <c r="N403" s="791"/>
      <c r="O403" s="791"/>
      <c r="P403" s="791"/>
      <c r="Q403" s="792"/>
    </row>
    <row r="404" spans="1:17" s="121" customFormat="1" ht="18" customHeight="1" x14ac:dyDescent="0.15">
      <c r="A404" s="218" t="s">
        <v>0</v>
      </c>
      <c r="B404" s="845" t="s">
        <v>1053</v>
      </c>
      <c r="C404" s="846"/>
      <c r="D404" s="846"/>
      <c r="E404" s="846"/>
      <c r="F404" s="846"/>
      <c r="G404" s="846"/>
      <c r="H404" s="846"/>
      <c r="I404" s="846"/>
      <c r="J404" s="846"/>
      <c r="K404" s="846"/>
      <c r="L404" s="846"/>
      <c r="M404" s="846"/>
      <c r="N404" s="847"/>
      <c r="O404" s="216" t="s">
        <v>73</v>
      </c>
      <c r="P404" s="795" t="s">
        <v>319</v>
      </c>
      <c r="Q404" s="796"/>
    </row>
    <row r="405" spans="1:17" x14ac:dyDescent="0.15">
      <c r="A405" s="790"/>
      <c r="B405" s="791"/>
      <c r="C405" s="791"/>
      <c r="D405" s="791"/>
      <c r="E405" s="791"/>
      <c r="F405" s="791"/>
      <c r="G405" s="791"/>
      <c r="H405" s="791"/>
      <c r="I405" s="791"/>
      <c r="J405" s="791"/>
      <c r="K405" s="791"/>
      <c r="L405" s="791"/>
      <c r="M405" s="791"/>
      <c r="N405" s="791"/>
      <c r="O405" s="791"/>
      <c r="P405" s="791"/>
      <c r="Q405" s="792"/>
    </row>
    <row r="406" spans="1:17" s="126" customFormat="1" x14ac:dyDescent="0.15">
      <c r="A406" s="822" t="s">
        <v>150</v>
      </c>
      <c r="B406" s="823" t="s">
        <v>151</v>
      </c>
      <c r="C406" s="823"/>
      <c r="D406" s="802"/>
      <c r="E406" s="823" t="s">
        <v>152</v>
      </c>
      <c r="F406" s="823"/>
      <c r="G406" s="823"/>
      <c r="H406" s="802" t="s">
        <v>153</v>
      </c>
      <c r="I406" s="802" t="s">
        <v>479</v>
      </c>
      <c r="J406" s="804" t="s">
        <v>73</v>
      </c>
      <c r="K406" s="216" t="s">
        <v>154</v>
      </c>
      <c r="L406" s="123"/>
      <c r="M406" s="124"/>
      <c r="N406" s="124"/>
      <c r="O406" s="124"/>
      <c r="P406" s="124"/>
      <c r="Q406" s="125"/>
    </row>
    <row r="407" spans="1:17" s="130" customFormat="1" x14ac:dyDescent="0.15">
      <c r="A407" s="822"/>
      <c r="B407" s="823"/>
      <c r="C407" s="823"/>
      <c r="D407" s="803"/>
      <c r="E407" s="217" t="s">
        <v>155</v>
      </c>
      <c r="F407" s="217" t="s">
        <v>156</v>
      </c>
      <c r="G407" s="217" t="s">
        <v>157</v>
      </c>
      <c r="H407" s="803"/>
      <c r="I407" s="803"/>
      <c r="J407" s="805"/>
      <c r="K407" s="216" t="s">
        <v>158</v>
      </c>
      <c r="L407" s="127"/>
      <c r="M407" s="128"/>
      <c r="N407" s="128"/>
      <c r="O407" s="128"/>
      <c r="P407" s="128"/>
      <c r="Q407" s="129"/>
    </row>
    <row r="408" spans="1:17" ht="24" customHeight="1" x14ac:dyDescent="0.15">
      <c r="A408" s="148"/>
      <c r="B408" s="788" t="s">
        <v>943</v>
      </c>
      <c r="C408" s="789"/>
      <c r="D408" s="149"/>
      <c r="E408" s="143">
        <v>0</v>
      </c>
      <c r="F408" s="143">
        <v>0</v>
      </c>
      <c r="G408" s="143">
        <v>0</v>
      </c>
      <c r="H408" s="143">
        <v>4</v>
      </c>
      <c r="I408" s="143">
        <f>H408</f>
        <v>4</v>
      </c>
      <c r="J408" s="133" t="s">
        <v>319</v>
      </c>
      <c r="K408" s="143">
        <f>I408</f>
        <v>4</v>
      </c>
      <c r="L408" s="127"/>
      <c r="M408" s="128"/>
      <c r="N408" s="128"/>
      <c r="O408" s="128"/>
      <c r="P408" s="128"/>
      <c r="Q408" s="129"/>
    </row>
    <row r="409" spans="1:17" ht="14" x14ac:dyDescent="0.15">
      <c r="A409" s="795" t="s">
        <v>149</v>
      </c>
      <c r="B409" s="817"/>
      <c r="C409" s="817"/>
      <c r="D409" s="817"/>
      <c r="E409" s="817"/>
      <c r="F409" s="817"/>
      <c r="G409" s="817"/>
      <c r="H409" s="817"/>
      <c r="I409" s="817"/>
      <c r="J409" s="796"/>
      <c r="K409" s="418">
        <f>SUM(K408:K408)</f>
        <v>4</v>
      </c>
      <c r="L409" s="134"/>
      <c r="M409" s="135"/>
      <c r="N409" s="135"/>
      <c r="O409" s="135"/>
      <c r="P409" s="135"/>
      <c r="Q409" s="136"/>
    </row>
    <row r="410" spans="1:17" x14ac:dyDescent="0.15">
      <c r="A410" s="790"/>
      <c r="B410" s="791"/>
      <c r="C410" s="791"/>
      <c r="D410" s="791"/>
      <c r="E410" s="791"/>
      <c r="F410" s="791"/>
      <c r="G410" s="791"/>
      <c r="H410" s="791"/>
      <c r="I410" s="791"/>
      <c r="J410" s="791"/>
      <c r="K410" s="791"/>
      <c r="L410" s="791"/>
      <c r="M410" s="791"/>
      <c r="N410" s="791"/>
      <c r="O410" s="791"/>
      <c r="P410" s="791"/>
      <c r="Q410" s="792"/>
    </row>
    <row r="411" spans="1:17" s="121" customFormat="1" ht="18" customHeight="1" x14ac:dyDescent="0.15">
      <c r="A411" s="218" t="s">
        <v>0</v>
      </c>
      <c r="B411" s="845" t="s">
        <v>1054</v>
      </c>
      <c r="C411" s="846"/>
      <c r="D411" s="846"/>
      <c r="E411" s="846"/>
      <c r="F411" s="846"/>
      <c r="G411" s="846"/>
      <c r="H411" s="846"/>
      <c r="I411" s="846"/>
      <c r="J411" s="846"/>
      <c r="K411" s="846"/>
      <c r="L411" s="846"/>
      <c r="M411" s="846"/>
      <c r="N411" s="847"/>
      <c r="O411" s="216" t="s">
        <v>73</v>
      </c>
      <c r="P411" s="795" t="s">
        <v>319</v>
      </c>
      <c r="Q411" s="796"/>
    </row>
    <row r="412" spans="1:17" x14ac:dyDescent="0.15">
      <c r="A412" s="790"/>
      <c r="B412" s="791"/>
      <c r="C412" s="791"/>
      <c r="D412" s="791"/>
      <c r="E412" s="791"/>
      <c r="F412" s="791"/>
      <c r="G412" s="791"/>
      <c r="H412" s="791"/>
      <c r="I412" s="791"/>
      <c r="J412" s="791"/>
      <c r="K412" s="791"/>
      <c r="L412" s="791"/>
      <c r="M412" s="791"/>
      <c r="N412" s="791"/>
      <c r="O412" s="791"/>
      <c r="P412" s="791"/>
      <c r="Q412" s="792"/>
    </row>
    <row r="413" spans="1:17" s="126" customFormat="1" x14ac:dyDescent="0.15">
      <c r="A413" s="822" t="s">
        <v>150</v>
      </c>
      <c r="B413" s="823" t="s">
        <v>151</v>
      </c>
      <c r="C413" s="823"/>
      <c r="D413" s="802"/>
      <c r="E413" s="823" t="s">
        <v>152</v>
      </c>
      <c r="F413" s="823"/>
      <c r="G413" s="823"/>
      <c r="H413" s="802" t="s">
        <v>153</v>
      </c>
      <c r="I413" s="802" t="s">
        <v>479</v>
      </c>
      <c r="J413" s="804" t="s">
        <v>73</v>
      </c>
      <c r="K413" s="216" t="s">
        <v>154</v>
      </c>
      <c r="L413" s="123"/>
      <c r="M413" s="124"/>
      <c r="N413" s="124"/>
      <c r="O413" s="124"/>
      <c r="P413" s="124"/>
      <c r="Q413" s="125"/>
    </row>
    <row r="414" spans="1:17" s="130" customFormat="1" x14ac:dyDescent="0.15">
      <c r="A414" s="822"/>
      <c r="B414" s="823"/>
      <c r="C414" s="823"/>
      <c r="D414" s="803"/>
      <c r="E414" s="217" t="s">
        <v>155</v>
      </c>
      <c r="F414" s="217" t="s">
        <v>156</v>
      </c>
      <c r="G414" s="217" t="s">
        <v>157</v>
      </c>
      <c r="H414" s="803"/>
      <c r="I414" s="803"/>
      <c r="J414" s="805"/>
      <c r="K414" s="216" t="s">
        <v>158</v>
      </c>
      <c r="L414" s="127"/>
      <c r="M414" s="128"/>
      <c r="N414" s="128"/>
      <c r="O414" s="128"/>
      <c r="P414" s="128"/>
      <c r="Q414" s="129"/>
    </row>
    <row r="415" spans="1:17" ht="30" customHeight="1" x14ac:dyDescent="0.15">
      <c r="A415" s="148"/>
      <c r="B415" s="788" t="s">
        <v>1051</v>
      </c>
      <c r="C415" s="789"/>
      <c r="D415" s="149"/>
      <c r="E415" s="143">
        <v>0</v>
      </c>
      <c r="F415" s="143">
        <v>0</v>
      </c>
      <c r="G415" s="143">
        <v>0</v>
      </c>
      <c r="H415" s="143">
        <v>11</v>
      </c>
      <c r="I415" s="143">
        <f t="shared" ref="I415" si="55">H415</f>
        <v>11</v>
      </c>
      <c r="J415" s="133" t="s">
        <v>319</v>
      </c>
      <c r="K415" s="143">
        <f t="shared" ref="K415" si="56">I415</f>
        <v>11</v>
      </c>
      <c r="L415" s="127"/>
      <c r="M415" s="128"/>
      <c r="N415" s="128"/>
      <c r="O415" s="128"/>
      <c r="P415" s="128"/>
      <c r="Q415" s="129"/>
    </row>
    <row r="416" spans="1:17" ht="14" x14ac:dyDescent="0.15">
      <c r="A416" s="795" t="s">
        <v>149</v>
      </c>
      <c r="B416" s="817"/>
      <c r="C416" s="817"/>
      <c r="D416" s="817"/>
      <c r="E416" s="817"/>
      <c r="F416" s="817"/>
      <c r="G416" s="817"/>
      <c r="H416" s="817"/>
      <c r="I416" s="817"/>
      <c r="J416" s="796"/>
      <c r="K416" s="418">
        <f>SUM(K415:K415)</f>
        <v>11</v>
      </c>
      <c r="L416" s="134"/>
      <c r="M416" s="135"/>
      <c r="N416" s="135"/>
      <c r="O416" s="135"/>
      <c r="P416" s="135"/>
      <c r="Q416" s="136"/>
    </row>
    <row r="417" spans="1:17" x14ac:dyDescent="0.15">
      <c r="A417" s="790"/>
      <c r="B417" s="791"/>
      <c r="C417" s="791"/>
      <c r="D417" s="791"/>
      <c r="E417" s="791"/>
      <c r="F417" s="791"/>
      <c r="G417" s="791"/>
      <c r="H417" s="791"/>
      <c r="I417" s="791"/>
      <c r="J417" s="791"/>
      <c r="K417" s="791"/>
      <c r="L417" s="791"/>
      <c r="M417" s="791"/>
      <c r="N417" s="791"/>
      <c r="O417" s="791"/>
      <c r="P417" s="791"/>
      <c r="Q417" s="792"/>
    </row>
    <row r="418" spans="1:17" s="121" customFormat="1" ht="18" customHeight="1" x14ac:dyDescent="0.15">
      <c r="A418" s="218" t="s">
        <v>0</v>
      </c>
      <c r="B418" s="845" t="s">
        <v>1055</v>
      </c>
      <c r="C418" s="846"/>
      <c r="D418" s="846"/>
      <c r="E418" s="846"/>
      <c r="F418" s="846"/>
      <c r="G418" s="846"/>
      <c r="H418" s="846"/>
      <c r="I418" s="846"/>
      <c r="J418" s="846"/>
      <c r="K418" s="846"/>
      <c r="L418" s="846"/>
      <c r="M418" s="846"/>
      <c r="N418" s="847"/>
      <c r="O418" s="216" t="s">
        <v>73</v>
      </c>
      <c r="P418" s="795" t="s">
        <v>319</v>
      </c>
      <c r="Q418" s="796"/>
    </row>
    <row r="419" spans="1:17" x14ac:dyDescent="0.15">
      <c r="A419" s="790"/>
      <c r="B419" s="791"/>
      <c r="C419" s="791"/>
      <c r="D419" s="791"/>
      <c r="E419" s="791"/>
      <c r="F419" s="791"/>
      <c r="G419" s="791"/>
      <c r="H419" s="791"/>
      <c r="I419" s="791"/>
      <c r="J419" s="791"/>
      <c r="K419" s="791"/>
      <c r="L419" s="791"/>
      <c r="M419" s="791"/>
      <c r="N419" s="791"/>
      <c r="O419" s="791"/>
      <c r="P419" s="791"/>
      <c r="Q419" s="792"/>
    </row>
    <row r="420" spans="1:17" s="126" customFormat="1" x14ac:dyDescent="0.15">
      <c r="A420" s="822" t="s">
        <v>150</v>
      </c>
      <c r="B420" s="823" t="s">
        <v>151</v>
      </c>
      <c r="C420" s="823"/>
      <c r="D420" s="802"/>
      <c r="E420" s="823" t="s">
        <v>152</v>
      </c>
      <c r="F420" s="823"/>
      <c r="G420" s="823"/>
      <c r="H420" s="802" t="s">
        <v>153</v>
      </c>
      <c r="I420" s="802" t="s">
        <v>479</v>
      </c>
      <c r="J420" s="804" t="s">
        <v>73</v>
      </c>
      <c r="K420" s="216" t="s">
        <v>154</v>
      </c>
      <c r="L420" s="123"/>
      <c r="M420" s="124"/>
      <c r="N420" s="124"/>
      <c r="O420" s="124"/>
      <c r="P420" s="124"/>
      <c r="Q420" s="125"/>
    </row>
    <row r="421" spans="1:17" s="130" customFormat="1" x14ac:dyDescent="0.15">
      <c r="A421" s="822"/>
      <c r="B421" s="823"/>
      <c r="C421" s="823"/>
      <c r="D421" s="803"/>
      <c r="E421" s="217" t="s">
        <v>155</v>
      </c>
      <c r="F421" s="217" t="s">
        <v>156</v>
      </c>
      <c r="G421" s="217" t="s">
        <v>157</v>
      </c>
      <c r="H421" s="803"/>
      <c r="I421" s="803"/>
      <c r="J421" s="805"/>
      <c r="K421" s="216" t="s">
        <v>158</v>
      </c>
      <c r="L421" s="127"/>
      <c r="M421" s="128"/>
      <c r="N421" s="128"/>
      <c r="O421" s="128"/>
      <c r="P421" s="128"/>
      <c r="Q421" s="129"/>
    </row>
    <row r="422" spans="1:17" ht="30" customHeight="1" x14ac:dyDescent="0.15">
      <c r="A422" s="148"/>
      <c r="B422" s="788" t="s">
        <v>947</v>
      </c>
      <c r="C422" s="789"/>
      <c r="D422" s="149"/>
      <c r="E422" s="143">
        <v>0</v>
      </c>
      <c r="F422" s="143">
        <v>0</v>
      </c>
      <c r="G422" s="143">
        <v>0</v>
      </c>
      <c r="H422" s="143">
        <v>5</v>
      </c>
      <c r="I422" s="143">
        <f t="shared" ref="I422" si="57">H422</f>
        <v>5</v>
      </c>
      <c r="J422" s="133" t="s">
        <v>319</v>
      </c>
      <c r="K422" s="143">
        <f t="shared" ref="K422" si="58">I422</f>
        <v>5</v>
      </c>
      <c r="L422" s="127"/>
      <c r="M422" s="128"/>
      <c r="N422" s="128"/>
      <c r="O422" s="128"/>
      <c r="P422" s="128"/>
      <c r="Q422" s="129"/>
    </row>
    <row r="423" spans="1:17" ht="14" x14ac:dyDescent="0.15">
      <c r="A423" s="795" t="s">
        <v>149</v>
      </c>
      <c r="B423" s="817"/>
      <c r="C423" s="817"/>
      <c r="D423" s="817"/>
      <c r="E423" s="817"/>
      <c r="F423" s="817"/>
      <c r="G423" s="817"/>
      <c r="H423" s="817"/>
      <c r="I423" s="817"/>
      <c r="J423" s="796"/>
      <c r="K423" s="418">
        <f>SUM(K422:K422)</f>
        <v>5</v>
      </c>
      <c r="L423" s="134"/>
      <c r="M423" s="135"/>
      <c r="N423" s="135"/>
      <c r="O423" s="135"/>
      <c r="P423" s="135"/>
      <c r="Q423" s="136"/>
    </row>
    <row r="424" spans="1:17" x14ac:dyDescent="0.15">
      <c r="A424" s="790"/>
      <c r="B424" s="791"/>
      <c r="C424" s="791"/>
      <c r="D424" s="791"/>
      <c r="E424" s="791"/>
      <c r="F424" s="791"/>
      <c r="G424" s="791"/>
      <c r="H424" s="791"/>
      <c r="I424" s="791"/>
      <c r="J424" s="791"/>
      <c r="K424" s="791"/>
      <c r="L424" s="791"/>
      <c r="M424" s="791"/>
      <c r="N424" s="791"/>
      <c r="O424" s="791"/>
      <c r="P424" s="791"/>
      <c r="Q424" s="792"/>
    </row>
    <row r="425" spans="1:17" s="121" customFormat="1" ht="19.5" customHeight="1" x14ac:dyDescent="0.15">
      <c r="A425" s="218" t="s">
        <v>0</v>
      </c>
      <c r="B425" s="793" t="s">
        <v>1056</v>
      </c>
      <c r="C425" s="794"/>
      <c r="D425" s="794"/>
      <c r="E425" s="794"/>
      <c r="F425" s="794"/>
      <c r="G425" s="794"/>
      <c r="H425" s="794"/>
      <c r="I425" s="794"/>
      <c r="J425" s="794"/>
      <c r="K425" s="794"/>
      <c r="L425" s="794"/>
      <c r="M425" s="794"/>
      <c r="N425" s="821"/>
      <c r="O425" s="216" t="s">
        <v>73</v>
      </c>
      <c r="P425" s="795" t="s">
        <v>193</v>
      </c>
      <c r="Q425" s="796"/>
    </row>
    <row r="426" spans="1:17" x14ac:dyDescent="0.15">
      <c r="A426" s="790"/>
      <c r="B426" s="791"/>
      <c r="C426" s="791"/>
      <c r="D426" s="791"/>
      <c r="E426" s="791"/>
      <c r="F426" s="791"/>
      <c r="G426" s="791"/>
      <c r="H426" s="791"/>
      <c r="I426" s="791"/>
      <c r="J426" s="791"/>
      <c r="K426" s="791"/>
      <c r="L426" s="791"/>
      <c r="M426" s="791"/>
      <c r="N426" s="791"/>
      <c r="O426" s="791"/>
      <c r="P426" s="791"/>
      <c r="Q426" s="792"/>
    </row>
    <row r="427" spans="1:17" s="126" customFormat="1" ht="12.75" customHeight="1" x14ac:dyDescent="0.15">
      <c r="A427" s="822" t="s">
        <v>150</v>
      </c>
      <c r="B427" s="823" t="s">
        <v>151</v>
      </c>
      <c r="C427" s="823"/>
      <c r="D427" s="825" t="s">
        <v>152</v>
      </c>
      <c r="E427" s="826"/>
      <c r="F427" s="826"/>
      <c r="G427" s="834"/>
      <c r="H427" s="802" t="s">
        <v>153</v>
      </c>
      <c r="I427" s="802" t="s">
        <v>242</v>
      </c>
      <c r="J427" s="804" t="s">
        <v>73</v>
      </c>
      <c r="K427" s="216" t="s">
        <v>154</v>
      </c>
      <c r="L427" s="123"/>
      <c r="M427" s="124"/>
      <c r="N427" s="124"/>
      <c r="O427" s="124"/>
      <c r="P427" s="124"/>
      <c r="Q427" s="125"/>
    </row>
    <row r="428" spans="1:17" s="130" customFormat="1" x14ac:dyDescent="0.15">
      <c r="A428" s="822"/>
      <c r="B428" s="823"/>
      <c r="C428" s="823"/>
      <c r="D428" s="220"/>
      <c r="E428" s="217" t="s">
        <v>155</v>
      </c>
      <c r="F428" s="217" t="s">
        <v>156</v>
      </c>
      <c r="G428" s="217" t="s">
        <v>269</v>
      </c>
      <c r="H428" s="803"/>
      <c r="I428" s="803"/>
      <c r="J428" s="805"/>
      <c r="K428" s="216" t="s">
        <v>158</v>
      </c>
      <c r="L428" s="127"/>
      <c r="M428" s="128"/>
      <c r="N428" s="128"/>
      <c r="O428" s="128"/>
      <c r="P428" s="128"/>
      <c r="Q428" s="129"/>
    </row>
    <row r="429" spans="1:17" ht="22.5" customHeight="1" x14ac:dyDescent="0.15">
      <c r="A429" s="131"/>
      <c r="B429" s="815" t="s">
        <v>1084</v>
      </c>
      <c r="C429" s="816"/>
      <c r="D429" s="219">
        <v>0</v>
      </c>
      <c r="E429" s="132">
        <v>9.3800000000000008</v>
      </c>
      <c r="F429" s="144">
        <v>0</v>
      </c>
      <c r="G429" s="144">
        <v>0</v>
      </c>
      <c r="H429" s="132">
        <v>4</v>
      </c>
      <c r="I429" s="132">
        <f>E429</f>
        <v>9.3800000000000008</v>
      </c>
      <c r="J429" s="144" t="s">
        <v>193</v>
      </c>
      <c r="K429" s="219">
        <f>I429*H429</f>
        <v>37.520000000000003</v>
      </c>
      <c r="L429" s="127"/>
      <c r="M429" s="128"/>
      <c r="N429" s="128"/>
      <c r="O429" s="128"/>
      <c r="P429" s="128"/>
      <c r="Q429" s="129"/>
    </row>
    <row r="430" spans="1:17" ht="22.5" customHeight="1" x14ac:dyDescent="0.15">
      <c r="A430" s="131"/>
      <c r="B430" s="815" t="s">
        <v>1085</v>
      </c>
      <c r="C430" s="816"/>
      <c r="D430" s="219">
        <v>0</v>
      </c>
      <c r="E430" s="132">
        <v>10.88</v>
      </c>
      <c r="F430" s="144">
        <v>0</v>
      </c>
      <c r="G430" s="144">
        <v>0</v>
      </c>
      <c r="H430" s="132">
        <v>4</v>
      </c>
      <c r="I430" s="132">
        <f>E430</f>
        <v>10.88</v>
      </c>
      <c r="J430" s="144" t="s">
        <v>193</v>
      </c>
      <c r="K430" s="219">
        <f>I430*H430</f>
        <v>43.52</v>
      </c>
      <c r="L430" s="127"/>
      <c r="M430" s="128"/>
      <c r="N430" s="128"/>
      <c r="O430" s="128"/>
      <c r="P430" s="128"/>
      <c r="Q430" s="129"/>
    </row>
    <row r="431" spans="1:17" ht="14" x14ac:dyDescent="0.15">
      <c r="A431" s="795" t="s">
        <v>149</v>
      </c>
      <c r="B431" s="817"/>
      <c r="C431" s="817"/>
      <c r="D431" s="817"/>
      <c r="E431" s="817"/>
      <c r="F431" s="817"/>
      <c r="G431" s="817"/>
      <c r="H431" s="817"/>
      <c r="I431" s="817"/>
      <c r="J431" s="796"/>
      <c r="K431" s="418">
        <f>SUM(K429:K430)</f>
        <v>81.040000000000006</v>
      </c>
      <c r="L431" s="134"/>
      <c r="M431" s="135"/>
      <c r="N431" s="135"/>
      <c r="O431" s="135"/>
      <c r="P431" s="135"/>
      <c r="Q431" s="136"/>
    </row>
    <row r="432" spans="1:17" x14ac:dyDescent="0.15">
      <c r="A432" s="790"/>
      <c r="B432" s="791"/>
      <c r="C432" s="791"/>
      <c r="D432" s="791"/>
      <c r="E432" s="791"/>
      <c r="F432" s="791"/>
      <c r="G432" s="791"/>
      <c r="H432" s="791"/>
      <c r="I432" s="791"/>
      <c r="J432" s="791"/>
      <c r="K432" s="791"/>
      <c r="L432" s="791"/>
      <c r="M432" s="791"/>
      <c r="N432" s="791"/>
      <c r="O432" s="791"/>
      <c r="P432" s="791"/>
      <c r="Q432" s="792"/>
    </row>
    <row r="433" spans="1:17" s="121" customFormat="1" ht="19.5" customHeight="1" x14ac:dyDescent="0.15">
      <c r="A433" s="218" t="s">
        <v>0</v>
      </c>
      <c r="B433" s="793" t="s">
        <v>1057</v>
      </c>
      <c r="C433" s="794"/>
      <c r="D433" s="794"/>
      <c r="E433" s="794"/>
      <c r="F433" s="794"/>
      <c r="G433" s="794"/>
      <c r="H433" s="794"/>
      <c r="I433" s="794"/>
      <c r="J433" s="794"/>
      <c r="K433" s="794"/>
      <c r="L433" s="794"/>
      <c r="M433" s="794"/>
      <c r="N433" s="821"/>
      <c r="O433" s="216" t="s">
        <v>73</v>
      </c>
      <c r="P433" s="795" t="s">
        <v>193</v>
      </c>
      <c r="Q433" s="796"/>
    </row>
    <row r="434" spans="1:17" x14ac:dyDescent="0.15">
      <c r="A434" s="790"/>
      <c r="B434" s="791"/>
      <c r="C434" s="791"/>
      <c r="D434" s="791"/>
      <c r="E434" s="791"/>
      <c r="F434" s="791"/>
      <c r="G434" s="791"/>
      <c r="H434" s="791"/>
      <c r="I434" s="791"/>
      <c r="J434" s="791"/>
      <c r="K434" s="791"/>
      <c r="L434" s="791"/>
      <c r="M434" s="791"/>
      <c r="N434" s="791"/>
      <c r="O434" s="791"/>
      <c r="P434" s="791"/>
      <c r="Q434" s="792"/>
    </row>
    <row r="435" spans="1:17" s="126" customFormat="1" ht="12.75" customHeight="1" x14ac:dyDescent="0.15">
      <c r="A435" s="822" t="s">
        <v>150</v>
      </c>
      <c r="B435" s="823" t="s">
        <v>151</v>
      </c>
      <c r="C435" s="823"/>
      <c r="D435" s="825" t="s">
        <v>152</v>
      </c>
      <c r="E435" s="826"/>
      <c r="F435" s="826"/>
      <c r="G435" s="834"/>
      <c r="H435" s="802" t="s">
        <v>153</v>
      </c>
      <c r="I435" s="802" t="s">
        <v>242</v>
      </c>
      <c r="J435" s="804" t="s">
        <v>73</v>
      </c>
      <c r="K435" s="216" t="s">
        <v>154</v>
      </c>
      <c r="L435" s="123"/>
      <c r="M435" s="124"/>
      <c r="N435" s="124"/>
      <c r="O435" s="124"/>
      <c r="P435" s="124"/>
      <c r="Q435" s="125"/>
    </row>
    <row r="436" spans="1:17" s="130" customFormat="1" x14ac:dyDescent="0.15">
      <c r="A436" s="822"/>
      <c r="B436" s="823"/>
      <c r="C436" s="823"/>
      <c r="D436" s="220"/>
      <c r="E436" s="217" t="s">
        <v>155</v>
      </c>
      <c r="F436" s="217" t="s">
        <v>156</v>
      </c>
      <c r="G436" s="217" t="s">
        <v>269</v>
      </c>
      <c r="H436" s="803"/>
      <c r="I436" s="803"/>
      <c r="J436" s="805"/>
      <c r="K436" s="216" t="s">
        <v>158</v>
      </c>
      <c r="L436" s="127"/>
      <c r="M436" s="128"/>
      <c r="N436" s="128"/>
      <c r="O436" s="128"/>
      <c r="P436" s="128"/>
      <c r="Q436" s="129"/>
    </row>
    <row r="437" spans="1:17" ht="22.5" customHeight="1" x14ac:dyDescent="0.15">
      <c r="A437" s="131"/>
      <c r="B437" s="815" t="s">
        <v>1084</v>
      </c>
      <c r="C437" s="816"/>
      <c r="D437" s="219">
        <v>0</v>
      </c>
      <c r="E437" s="132">
        <v>9.3800000000000008</v>
      </c>
      <c r="F437" s="144">
        <v>0</v>
      </c>
      <c r="G437" s="144">
        <v>0</v>
      </c>
      <c r="H437" s="132">
        <v>4</v>
      </c>
      <c r="I437" s="132">
        <f>E437</f>
        <v>9.3800000000000008</v>
      </c>
      <c r="J437" s="144" t="s">
        <v>193</v>
      </c>
      <c r="K437" s="219">
        <f>I437*H437</f>
        <v>37.520000000000003</v>
      </c>
      <c r="L437" s="127"/>
      <c r="M437" s="128"/>
      <c r="N437" s="128"/>
      <c r="O437" s="128"/>
      <c r="P437" s="128"/>
      <c r="Q437" s="129"/>
    </row>
    <row r="438" spans="1:17" ht="22.5" customHeight="1" x14ac:dyDescent="0.15">
      <c r="A438" s="131"/>
      <c r="B438" s="815" t="s">
        <v>1085</v>
      </c>
      <c r="C438" s="816"/>
      <c r="D438" s="219">
        <v>0</v>
      </c>
      <c r="E438" s="132">
        <v>10.88</v>
      </c>
      <c r="F438" s="144">
        <v>0</v>
      </c>
      <c r="G438" s="144">
        <v>0</v>
      </c>
      <c r="H438" s="132">
        <v>4</v>
      </c>
      <c r="I438" s="132">
        <f>E438</f>
        <v>10.88</v>
      </c>
      <c r="J438" s="144" t="s">
        <v>193</v>
      </c>
      <c r="K438" s="219">
        <f>I438*H438</f>
        <v>43.52</v>
      </c>
      <c r="L438" s="127"/>
      <c r="M438" s="128"/>
      <c r="N438" s="128"/>
      <c r="O438" s="128"/>
      <c r="P438" s="128"/>
      <c r="Q438" s="129"/>
    </row>
    <row r="439" spans="1:17" ht="14" x14ac:dyDescent="0.15">
      <c r="A439" s="795" t="s">
        <v>149</v>
      </c>
      <c r="B439" s="817"/>
      <c r="C439" s="817"/>
      <c r="D439" s="817"/>
      <c r="E439" s="817"/>
      <c r="F439" s="817"/>
      <c r="G439" s="817"/>
      <c r="H439" s="817"/>
      <c r="I439" s="817"/>
      <c r="J439" s="796"/>
      <c r="K439" s="418">
        <f>SUM(K437:K438)</f>
        <v>81.040000000000006</v>
      </c>
      <c r="L439" s="134"/>
      <c r="M439" s="135"/>
      <c r="N439" s="135"/>
      <c r="O439" s="135"/>
      <c r="P439" s="135"/>
      <c r="Q439" s="136"/>
    </row>
    <row r="440" spans="1:17" x14ac:dyDescent="0.15">
      <c r="A440" s="790"/>
      <c r="B440" s="791"/>
      <c r="C440" s="791"/>
      <c r="D440" s="791"/>
      <c r="E440" s="791"/>
      <c r="F440" s="791"/>
      <c r="G440" s="791"/>
      <c r="H440" s="791"/>
      <c r="I440" s="791"/>
      <c r="J440" s="791"/>
      <c r="K440" s="791"/>
      <c r="L440" s="791"/>
      <c r="M440" s="791"/>
      <c r="N440" s="791"/>
      <c r="O440" s="791"/>
      <c r="P440" s="791"/>
      <c r="Q440" s="792"/>
    </row>
    <row r="441" spans="1:17" s="121" customFormat="1" ht="18" customHeight="1" x14ac:dyDescent="0.15">
      <c r="A441" s="218" t="s">
        <v>0</v>
      </c>
      <c r="B441" s="793" t="s">
        <v>1058</v>
      </c>
      <c r="C441" s="794"/>
      <c r="D441" s="794"/>
      <c r="E441" s="794"/>
      <c r="F441" s="794"/>
      <c r="G441" s="794"/>
      <c r="H441" s="794"/>
      <c r="I441" s="794"/>
      <c r="J441" s="794"/>
      <c r="K441" s="794"/>
      <c r="L441" s="794"/>
      <c r="M441" s="794"/>
      <c r="N441" s="821"/>
      <c r="O441" s="216" t="s">
        <v>73</v>
      </c>
      <c r="P441" s="795" t="s">
        <v>5</v>
      </c>
      <c r="Q441" s="796"/>
    </row>
    <row r="442" spans="1:17" x14ac:dyDescent="0.15">
      <c r="A442" s="790"/>
      <c r="B442" s="791"/>
      <c r="C442" s="791"/>
      <c r="D442" s="791"/>
      <c r="E442" s="791"/>
      <c r="F442" s="791"/>
      <c r="G442" s="791"/>
      <c r="H442" s="791"/>
      <c r="I442" s="791"/>
      <c r="J442" s="791"/>
      <c r="K442" s="791"/>
      <c r="L442" s="791"/>
      <c r="M442" s="791"/>
      <c r="N442" s="791"/>
      <c r="O442" s="791"/>
      <c r="P442" s="791"/>
      <c r="Q442" s="122"/>
    </row>
    <row r="443" spans="1:17" s="126" customFormat="1" ht="12.75" customHeight="1" x14ac:dyDescent="0.15">
      <c r="A443" s="822" t="s">
        <v>150</v>
      </c>
      <c r="B443" s="823" t="s">
        <v>151</v>
      </c>
      <c r="C443" s="823"/>
      <c r="D443" s="832" t="s">
        <v>241</v>
      </c>
      <c r="E443" s="823" t="s">
        <v>152</v>
      </c>
      <c r="F443" s="823"/>
      <c r="G443" s="823"/>
      <c r="H443" s="802" t="s">
        <v>153</v>
      </c>
      <c r="I443" s="802" t="s">
        <v>159</v>
      </c>
      <c r="J443" s="804" t="s">
        <v>73</v>
      </c>
      <c r="K443" s="216" t="s">
        <v>154</v>
      </c>
      <c r="L443" s="123"/>
      <c r="M443" s="124"/>
      <c r="N443" s="124"/>
      <c r="O443" s="124"/>
      <c r="P443" s="124"/>
      <c r="Q443" s="125"/>
    </row>
    <row r="444" spans="1:17" s="130" customFormat="1" ht="14" x14ac:dyDescent="0.15">
      <c r="A444" s="822"/>
      <c r="B444" s="823"/>
      <c r="C444" s="823"/>
      <c r="D444" s="833"/>
      <c r="E444" s="217" t="s">
        <v>155</v>
      </c>
      <c r="F444" s="220" t="s">
        <v>572</v>
      </c>
      <c r="G444" s="217" t="s">
        <v>157</v>
      </c>
      <c r="H444" s="803"/>
      <c r="I444" s="803"/>
      <c r="J444" s="805"/>
      <c r="K444" s="216" t="s">
        <v>158</v>
      </c>
      <c r="L444" s="127"/>
      <c r="M444" s="128"/>
      <c r="N444" s="128"/>
      <c r="O444" s="128"/>
      <c r="P444" s="128"/>
      <c r="Q444" s="129"/>
    </row>
    <row r="445" spans="1:17" ht="22.5" customHeight="1" x14ac:dyDescent="0.15">
      <c r="A445" s="131"/>
      <c r="B445" s="815" t="s">
        <v>1059</v>
      </c>
      <c r="C445" s="816"/>
      <c r="D445" s="219">
        <v>93.85</v>
      </c>
      <c r="E445" s="132">
        <v>0</v>
      </c>
      <c r="F445" s="144">
        <v>0</v>
      </c>
      <c r="G445" s="144">
        <v>0</v>
      </c>
      <c r="H445" s="132">
        <v>1</v>
      </c>
      <c r="I445" s="132">
        <f>D445</f>
        <v>93.85</v>
      </c>
      <c r="J445" s="144" t="s">
        <v>5</v>
      </c>
      <c r="K445" s="219">
        <f>I445*H445</f>
        <v>93.85</v>
      </c>
      <c r="L445" s="127"/>
      <c r="M445" s="128"/>
      <c r="N445" s="128"/>
      <c r="O445" s="128"/>
      <c r="P445" s="128"/>
      <c r="Q445" s="129"/>
    </row>
    <row r="446" spans="1:17" ht="14" x14ac:dyDescent="0.15">
      <c r="A446" s="795" t="s">
        <v>149</v>
      </c>
      <c r="B446" s="817"/>
      <c r="C446" s="817"/>
      <c r="D446" s="817"/>
      <c r="E446" s="817"/>
      <c r="F446" s="817"/>
      <c r="G446" s="817"/>
      <c r="H446" s="817"/>
      <c r="I446" s="817"/>
      <c r="J446" s="796"/>
      <c r="K446" s="418">
        <f>SUM(K445)</f>
        <v>93.85</v>
      </c>
      <c r="L446" s="134"/>
      <c r="M446" s="135"/>
      <c r="N446" s="135"/>
      <c r="O446" s="135"/>
      <c r="P446" s="135"/>
      <c r="Q446" s="136"/>
    </row>
    <row r="447" spans="1:17" x14ac:dyDescent="0.15">
      <c r="A447" s="790"/>
      <c r="B447" s="791"/>
      <c r="C447" s="791"/>
      <c r="D447" s="791"/>
      <c r="E447" s="791"/>
      <c r="F447" s="791"/>
      <c r="G447" s="791"/>
      <c r="H447" s="791"/>
      <c r="I447" s="791"/>
      <c r="J447" s="791"/>
      <c r="K447" s="791"/>
      <c r="L447" s="791"/>
      <c r="M447" s="791"/>
      <c r="N447" s="791"/>
      <c r="O447" s="791"/>
      <c r="P447" s="791"/>
      <c r="Q447" s="792"/>
    </row>
    <row r="448" spans="1:17" s="121" customFormat="1" ht="18" customHeight="1" x14ac:dyDescent="0.15">
      <c r="A448" s="218" t="s">
        <v>0</v>
      </c>
      <c r="B448" s="793" t="s">
        <v>1382</v>
      </c>
      <c r="C448" s="794"/>
      <c r="D448" s="794"/>
      <c r="E448" s="794"/>
      <c r="F448" s="794"/>
      <c r="G448" s="794"/>
      <c r="H448" s="794"/>
      <c r="I448" s="794"/>
      <c r="J448" s="794"/>
      <c r="K448" s="794"/>
      <c r="L448" s="794"/>
      <c r="M448" s="794"/>
      <c r="N448" s="821"/>
      <c r="O448" s="216" t="s">
        <v>73</v>
      </c>
      <c r="P448" s="795" t="s">
        <v>5</v>
      </c>
      <c r="Q448" s="796"/>
    </row>
    <row r="449" spans="1:17" x14ac:dyDescent="0.15">
      <c r="A449" s="790"/>
      <c r="B449" s="791"/>
      <c r="C449" s="791"/>
      <c r="D449" s="791"/>
      <c r="E449" s="791"/>
      <c r="F449" s="791"/>
      <c r="G449" s="791"/>
      <c r="H449" s="791"/>
      <c r="I449" s="791"/>
      <c r="J449" s="791"/>
      <c r="K449" s="791"/>
      <c r="L449" s="791"/>
      <c r="M449" s="791"/>
      <c r="N449" s="791"/>
      <c r="O449" s="791"/>
      <c r="P449" s="791"/>
      <c r="Q449" s="122"/>
    </row>
    <row r="450" spans="1:17" s="126" customFormat="1" ht="12.75" customHeight="1" x14ac:dyDescent="0.15">
      <c r="A450" s="822" t="s">
        <v>150</v>
      </c>
      <c r="B450" s="823" t="s">
        <v>151</v>
      </c>
      <c r="C450" s="823"/>
      <c r="D450" s="832" t="s">
        <v>241</v>
      </c>
      <c r="E450" s="823" t="s">
        <v>152</v>
      </c>
      <c r="F450" s="823"/>
      <c r="G450" s="823"/>
      <c r="H450" s="802" t="s">
        <v>153</v>
      </c>
      <c r="I450" s="802" t="s">
        <v>159</v>
      </c>
      <c r="J450" s="804" t="s">
        <v>73</v>
      </c>
      <c r="K450" s="216" t="s">
        <v>154</v>
      </c>
      <c r="L450" s="123"/>
      <c r="M450" s="124"/>
      <c r="N450" s="124"/>
      <c r="O450" s="124"/>
      <c r="P450" s="124"/>
      <c r="Q450" s="125"/>
    </row>
    <row r="451" spans="1:17" s="130" customFormat="1" ht="14" x14ac:dyDescent="0.15">
      <c r="A451" s="822"/>
      <c r="B451" s="823"/>
      <c r="C451" s="823"/>
      <c r="D451" s="833"/>
      <c r="E451" s="217" t="s">
        <v>155</v>
      </c>
      <c r="F451" s="220" t="s">
        <v>572</v>
      </c>
      <c r="G451" s="217" t="s">
        <v>157</v>
      </c>
      <c r="H451" s="803"/>
      <c r="I451" s="803"/>
      <c r="J451" s="805"/>
      <c r="K451" s="216" t="s">
        <v>158</v>
      </c>
      <c r="L451" s="127"/>
      <c r="M451" s="128"/>
      <c r="N451" s="128"/>
      <c r="O451" s="128"/>
      <c r="P451" s="128"/>
      <c r="Q451" s="129"/>
    </row>
    <row r="452" spans="1:17" ht="22.5" customHeight="1" x14ac:dyDescent="0.15">
      <c r="A452" s="131"/>
      <c r="B452" s="815" t="s">
        <v>1156</v>
      </c>
      <c r="C452" s="816"/>
      <c r="D452" s="219">
        <v>0</v>
      </c>
      <c r="E452" s="132">
        <v>4.6399999999999997</v>
      </c>
      <c r="F452" s="144">
        <v>2.2200000000000002</v>
      </c>
      <c r="G452" s="144">
        <v>0</v>
      </c>
      <c r="H452" s="132">
        <v>1</v>
      </c>
      <c r="I452" s="132">
        <f>E452*F452</f>
        <v>10.300800000000001</v>
      </c>
      <c r="J452" s="144" t="s">
        <v>5</v>
      </c>
      <c r="K452" s="219">
        <f>I452*H452</f>
        <v>10.300800000000001</v>
      </c>
      <c r="L452" s="127"/>
      <c r="M452" s="128"/>
      <c r="N452" s="128"/>
      <c r="O452" s="128"/>
      <c r="P452" s="128"/>
      <c r="Q452" s="129"/>
    </row>
    <row r="453" spans="1:17" ht="14" x14ac:dyDescent="0.15">
      <c r="A453" s="795" t="s">
        <v>149</v>
      </c>
      <c r="B453" s="817"/>
      <c r="C453" s="817"/>
      <c r="D453" s="817"/>
      <c r="E453" s="817"/>
      <c r="F453" s="817"/>
      <c r="G453" s="817"/>
      <c r="H453" s="817"/>
      <c r="I453" s="817"/>
      <c r="J453" s="796"/>
      <c r="K453" s="418">
        <f>SUM(K452)</f>
        <v>10.300800000000001</v>
      </c>
      <c r="L453" s="134"/>
      <c r="M453" s="135"/>
      <c r="N453" s="135"/>
      <c r="O453" s="135"/>
      <c r="P453" s="135"/>
      <c r="Q453" s="136"/>
    </row>
    <row r="454" spans="1:17" x14ac:dyDescent="0.15">
      <c r="A454" s="790"/>
      <c r="B454" s="791"/>
      <c r="C454" s="791"/>
      <c r="D454" s="791"/>
      <c r="E454" s="791"/>
      <c r="F454" s="791"/>
      <c r="G454" s="791"/>
      <c r="H454" s="791"/>
      <c r="I454" s="791"/>
      <c r="J454" s="791"/>
      <c r="K454" s="791"/>
      <c r="L454" s="791"/>
      <c r="M454" s="791"/>
      <c r="N454" s="791"/>
      <c r="O454" s="791"/>
      <c r="P454" s="791"/>
      <c r="Q454" s="792"/>
    </row>
    <row r="455" spans="1:17" s="121" customFormat="1" ht="18" customHeight="1" x14ac:dyDescent="0.15">
      <c r="A455" s="218" t="s">
        <v>0</v>
      </c>
      <c r="B455" s="838" t="s">
        <v>1219</v>
      </c>
      <c r="C455" s="839"/>
      <c r="D455" s="839"/>
      <c r="E455" s="839"/>
      <c r="F455" s="839"/>
      <c r="G455" s="839"/>
      <c r="H455" s="839"/>
      <c r="I455" s="839"/>
      <c r="J455" s="839"/>
      <c r="K455" s="839"/>
      <c r="L455" s="839"/>
      <c r="M455" s="839"/>
      <c r="N455" s="839"/>
      <c r="O455" s="216" t="s">
        <v>73</v>
      </c>
      <c r="P455" s="795" t="s">
        <v>319</v>
      </c>
      <c r="Q455" s="796"/>
    </row>
    <row r="456" spans="1:17" x14ac:dyDescent="0.15">
      <c r="A456" s="790"/>
      <c r="B456" s="791"/>
      <c r="C456" s="791"/>
      <c r="D456" s="791"/>
      <c r="E456" s="791"/>
      <c r="F456" s="791"/>
      <c r="G456" s="791"/>
      <c r="H456" s="791"/>
      <c r="I456" s="791"/>
      <c r="J456" s="791"/>
      <c r="K456" s="791"/>
      <c r="L456" s="791"/>
      <c r="M456" s="791"/>
      <c r="N456" s="791"/>
      <c r="O456" s="791"/>
      <c r="P456" s="791"/>
      <c r="Q456" s="792"/>
    </row>
    <row r="457" spans="1:17" s="126" customFormat="1" ht="12.75" customHeight="1" x14ac:dyDescent="0.15">
      <c r="A457" s="802" t="s">
        <v>150</v>
      </c>
      <c r="B457" s="848" t="s">
        <v>151</v>
      </c>
      <c r="C457" s="849"/>
      <c r="D457" s="802"/>
      <c r="E457" s="825" t="s">
        <v>152</v>
      </c>
      <c r="F457" s="826"/>
      <c r="G457" s="834"/>
      <c r="H457" s="802" t="s">
        <v>153</v>
      </c>
      <c r="I457" s="802" t="s">
        <v>479</v>
      </c>
      <c r="J457" s="804" t="s">
        <v>73</v>
      </c>
      <c r="K457" s="216" t="s">
        <v>154</v>
      </c>
      <c r="L457" s="123"/>
      <c r="M457" s="124"/>
      <c r="N457" s="124"/>
      <c r="O457" s="124"/>
      <c r="P457" s="124"/>
      <c r="Q457" s="125"/>
    </row>
    <row r="458" spans="1:17" s="130" customFormat="1" x14ac:dyDescent="0.15">
      <c r="A458" s="803"/>
      <c r="B458" s="850"/>
      <c r="C458" s="851"/>
      <c r="D458" s="803"/>
      <c r="E458" s="217" t="s">
        <v>155</v>
      </c>
      <c r="F458" s="217" t="s">
        <v>156</v>
      </c>
      <c r="G458" s="217" t="s">
        <v>157</v>
      </c>
      <c r="H458" s="803"/>
      <c r="I458" s="803"/>
      <c r="J458" s="805"/>
      <c r="K458" s="216" t="s">
        <v>158</v>
      </c>
      <c r="L458" s="127"/>
      <c r="M458" s="128"/>
      <c r="N458" s="128"/>
      <c r="O458" s="128"/>
      <c r="P458" s="128"/>
      <c r="Q458" s="129"/>
    </row>
    <row r="459" spans="1:17" ht="17.25" customHeight="1" x14ac:dyDescent="0.15">
      <c r="A459" s="148"/>
      <c r="B459" s="788" t="s">
        <v>1225</v>
      </c>
      <c r="C459" s="789"/>
      <c r="D459" s="149"/>
      <c r="E459" s="143">
        <v>0</v>
      </c>
      <c r="F459" s="143">
        <v>0</v>
      </c>
      <c r="G459" s="143">
        <v>0</v>
      </c>
      <c r="H459" s="143">
        <v>2</v>
      </c>
      <c r="I459" s="143">
        <f>H459</f>
        <v>2</v>
      </c>
      <c r="J459" s="133" t="s">
        <v>319</v>
      </c>
      <c r="K459" s="143">
        <f>I459</f>
        <v>2</v>
      </c>
      <c r="L459" s="127"/>
      <c r="M459" s="128"/>
      <c r="N459" s="128"/>
      <c r="O459" s="128"/>
      <c r="P459" s="128"/>
      <c r="Q459" s="129"/>
    </row>
    <row r="460" spans="1:17" ht="14" x14ac:dyDescent="0.15">
      <c r="A460" s="795" t="s">
        <v>149</v>
      </c>
      <c r="B460" s="817"/>
      <c r="C460" s="817"/>
      <c r="D460" s="817"/>
      <c r="E460" s="817"/>
      <c r="F460" s="817"/>
      <c r="G460" s="817"/>
      <c r="H460" s="817"/>
      <c r="I460" s="817"/>
      <c r="J460" s="796"/>
      <c r="K460" s="418">
        <f>SUM(K459:K459)</f>
        <v>2</v>
      </c>
      <c r="L460" s="134"/>
      <c r="M460" s="135"/>
      <c r="N460" s="135"/>
      <c r="O460" s="135"/>
      <c r="P460" s="135"/>
      <c r="Q460" s="136"/>
    </row>
    <row r="461" spans="1:17" x14ac:dyDescent="0.15">
      <c r="A461" s="790"/>
      <c r="B461" s="791"/>
      <c r="C461" s="791"/>
      <c r="D461" s="791"/>
      <c r="E461" s="791"/>
      <c r="F461" s="791"/>
      <c r="G461" s="791"/>
      <c r="H461" s="791"/>
      <c r="I461" s="791"/>
      <c r="J461" s="791"/>
      <c r="K461" s="791"/>
      <c r="L461" s="791"/>
      <c r="M461" s="791"/>
      <c r="N461" s="791"/>
      <c r="O461" s="791"/>
      <c r="P461" s="791"/>
      <c r="Q461" s="792"/>
    </row>
    <row r="462" spans="1:17" s="121" customFormat="1" ht="18" customHeight="1" x14ac:dyDescent="0.15">
      <c r="A462" s="218" t="s">
        <v>0</v>
      </c>
      <c r="B462" s="838" t="s">
        <v>1220</v>
      </c>
      <c r="C462" s="839"/>
      <c r="D462" s="839"/>
      <c r="E462" s="839"/>
      <c r="F462" s="839"/>
      <c r="G462" s="839"/>
      <c r="H462" s="839"/>
      <c r="I462" s="839"/>
      <c r="J462" s="839"/>
      <c r="K462" s="839"/>
      <c r="L462" s="839"/>
      <c r="M462" s="839"/>
      <c r="N462" s="839"/>
      <c r="O462" s="216" t="s">
        <v>73</v>
      </c>
      <c r="P462" s="795" t="s">
        <v>5</v>
      </c>
      <c r="Q462" s="796"/>
    </row>
    <row r="463" spans="1:17" x14ac:dyDescent="0.15">
      <c r="A463" s="790"/>
      <c r="B463" s="791"/>
      <c r="C463" s="791"/>
      <c r="D463" s="791"/>
      <c r="E463" s="791"/>
      <c r="F463" s="791"/>
      <c r="G463" s="791"/>
      <c r="H463" s="791"/>
      <c r="I463" s="791"/>
      <c r="J463" s="791"/>
      <c r="K463" s="791"/>
      <c r="L463" s="791"/>
      <c r="M463" s="791"/>
      <c r="N463" s="791"/>
      <c r="O463" s="791"/>
      <c r="P463" s="791"/>
      <c r="Q463" s="792"/>
    </row>
    <row r="464" spans="1:17" s="126" customFormat="1" ht="12.75" customHeight="1" x14ac:dyDescent="0.15">
      <c r="A464" s="802" t="s">
        <v>150</v>
      </c>
      <c r="B464" s="848" t="s">
        <v>151</v>
      </c>
      <c r="C464" s="849"/>
      <c r="D464" s="802"/>
      <c r="E464" s="825" t="s">
        <v>152</v>
      </c>
      <c r="F464" s="826"/>
      <c r="G464" s="834"/>
      <c r="H464" s="802" t="s">
        <v>153</v>
      </c>
      <c r="I464" s="802" t="s">
        <v>159</v>
      </c>
      <c r="J464" s="804" t="s">
        <v>73</v>
      </c>
      <c r="K464" s="216" t="s">
        <v>154</v>
      </c>
      <c r="L464" s="123"/>
      <c r="M464" s="124"/>
      <c r="N464" s="124"/>
      <c r="O464" s="124"/>
      <c r="P464" s="124"/>
      <c r="Q464" s="125"/>
    </row>
    <row r="465" spans="1:17" s="130" customFormat="1" x14ac:dyDescent="0.15">
      <c r="A465" s="803"/>
      <c r="B465" s="850"/>
      <c r="C465" s="851"/>
      <c r="D465" s="803"/>
      <c r="E465" s="217" t="s">
        <v>155</v>
      </c>
      <c r="F465" s="217" t="s">
        <v>156</v>
      </c>
      <c r="G465" s="217" t="s">
        <v>157</v>
      </c>
      <c r="H465" s="803"/>
      <c r="I465" s="803"/>
      <c r="J465" s="805"/>
      <c r="K465" s="216" t="s">
        <v>158</v>
      </c>
      <c r="L465" s="127"/>
      <c r="M465" s="128"/>
      <c r="N465" s="128"/>
      <c r="O465" s="128"/>
      <c r="P465" s="128"/>
      <c r="Q465" s="129"/>
    </row>
    <row r="466" spans="1:17" ht="17.25" customHeight="1" x14ac:dyDescent="0.15">
      <c r="A466" s="148"/>
      <c r="B466" s="788" t="s">
        <v>1119</v>
      </c>
      <c r="C466" s="789"/>
      <c r="D466" s="149"/>
      <c r="E466" s="143">
        <v>0.95</v>
      </c>
      <c r="F466" s="143">
        <v>0</v>
      </c>
      <c r="G466" s="143">
        <v>2</v>
      </c>
      <c r="H466" s="143">
        <v>7</v>
      </c>
      <c r="I466" s="143">
        <f>E466*G466</f>
        <v>1.9</v>
      </c>
      <c r="J466" s="133" t="s">
        <v>5</v>
      </c>
      <c r="K466" s="143">
        <f>I466*H466</f>
        <v>13.299999999999999</v>
      </c>
      <c r="L466" s="127"/>
      <c r="M466" s="128"/>
      <c r="N466" s="128"/>
      <c r="O466" s="128"/>
      <c r="P466" s="128"/>
      <c r="Q466" s="129"/>
    </row>
    <row r="467" spans="1:17" ht="14" x14ac:dyDescent="0.15">
      <c r="A467" s="795" t="s">
        <v>149</v>
      </c>
      <c r="B467" s="817"/>
      <c r="C467" s="817"/>
      <c r="D467" s="817"/>
      <c r="E467" s="817"/>
      <c r="F467" s="817"/>
      <c r="G467" s="817"/>
      <c r="H467" s="817"/>
      <c r="I467" s="817"/>
      <c r="J467" s="796"/>
      <c r="K467" s="418">
        <f>SUM(K466:K466)</f>
        <v>13.299999999999999</v>
      </c>
      <c r="L467" s="134"/>
      <c r="M467" s="135"/>
      <c r="N467" s="135"/>
      <c r="O467" s="135"/>
      <c r="P467" s="135"/>
      <c r="Q467" s="136"/>
    </row>
    <row r="468" spans="1:17" x14ac:dyDescent="0.15">
      <c r="A468" s="790"/>
      <c r="B468" s="791"/>
      <c r="C468" s="791"/>
      <c r="D468" s="791"/>
      <c r="E468" s="791"/>
      <c r="F468" s="791"/>
      <c r="G468" s="791"/>
      <c r="H468" s="791"/>
      <c r="I468" s="791"/>
      <c r="J468" s="791"/>
      <c r="K468" s="791"/>
      <c r="L468" s="791"/>
      <c r="M468" s="791"/>
      <c r="N468" s="791"/>
      <c r="O468" s="791"/>
      <c r="P468" s="791"/>
      <c r="Q468" s="792"/>
    </row>
    <row r="469" spans="1:17" s="121" customFormat="1" ht="18" customHeight="1" x14ac:dyDescent="0.15">
      <c r="A469" s="218" t="s">
        <v>0</v>
      </c>
      <c r="B469" s="838" t="s">
        <v>1221</v>
      </c>
      <c r="C469" s="839"/>
      <c r="D469" s="839"/>
      <c r="E469" s="839"/>
      <c r="F469" s="839"/>
      <c r="G469" s="839"/>
      <c r="H469" s="839"/>
      <c r="I469" s="839"/>
      <c r="J469" s="839"/>
      <c r="K469" s="839"/>
      <c r="L469" s="839"/>
      <c r="M469" s="839"/>
      <c r="N469" s="839"/>
      <c r="O469" s="216" t="s">
        <v>73</v>
      </c>
      <c r="P469" s="795" t="s">
        <v>5</v>
      </c>
      <c r="Q469" s="796"/>
    </row>
    <row r="470" spans="1:17" x14ac:dyDescent="0.15">
      <c r="A470" s="790"/>
      <c r="B470" s="791"/>
      <c r="C470" s="791"/>
      <c r="D470" s="791"/>
      <c r="E470" s="791"/>
      <c r="F470" s="791"/>
      <c r="G470" s="791"/>
      <c r="H470" s="791"/>
      <c r="I470" s="791"/>
      <c r="J470" s="791"/>
      <c r="K470" s="791"/>
      <c r="L470" s="791"/>
      <c r="M470" s="791"/>
      <c r="N470" s="791"/>
      <c r="O470" s="791"/>
      <c r="P470" s="791"/>
      <c r="Q470" s="792"/>
    </row>
    <row r="471" spans="1:17" s="126" customFormat="1" x14ac:dyDescent="0.15">
      <c r="A471" s="822" t="s">
        <v>150</v>
      </c>
      <c r="B471" s="823" t="s">
        <v>151</v>
      </c>
      <c r="C471" s="823"/>
      <c r="D471" s="832" t="s">
        <v>246</v>
      </c>
      <c r="E471" s="823" t="s">
        <v>152</v>
      </c>
      <c r="F471" s="823"/>
      <c r="G471" s="823"/>
      <c r="H471" s="802" t="s">
        <v>153</v>
      </c>
      <c r="I471" s="802" t="s">
        <v>159</v>
      </c>
      <c r="J471" s="804" t="s">
        <v>73</v>
      </c>
      <c r="K471" s="216" t="s">
        <v>154</v>
      </c>
      <c r="L471" s="123"/>
      <c r="M471" s="124"/>
      <c r="N471" s="124"/>
      <c r="O471" s="124"/>
      <c r="P471" s="124"/>
      <c r="Q471" s="125"/>
    </row>
    <row r="472" spans="1:17" s="130" customFormat="1" x14ac:dyDescent="0.15">
      <c r="A472" s="822"/>
      <c r="B472" s="823"/>
      <c r="C472" s="823"/>
      <c r="D472" s="833"/>
      <c r="E472" s="217" t="s">
        <v>155</v>
      </c>
      <c r="F472" s="217" t="s">
        <v>156</v>
      </c>
      <c r="G472" s="217" t="s">
        <v>157</v>
      </c>
      <c r="H472" s="803"/>
      <c r="I472" s="803"/>
      <c r="J472" s="805"/>
      <c r="K472" s="216" t="s">
        <v>158</v>
      </c>
      <c r="L472" s="127"/>
      <c r="M472" s="128"/>
      <c r="N472" s="128"/>
      <c r="O472" s="128"/>
      <c r="P472" s="128"/>
      <c r="Q472" s="129"/>
    </row>
    <row r="473" spans="1:17" ht="21.75" customHeight="1" x14ac:dyDescent="0.15">
      <c r="A473" s="148"/>
      <c r="B473" s="788" t="s">
        <v>1183</v>
      </c>
      <c r="C473" s="789"/>
      <c r="D473" s="149"/>
      <c r="E473" s="143">
        <v>2</v>
      </c>
      <c r="F473" s="143">
        <v>0</v>
      </c>
      <c r="G473" s="143">
        <v>1</v>
      </c>
      <c r="H473" s="143">
        <v>2</v>
      </c>
      <c r="I473" s="143">
        <f>E473*G473</f>
        <v>2</v>
      </c>
      <c r="J473" s="133" t="s">
        <v>5</v>
      </c>
      <c r="K473" s="143">
        <f>I473*H473</f>
        <v>4</v>
      </c>
      <c r="L473" s="127"/>
      <c r="M473" s="128"/>
      <c r="N473" s="128"/>
      <c r="O473" s="128"/>
      <c r="P473" s="128"/>
      <c r="Q473" s="129"/>
    </row>
    <row r="474" spans="1:17" ht="21.75" customHeight="1" x14ac:dyDescent="0.15">
      <c r="A474" s="148"/>
      <c r="B474" s="788" t="s">
        <v>1223</v>
      </c>
      <c r="C474" s="789"/>
      <c r="D474" s="149"/>
      <c r="E474" s="143">
        <v>1</v>
      </c>
      <c r="F474" s="143">
        <v>0</v>
      </c>
      <c r="G474" s="143">
        <v>1</v>
      </c>
      <c r="H474" s="143">
        <v>1</v>
      </c>
      <c r="I474" s="143">
        <f t="shared" ref="I474:I475" si="59">E474*G474</f>
        <v>1</v>
      </c>
      <c r="J474" s="133" t="s">
        <v>5</v>
      </c>
      <c r="K474" s="143">
        <f>I474*H474</f>
        <v>1</v>
      </c>
      <c r="L474" s="127"/>
      <c r="M474" s="128"/>
      <c r="N474" s="128"/>
      <c r="O474" s="128"/>
      <c r="P474" s="128"/>
      <c r="Q474" s="129"/>
    </row>
    <row r="475" spans="1:17" ht="21.75" customHeight="1" x14ac:dyDescent="0.15">
      <c r="A475" s="148"/>
      <c r="B475" s="788" t="s">
        <v>1224</v>
      </c>
      <c r="C475" s="789"/>
      <c r="D475" s="149"/>
      <c r="E475" s="143">
        <v>1.2</v>
      </c>
      <c r="F475" s="143">
        <v>0</v>
      </c>
      <c r="G475" s="143">
        <v>1.2</v>
      </c>
      <c r="H475" s="143">
        <v>2</v>
      </c>
      <c r="I475" s="143">
        <f t="shared" si="59"/>
        <v>1.44</v>
      </c>
      <c r="J475" s="133" t="s">
        <v>5</v>
      </c>
      <c r="K475" s="143">
        <f>I475*H475</f>
        <v>2.88</v>
      </c>
      <c r="L475" s="127"/>
      <c r="M475" s="128"/>
      <c r="N475" s="128"/>
      <c r="O475" s="128"/>
      <c r="P475" s="128"/>
      <c r="Q475" s="129"/>
    </row>
    <row r="476" spans="1:17" ht="14" x14ac:dyDescent="0.15">
      <c r="A476" s="795" t="s">
        <v>149</v>
      </c>
      <c r="B476" s="817"/>
      <c r="C476" s="817"/>
      <c r="D476" s="817"/>
      <c r="E476" s="817"/>
      <c r="F476" s="817"/>
      <c r="G476" s="817"/>
      <c r="H476" s="817"/>
      <c r="I476" s="817"/>
      <c r="J476" s="796"/>
      <c r="K476" s="418">
        <f>SUM(K473:K475)</f>
        <v>7.88</v>
      </c>
      <c r="L476" s="134"/>
      <c r="M476" s="135"/>
      <c r="N476" s="135"/>
      <c r="O476" s="135"/>
      <c r="P476" s="135"/>
      <c r="Q476" s="136"/>
    </row>
    <row r="477" spans="1:17" x14ac:dyDescent="0.15">
      <c r="A477" s="790"/>
      <c r="B477" s="791"/>
      <c r="C477" s="791"/>
      <c r="D477" s="791"/>
      <c r="E477" s="791"/>
      <c r="F477" s="791"/>
      <c r="G477" s="791"/>
      <c r="H477" s="791"/>
      <c r="I477" s="791"/>
      <c r="J477" s="791"/>
      <c r="K477" s="791"/>
      <c r="L477" s="791"/>
      <c r="M477" s="791"/>
      <c r="N477" s="791"/>
      <c r="O477" s="791"/>
      <c r="P477" s="791"/>
      <c r="Q477" s="792"/>
    </row>
    <row r="478" spans="1:17" s="121" customFormat="1" ht="18" customHeight="1" x14ac:dyDescent="0.15">
      <c r="A478" s="218" t="s">
        <v>0</v>
      </c>
      <c r="B478" s="838" t="s">
        <v>1222</v>
      </c>
      <c r="C478" s="839"/>
      <c r="D478" s="839"/>
      <c r="E478" s="839"/>
      <c r="F478" s="839"/>
      <c r="G478" s="839"/>
      <c r="H478" s="839"/>
      <c r="I478" s="839"/>
      <c r="J478" s="839"/>
      <c r="K478" s="839"/>
      <c r="L478" s="839"/>
      <c r="M478" s="839"/>
      <c r="N478" s="839"/>
      <c r="O478" s="216" t="s">
        <v>73</v>
      </c>
      <c r="P478" s="795" t="s">
        <v>319</v>
      </c>
      <c r="Q478" s="796"/>
    </row>
    <row r="479" spans="1:17" x14ac:dyDescent="0.15">
      <c r="A479" s="790"/>
      <c r="B479" s="791"/>
      <c r="C479" s="791"/>
      <c r="D479" s="791"/>
      <c r="E479" s="791"/>
      <c r="F479" s="791"/>
      <c r="G479" s="791"/>
      <c r="H479" s="791"/>
      <c r="I479" s="791"/>
      <c r="J479" s="791"/>
      <c r="K479" s="791"/>
      <c r="L479" s="791"/>
      <c r="M479" s="791"/>
      <c r="N479" s="791"/>
      <c r="O479" s="791"/>
      <c r="P479" s="791"/>
      <c r="Q479" s="792"/>
    </row>
    <row r="480" spans="1:17" s="126" customFormat="1" ht="12.75" customHeight="1" x14ac:dyDescent="0.15">
      <c r="A480" s="802" t="s">
        <v>150</v>
      </c>
      <c r="B480" s="848" t="s">
        <v>151</v>
      </c>
      <c r="C480" s="849"/>
      <c r="D480" s="802"/>
      <c r="E480" s="825" t="s">
        <v>152</v>
      </c>
      <c r="F480" s="826"/>
      <c r="G480" s="834"/>
      <c r="H480" s="802" t="s">
        <v>153</v>
      </c>
      <c r="I480" s="802" t="s">
        <v>479</v>
      </c>
      <c r="J480" s="804" t="s">
        <v>73</v>
      </c>
      <c r="K480" s="216" t="s">
        <v>154</v>
      </c>
      <c r="L480" s="123"/>
      <c r="M480" s="124"/>
      <c r="N480" s="124"/>
      <c r="O480" s="124"/>
      <c r="P480" s="124"/>
      <c r="Q480" s="125"/>
    </row>
    <row r="481" spans="1:17" s="130" customFormat="1" x14ac:dyDescent="0.15">
      <c r="A481" s="803"/>
      <c r="B481" s="850"/>
      <c r="C481" s="851"/>
      <c r="D481" s="803"/>
      <c r="E481" s="217" t="s">
        <v>155</v>
      </c>
      <c r="F481" s="217" t="s">
        <v>156</v>
      </c>
      <c r="G481" s="217" t="s">
        <v>157</v>
      </c>
      <c r="H481" s="803"/>
      <c r="I481" s="803"/>
      <c r="J481" s="805"/>
      <c r="K481" s="216" t="s">
        <v>158</v>
      </c>
      <c r="L481" s="127"/>
      <c r="M481" s="128"/>
      <c r="N481" s="128"/>
      <c r="O481" s="128"/>
      <c r="P481" s="128"/>
      <c r="Q481" s="129"/>
    </row>
    <row r="482" spans="1:17" ht="27.75" customHeight="1" x14ac:dyDescent="0.15">
      <c r="A482" s="148"/>
      <c r="B482" s="815" t="s">
        <v>1160</v>
      </c>
      <c r="C482" s="816"/>
      <c r="D482" s="219">
        <v>0</v>
      </c>
      <c r="E482" s="132">
        <v>2.5</v>
      </c>
      <c r="F482" s="144">
        <v>2</v>
      </c>
      <c r="G482" s="144">
        <v>0</v>
      </c>
      <c r="H482" s="132">
        <v>1</v>
      </c>
      <c r="I482" s="143">
        <v>1</v>
      </c>
      <c r="J482" s="133" t="s">
        <v>319</v>
      </c>
      <c r="K482" s="143">
        <f t="shared" ref="K482" si="60">(I482*H482)-D482</f>
        <v>1</v>
      </c>
      <c r="L482" s="127"/>
      <c r="M482" s="128"/>
      <c r="N482" s="128"/>
      <c r="O482" s="128"/>
      <c r="P482" s="128"/>
      <c r="Q482" s="129"/>
    </row>
    <row r="483" spans="1:17" ht="14" x14ac:dyDescent="0.15">
      <c r="A483" s="795" t="s">
        <v>149</v>
      </c>
      <c r="B483" s="817"/>
      <c r="C483" s="817"/>
      <c r="D483" s="817"/>
      <c r="E483" s="817"/>
      <c r="F483" s="817"/>
      <c r="G483" s="817"/>
      <c r="H483" s="817"/>
      <c r="I483" s="817"/>
      <c r="J483" s="796"/>
      <c r="K483" s="418">
        <f>SUM(K482:K482)</f>
        <v>1</v>
      </c>
      <c r="L483" s="134"/>
      <c r="M483" s="135"/>
      <c r="N483" s="135"/>
      <c r="O483" s="135"/>
      <c r="P483" s="135"/>
      <c r="Q483" s="136"/>
    </row>
    <row r="484" spans="1:17" x14ac:dyDescent="0.15">
      <c r="A484" s="790"/>
      <c r="B484" s="791"/>
      <c r="C484" s="791"/>
      <c r="D484" s="791"/>
      <c r="E484" s="791"/>
      <c r="F484" s="791"/>
      <c r="G484" s="791"/>
      <c r="H484" s="791"/>
      <c r="I484" s="791"/>
      <c r="J484" s="791"/>
      <c r="K484" s="791"/>
      <c r="L484" s="791"/>
      <c r="M484" s="791"/>
      <c r="N484" s="791"/>
      <c r="O484" s="791"/>
      <c r="P484" s="791"/>
      <c r="Q484" s="792"/>
    </row>
    <row r="485" spans="1:17" s="121" customFormat="1" ht="18" customHeight="1" x14ac:dyDescent="0.15">
      <c r="A485" s="218" t="s">
        <v>0</v>
      </c>
      <c r="B485" s="830" t="s">
        <v>1063</v>
      </c>
      <c r="C485" s="831"/>
      <c r="D485" s="831"/>
      <c r="E485" s="831"/>
      <c r="F485" s="831"/>
      <c r="G485" s="831"/>
      <c r="H485" s="831"/>
      <c r="I485" s="831"/>
      <c r="J485" s="831"/>
      <c r="K485" s="831"/>
      <c r="L485" s="831"/>
      <c r="M485" s="831"/>
      <c r="N485" s="831"/>
      <c r="O485" s="216" t="s">
        <v>73</v>
      </c>
      <c r="P485" s="795" t="s">
        <v>319</v>
      </c>
      <c r="Q485" s="796"/>
    </row>
    <row r="486" spans="1:17" x14ac:dyDescent="0.15">
      <c r="A486" s="790"/>
      <c r="B486" s="791"/>
      <c r="C486" s="791"/>
      <c r="D486" s="791"/>
      <c r="E486" s="791"/>
      <c r="F486" s="791"/>
      <c r="G486" s="791"/>
      <c r="H486" s="791"/>
      <c r="I486" s="791"/>
      <c r="J486" s="791"/>
      <c r="K486" s="791"/>
      <c r="L486" s="791"/>
      <c r="M486" s="791"/>
      <c r="N486" s="791"/>
      <c r="O486" s="791"/>
      <c r="P486" s="791"/>
      <c r="Q486" s="792"/>
    </row>
    <row r="487" spans="1:17" s="126" customFormat="1" x14ac:dyDescent="0.15">
      <c r="A487" s="822" t="s">
        <v>150</v>
      </c>
      <c r="B487" s="823" t="s">
        <v>151</v>
      </c>
      <c r="C487" s="823"/>
      <c r="D487" s="802"/>
      <c r="E487" s="823" t="s">
        <v>152</v>
      </c>
      <c r="F487" s="823"/>
      <c r="G487" s="823"/>
      <c r="H487" s="802" t="s">
        <v>153</v>
      </c>
      <c r="I487" s="802" t="s">
        <v>479</v>
      </c>
      <c r="J487" s="804" t="s">
        <v>73</v>
      </c>
      <c r="K487" s="216" t="s">
        <v>154</v>
      </c>
      <c r="L487" s="123"/>
      <c r="M487" s="124"/>
      <c r="N487" s="124"/>
      <c r="O487" s="124"/>
      <c r="P487" s="124"/>
      <c r="Q487" s="125"/>
    </row>
    <row r="488" spans="1:17" s="130" customFormat="1" x14ac:dyDescent="0.15">
      <c r="A488" s="822"/>
      <c r="B488" s="823"/>
      <c r="C488" s="823"/>
      <c r="D488" s="803"/>
      <c r="E488" s="217" t="s">
        <v>155</v>
      </c>
      <c r="F488" s="217" t="s">
        <v>156</v>
      </c>
      <c r="G488" s="217" t="s">
        <v>157</v>
      </c>
      <c r="H488" s="803"/>
      <c r="I488" s="803"/>
      <c r="J488" s="805"/>
      <c r="K488" s="216" t="s">
        <v>158</v>
      </c>
      <c r="L488" s="127"/>
      <c r="M488" s="128"/>
      <c r="N488" s="128"/>
      <c r="O488" s="128"/>
      <c r="P488" s="128"/>
      <c r="Q488" s="129"/>
    </row>
    <row r="489" spans="1:17" ht="26.25" customHeight="1" x14ac:dyDescent="0.15">
      <c r="A489" s="148"/>
      <c r="B489" s="788" t="s">
        <v>1064</v>
      </c>
      <c r="C489" s="789"/>
      <c r="D489" s="143"/>
      <c r="E489" s="143">
        <v>0</v>
      </c>
      <c r="F489" s="143">
        <v>0</v>
      </c>
      <c r="G489" s="143">
        <v>0</v>
      </c>
      <c r="H489" s="143">
        <v>4</v>
      </c>
      <c r="I489" s="143">
        <v>4</v>
      </c>
      <c r="J489" s="133" t="s">
        <v>319</v>
      </c>
      <c r="K489" s="143">
        <f>I489</f>
        <v>4</v>
      </c>
      <c r="L489" s="127"/>
      <c r="M489" s="128"/>
      <c r="N489" s="128"/>
      <c r="O489" s="128"/>
      <c r="P489" s="128"/>
      <c r="Q489" s="129"/>
    </row>
    <row r="490" spans="1:17" ht="14" x14ac:dyDescent="0.15">
      <c r="A490" s="795" t="s">
        <v>149</v>
      </c>
      <c r="B490" s="817"/>
      <c r="C490" s="817"/>
      <c r="D490" s="817"/>
      <c r="E490" s="817"/>
      <c r="F490" s="817"/>
      <c r="G490" s="817"/>
      <c r="H490" s="817"/>
      <c r="I490" s="817"/>
      <c r="J490" s="796"/>
      <c r="K490" s="143">
        <f>SUM(K489:K489)</f>
        <v>4</v>
      </c>
      <c r="L490" s="134"/>
      <c r="M490" s="135"/>
      <c r="N490" s="135"/>
      <c r="O490" s="135"/>
      <c r="P490" s="135"/>
      <c r="Q490" s="136"/>
    </row>
    <row r="491" spans="1:17" x14ac:dyDescent="0.15">
      <c r="A491" s="790"/>
      <c r="B491" s="791"/>
      <c r="C491" s="791"/>
      <c r="D491" s="791"/>
      <c r="E491" s="791"/>
      <c r="F491" s="791"/>
      <c r="G491" s="791"/>
      <c r="H491" s="791"/>
      <c r="I491" s="791"/>
      <c r="J491" s="791"/>
      <c r="K491" s="791"/>
      <c r="L491" s="791"/>
      <c r="M491" s="791"/>
      <c r="N491" s="791"/>
      <c r="O491" s="791"/>
      <c r="P491" s="791"/>
      <c r="Q491" s="792"/>
    </row>
    <row r="492" spans="1:17" s="121" customFormat="1" ht="18" customHeight="1" x14ac:dyDescent="0.15">
      <c r="A492" s="218" t="s">
        <v>0</v>
      </c>
      <c r="B492" s="830" t="s">
        <v>1136</v>
      </c>
      <c r="C492" s="831"/>
      <c r="D492" s="831"/>
      <c r="E492" s="831"/>
      <c r="F492" s="831"/>
      <c r="G492" s="831"/>
      <c r="H492" s="831"/>
      <c r="I492" s="831"/>
      <c r="J492" s="831"/>
      <c r="K492" s="831"/>
      <c r="L492" s="831"/>
      <c r="M492" s="831"/>
      <c r="N492" s="831"/>
      <c r="O492" s="216" t="s">
        <v>73</v>
      </c>
      <c r="P492" s="795" t="s">
        <v>5</v>
      </c>
      <c r="Q492" s="796"/>
    </row>
    <row r="493" spans="1:17" x14ac:dyDescent="0.15">
      <c r="A493" s="790"/>
      <c r="B493" s="791"/>
      <c r="C493" s="791"/>
      <c r="D493" s="791"/>
      <c r="E493" s="791"/>
      <c r="F493" s="791"/>
      <c r="G493" s="791"/>
      <c r="H493" s="791"/>
      <c r="I493" s="791"/>
      <c r="J493" s="791"/>
      <c r="K493" s="791"/>
      <c r="L493" s="791"/>
      <c r="M493" s="791"/>
      <c r="N493" s="791"/>
      <c r="O493" s="791"/>
      <c r="P493" s="791"/>
      <c r="Q493" s="792"/>
    </row>
    <row r="494" spans="1:17" s="126" customFormat="1" x14ac:dyDescent="0.15">
      <c r="A494" s="822" t="s">
        <v>150</v>
      </c>
      <c r="B494" s="823" t="s">
        <v>151</v>
      </c>
      <c r="C494" s="823"/>
      <c r="D494" s="832" t="s">
        <v>246</v>
      </c>
      <c r="E494" s="823" t="s">
        <v>152</v>
      </c>
      <c r="F494" s="823"/>
      <c r="G494" s="823"/>
      <c r="H494" s="802" t="s">
        <v>153</v>
      </c>
      <c r="I494" s="802" t="s">
        <v>159</v>
      </c>
      <c r="J494" s="804" t="s">
        <v>73</v>
      </c>
      <c r="K494" s="216" t="s">
        <v>154</v>
      </c>
      <c r="L494" s="123"/>
      <c r="M494" s="124"/>
      <c r="N494" s="124"/>
      <c r="O494" s="124"/>
      <c r="P494" s="124"/>
      <c r="Q494" s="125"/>
    </row>
    <row r="495" spans="1:17" s="130" customFormat="1" x14ac:dyDescent="0.15">
      <c r="A495" s="822"/>
      <c r="B495" s="823"/>
      <c r="C495" s="823"/>
      <c r="D495" s="833"/>
      <c r="E495" s="217" t="s">
        <v>155</v>
      </c>
      <c r="F495" s="217" t="s">
        <v>156</v>
      </c>
      <c r="G495" s="217" t="s">
        <v>157</v>
      </c>
      <c r="H495" s="803"/>
      <c r="I495" s="803"/>
      <c r="J495" s="805"/>
      <c r="K495" s="216" t="s">
        <v>158</v>
      </c>
      <c r="L495" s="127"/>
      <c r="M495" s="128"/>
      <c r="N495" s="128"/>
      <c r="O495" s="128"/>
      <c r="P495" s="128"/>
      <c r="Q495" s="129"/>
    </row>
    <row r="496" spans="1:17" ht="27.75" customHeight="1" x14ac:dyDescent="0.15">
      <c r="A496" s="148"/>
      <c r="B496" s="788" t="s">
        <v>1183</v>
      </c>
      <c r="C496" s="789"/>
      <c r="D496" s="219">
        <v>0</v>
      </c>
      <c r="E496" s="143">
        <v>2</v>
      </c>
      <c r="F496" s="143">
        <v>0</v>
      </c>
      <c r="G496" s="143">
        <v>1.2</v>
      </c>
      <c r="H496" s="143">
        <v>2</v>
      </c>
      <c r="I496" s="143">
        <f>G496*E496</f>
        <v>2.4</v>
      </c>
      <c r="J496" s="133" t="s">
        <v>5</v>
      </c>
      <c r="K496" s="143">
        <f t="shared" ref="K496:K498" si="61">(I496*H496)-D496</f>
        <v>4.8</v>
      </c>
      <c r="L496" s="127"/>
      <c r="M496" s="128"/>
      <c r="N496" s="128"/>
      <c r="O496" s="128"/>
      <c r="P496" s="128"/>
      <c r="Q496" s="129"/>
    </row>
    <row r="497" spans="1:17" ht="27.75" customHeight="1" x14ac:dyDescent="0.15">
      <c r="A497" s="148"/>
      <c r="B497" s="788" t="s">
        <v>1223</v>
      </c>
      <c r="C497" s="789"/>
      <c r="D497" s="219">
        <v>0</v>
      </c>
      <c r="E497" s="143">
        <v>1</v>
      </c>
      <c r="F497" s="143">
        <v>0</v>
      </c>
      <c r="G497" s="143">
        <v>1.2</v>
      </c>
      <c r="H497" s="143">
        <v>1</v>
      </c>
      <c r="I497" s="143">
        <f t="shared" ref="I497:I498" si="62">G497*E497</f>
        <v>1.2</v>
      </c>
      <c r="J497" s="133" t="s">
        <v>5</v>
      </c>
      <c r="K497" s="143">
        <f t="shared" ref="K497" si="63">(I497*H497)-D497</f>
        <v>1.2</v>
      </c>
      <c r="L497" s="127"/>
      <c r="M497" s="128"/>
      <c r="N497" s="128"/>
      <c r="O497" s="128"/>
      <c r="P497" s="128"/>
      <c r="Q497" s="129"/>
    </row>
    <row r="498" spans="1:17" ht="27.75" customHeight="1" x14ac:dyDescent="0.15">
      <c r="A498" s="148"/>
      <c r="B498" s="788" t="s">
        <v>1224</v>
      </c>
      <c r="C498" s="789"/>
      <c r="D498" s="219">
        <v>0</v>
      </c>
      <c r="E498" s="143">
        <v>1.2</v>
      </c>
      <c r="F498" s="143">
        <v>0</v>
      </c>
      <c r="G498" s="143">
        <v>1.4</v>
      </c>
      <c r="H498" s="143">
        <v>2</v>
      </c>
      <c r="I498" s="143">
        <f t="shared" si="62"/>
        <v>1.68</v>
      </c>
      <c r="J498" s="133" t="s">
        <v>5</v>
      </c>
      <c r="K498" s="143">
        <f t="shared" si="61"/>
        <v>3.36</v>
      </c>
      <c r="L498" s="127"/>
      <c r="M498" s="128"/>
      <c r="N498" s="128"/>
      <c r="O498" s="128"/>
      <c r="P498" s="128"/>
      <c r="Q498" s="129"/>
    </row>
    <row r="499" spans="1:17" ht="14" x14ac:dyDescent="0.15">
      <c r="A499" s="795" t="s">
        <v>149</v>
      </c>
      <c r="B499" s="817"/>
      <c r="C499" s="817"/>
      <c r="D499" s="817"/>
      <c r="E499" s="817"/>
      <c r="F499" s="817"/>
      <c r="G499" s="817"/>
      <c r="H499" s="817"/>
      <c r="I499" s="817"/>
      <c r="J499" s="796"/>
      <c r="K499" s="143">
        <f>SUM(K496:K498)</f>
        <v>9.36</v>
      </c>
      <c r="L499" s="134"/>
      <c r="M499" s="135"/>
      <c r="N499" s="135"/>
      <c r="O499" s="135"/>
      <c r="P499" s="135"/>
      <c r="Q499" s="136"/>
    </row>
    <row r="500" spans="1:17" x14ac:dyDescent="0.15">
      <c r="A500" s="790"/>
      <c r="B500" s="791"/>
      <c r="C500" s="791"/>
      <c r="D500" s="791"/>
      <c r="E500" s="791"/>
      <c r="F500" s="791"/>
      <c r="G500" s="791"/>
      <c r="H500" s="791"/>
      <c r="I500" s="791"/>
      <c r="J500" s="791"/>
      <c r="K500" s="791"/>
      <c r="L500" s="791"/>
      <c r="M500" s="791"/>
      <c r="N500" s="791"/>
      <c r="O500" s="791"/>
      <c r="P500" s="791"/>
      <c r="Q500" s="792"/>
    </row>
    <row r="501" spans="1:17" s="121" customFormat="1" ht="18" customHeight="1" x14ac:dyDescent="0.15">
      <c r="A501" s="218" t="s">
        <v>0</v>
      </c>
      <c r="B501" s="841" t="s">
        <v>1065</v>
      </c>
      <c r="C501" s="842"/>
      <c r="D501" s="842"/>
      <c r="E501" s="842"/>
      <c r="F501" s="842"/>
      <c r="G501" s="842"/>
      <c r="H501" s="842"/>
      <c r="I501" s="842"/>
      <c r="J501" s="842"/>
      <c r="K501" s="842"/>
      <c r="L501" s="842"/>
      <c r="M501" s="842"/>
      <c r="N501" s="842"/>
      <c r="O501" s="216" t="s">
        <v>73</v>
      </c>
      <c r="P501" s="795" t="s">
        <v>19</v>
      </c>
      <c r="Q501" s="796"/>
    </row>
    <row r="502" spans="1:17" x14ac:dyDescent="0.15">
      <c r="A502" s="790"/>
      <c r="B502" s="791"/>
      <c r="C502" s="791"/>
      <c r="D502" s="791"/>
      <c r="E502" s="791"/>
      <c r="F502" s="791"/>
      <c r="G502" s="791"/>
      <c r="H502" s="791"/>
      <c r="I502" s="791"/>
      <c r="J502" s="791"/>
      <c r="K502" s="791"/>
      <c r="L502" s="791"/>
      <c r="M502" s="791"/>
      <c r="N502" s="791"/>
      <c r="O502" s="791"/>
      <c r="P502" s="791"/>
      <c r="Q502" s="792"/>
    </row>
    <row r="503" spans="1:17" s="126" customFormat="1" x14ac:dyDescent="0.15">
      <c r="A503" s="822" t="s">
        <v>150</v>
      </c>
      <c r="B503" s="823" t="s">
        <v>151</v>
      </c>
      <c r="C503" s="823"/>
      <c r="D503" s="802" t="s">
        <v>165</v>
      </c>
      <c r="E503" s="823" t="s">
        <v>152</v>
      </c>
      <c r="F503" s="823"/>
      <c r="G503" s="823"/>
      <c r="H503" s="802" t="s">
        <v>153</v>
      </c>
      <c r="I503" s="802" t="s">
        <v>479</v>
      </c>
      <c r="J503" s="804" t="s">
        <v>73</v>
      </c>
      <c r="K503" s="216" t="s">
        <v>154</v>
      </c>
      <c r="L503" s="123"/>
      <c r="M503" s="124"/>
      <c r="N503" s="124"/>
      <c r="O503" s="124"/>
      <c r="P503" s="124"/>
      <c r="Q503" s="125"/>
    </row>
    <row r="504" spans="1:17" s="130" customFormat="1" x14ac:dyDescent="0.15">
      <c r="A504" s="822"/>
      <c r="B504" s="823"/>
      <c r="C504" s="823"/>
      <c r="D504" s="803"/>
      <c r="E504" s="217" t="s">
        <v>155</v>
      </c>
      <c r="F504" s="217" t="s">
        <v>156</v>
      </c>
      <c r="G504" s="217" t="s">
        <v>157</v>
      </c>
      <c r="H504" s="803"/>
      <c r="I504" s="803"/>
      <c r="J504" s="805"/>
      <c r="K504" s="216" t="s">
        <v>158</v>
      </c>
      <c r="L504" s="127"/>
      <c r="M504" s="128"/>
      <c r="N504" s="128"/>
      <c r="O504" s="128"/>
      <c r="P504" s="128"/>
      <c r="Q504" s="129"/>
    </row>
    <row r="505" spans="1:17" ht="27.75" customHeight="1" x14ac:dyDescent="0.15">
      <c r="A505" s="148"/>
      <c r="B505" s="788" t="s">
        <v>1028</v>
      </c>
      <c r="C505" s="789"/>
      <c r="D505" s="143" t="s">
        <v>19</v>
      </c>
      <c r="E505" s="143">
        <v>0</v>
      </c>
      <c r="F505" s="143">
        <v>0</v>
      </c>
      <c r="G505" s="143">
        <v>0</v>
      </c>
      <c r="H505" s="143">
        <v>1</v>
      </c>
      <c r="I505" s="143">
        <v>1</v>
      </c>
      <c r="J505" s="133" t="s">
        <v>19</v>
      </c>
      <c r="K505" s="143">
        <f>I505*H505</f>
        <v>1</v>
      </c>
      <c r="L505" s="127"/>
      <c r="M505" s="128"/>
      <c r="N505" s="128"/>
      <c r="O505" s="128"/>
      <c r="P505" s="128"/>
      <c r="Q505" s="129"/>
    </row>
    <row r="506" spans="1:17" ht="14" x14ac:dyDescent="0.15">
      <c r="A506" s="795" t="s">
        <v>149</v>
      </c>
      <c r="B506" s="817"/>
      <c r="C506" s="817"/>
      <c r="D506" s="817"/>
      <c r="E506" s="817"/>
      <c r="F506" s="817"/>
      <c r="G506" s="817"/>
      <c r="H506" s="817"/>
      <c r="I506" s="817"/>
      <c r="J506" s="796"/>
      <c r="K506" s="143">
        <f>SUM(K505:K505)</f>
        <v>1</v>
      </c>
      <c r="L506" s="134"/>
      <c r="M506" s="135"/>
      <c r="N506" s="135"/>
      <c r="O506" s="135"/>
      <c r="P506" s="135"/>
      <c r="Q506" s="136"/>
    </row>
    <row r="507" spans="1:17" x14ac:dyDescent="0.15">
      <c r="A507" s="790"/>
      <c r="B507" s="791"/>
      <c r="C507" s="791"/>
      <c r="D507" s="791"/>
      <c r="E507" s="791"/>
      <c r="F507" s="791"/>
      <c r="G507" s="791"/>
      <c r="H507" s="791"/>
      <c r="I507" s="791"/>
      <c r="J507" s="791"/>
      <c r="K507" s="791"/>
      <c r="L507" s="791"/>
      <c r="M507" s="791"/>
      <c r="N507" s="791"/>
      <c r="O507" s="791"/>
      <c r="P507" s="791"/>
      <c r="Q507" s="792"/>
    </row>
    <row r="508" spans="1:17" s="121" customFormat="1" ht="18" customHeight="1" x14ac:dyDescent="0.15">
      <c r="A508" s="218" t="s">
        <v>0</v>
      </c>
      <c r="B508" s="841" t="s">
        <v>1066</v>
      </c>
      <c r="C508" s="842"/>
      <c r="D508" s="842"/>
      <c r="E508" s="842"/>
      <c r="F508" s="842"/>
      <c r="G508" s="842"/>
      <c r="H508" s="842"/>
      <c r="I508" s="842"/>
      <c r="J508" s="842"/>
      <c r="K508" s="842"/>
      <c r="L508" s="842"/>
      <c r="M508" s="842"/>
      <c r="N508" s="842"/>
      <c r="O508" s="216" t="s">
        <v>73</v>
      </c>
      <c r="P508" s="795" t="s">
        <v>19</v>
      </c>
      <c r="Q508" s="796"/>
    </row>
    <row r="509" spans="1:17" x14ac:dyDescent="0.15">
      <c r="A509" s="790"/>
      <c r="B509" s="791"/>
      <c r="C509" s="791"/>
      <c r="D509" s="791"/>
      <c r="E509" s="791"/>
      <c r="F509" s="791"/>
      <c r="G509" s="791"/>
      <c r="H509" s="791"/>
      <c r="I509" s="791"/>
      <c r="J509" s="791"/>
      <c r="K509" s="791"/>
      <c r="L509" s="791"/>
      <c r="M509" s="791"/>
      <c r="N509" s="791"/>
      <c r="O509" s="791"/>
      <c r="P509" s="791"/>
      <c r="Q509" s="792"/>
    </row>
    <row r="510" spans="1:17" s="126" customFormat="1" x14ac:dyDescent="0.15">
      <c r="A510" s="822" t="s">
        <v>150</v>
      </c>
      <c r="B510" s="823" t="s">
        <v>151</v>
      </c>
      <c r="C510" s="823"/>
      <c r="D510" s="802" t="s">
        <v>165</v>
      </c>
      <c r="E510" s="823" t="s">
        <v>152</v>
      </c>
      <c r="F510" s="823"/>
      <c r="G510" s="823"/>
      <c r="H510" s="802" t="s">
        <v>153</v>
      </c>
      <c r="I510" s="802" t="s">
        <v>479</v>
      </c>
      <c r="J510" s="804" t="s">
        <v>73</v>
      </c>
      <c r="K510" s="216" t="s">
        <v>154</v>
      </c>
      <c r="L510" s="123"/>
      <c r="M510" s="124"/>
      <c r="N510" s="124"/>
      <c r="O510" s="124"/>
      <c r="P510" s="124"/>
      <c r="Q510" s="125"/>
    </row>
    <row r="511" spans="1:17" s="130" customFormat="1" x14ac:dyDescent="0.15">
      <c r="A511" s="822"/>
      <c r="B511" s="823"/>
      <c r="C511" s="823"/>
      <c r="D511" s="803"/>
      <c r="E511" s="217" t="s">
        <v>155</v>
      </c>
      <c r="F511" s="217" t="s">
        <v>156</v>
      </c>
      <c r="G511" s="217" t="s">
        <v>157</v>
      </c>
      <c r="H511" s="803"/>
      <c r="I511" s="803"/>
      <c r="J511" s="805"/>
      <c r="K511" s="216" t="s">
        <v>158</v>
      </c>
      <c r="L511" s="127"/>
      <c r="M511" s="128"/>
      <c r="N511" s="128"/>
      <c r="O511" s="128"/>
      <c r="P511" s="128"/>
      <c r="Q511" s="129"/>
    </row>
    <row r="512" spans="1:17" ht="27.75" customHeight="1" x14ac:dyDescent="0.15">
      <c r="A512" s="148"/>
      <c r="B512" s="788" t="s">
        <v>1028</v>
      </c>
      <c r="C512" s="789"/>
      <c r="D512" s="143" t="s">
        <v>19</v>
      </c>
      <c r="E512" s="143">
        <v>0</v>
      </c>
      <c r="F512" s="143">
        <v>0</v>
      </c>
      <c r="G512" s="143">
        <v>0</v>
      </c>
      <c r="H512" s="143">
        <v>1</v>
      </c>
      <c r="I512" s="143">
        <v>1</v>
      </c>
      <c r="J512" s="133" t="s">
        <v>19</v>
      </c>
      <c r="K512" s="143">
        <f>I512*H512</f>
        <v>1</v>
      </c>
      <c r="L512" s="127"/>
      <c r="M512" s="128"/>
      <c r="N512" s="128"/>
      <c r="O512" s="128"/>
      <c r="P512" s="128"/>
      <c r="Q512" s="129"/>
    </row>
    <row r="513" spans="1:18" ht="14" x14ac:dyDescent="0.15">
      <c r="A513" s="795" t="s">
        <v>149</v>
      </c>
      <c r="B513" s="817"/>
      <c r="C513" s="817"/>
      <c r="D513" s="817"/>
      <c r="E513" s="817"/>
      <c r="F513" s="817"/>
      <c r="G513" s="817"/>
      <c r="H513" s="817"/>
      <c r="I513" s="817"/>
      <c r="J513" s="796"/>
      <c r="K513" s="143">
        <f>SUM(K512:K512)</f>
        <v>1</v>
      </c>
      <c r="L513" s="134"/>
      <c r="M513" s="135"/>
      <c r="N513" s="135"/>
      <c r="O513" s="135"/>
      <c r="P513" s="135"/>
      <c r="Q513" s="136"/>
    </row>
    <row r="514" spans="1:18" s="140" customFormat="1" x14ac:dyDescent="0.15">
      <c r="A514" s="855"/>
      <c r="B514" s="855"/>
      <c r="C514" s="855"/>
      <c r="D514" s="855"/>
      <c r="E514" s="855"/>
      <c r="F514" s="855"/>
      <c r="G514" s="855"/>
      <c r="H514" s="855"/>
      <c r="I514" s="855"/>
      <c r="J514" s="855"/>
      <c r="K514" s="855"/>
      <c r="L514" s="855"/>
      <c r="M514" s="855"/>
      <c r="N514" s="855"/>
      <c r="O514" s="855"/>
      <c r="P514" s="855"/>
      <c r="Q514" s="855"/>
      <c r="R514" s="120"/>
    </row>
    <row r="515" spans="1:18" s="140" customFormat="1" x14ac:dyDescent="0.15">
      <c r="A515" s="178"/>
      <c r="B515" s="178"/>
      <c r="C515" s="137"/>
      <c r="D515" s="137"/>
      <c r="E515" s="138"/>
      <c r="F515" s="139"/>
      <c r="J515" s="141"/>
      <c r="K515" s="138"/>
      <c r="L515" s="142"/>
      <c r="M515" s="142"/>
      <c r="N515" s="142"/>
      <c r="O515" s="142"/>
      <c r="P515" s="138"/>
      <c r="Q515" s="120"/>
      <c r="R515" s="120"/>
    </row>
    <row r="516" spans="1:18" x14ac:dyDescent="0.15">
      <c r="I516" s="120"/>
      <c r="J516" s="120"/>
    </row>
    <row r="517" spans="1:18" x14ac:dyDescent="0.15">
      <c r="I517" s="120"/>
      <c r="J517" s="120"/>
    </row>
    <row r="518" spans="1:18" x14ac:dyDescent="0.15">
      <c r="I518" s="120"/>
      <c r="J518" s="120"/>
    </row>
    <row r="519" spans="1:18" ht="14" x14ac:dyDescent="0.15">
      <c r="B519" s="102"/>
      <c r="I519" s="120"/>
      <c r="J519" s="120"/>
    </row>
    <row r="520" spans="1:18" ht="14" x14ac:dyDescent="0.15">
      <c r="B520" s="83"/>
      <c r="I520" s="120"/>
      <c r="J520" s="120"/>
    </row>
    <row r="521" spans="1:18" ht="18" x14ac:dyDescent="0.2">
      <c r="C521" s="150"/>
      <c r="D521" s="151"/>
      <c r="E521" s="150"/>
      <c r="I521" s="120"/>
      <c r="J521" s="120"/>
    </row>
    <row r="522" spans="1:18" ht="18" x14ac:dyDescent="0.2">
      <c r="C522" s="152"/>
      <c r="D522" s="153"/>
      <c r="E522" s="152"/>
      <c r="I522" s="120"/>
      <c r="J522" s="120"/>
    </row>
    <row r="523" spans="1:18" ht="18" x14ac:dyDescent="0.2">
      <c r="B523" s="83"/>
      <c r="C523" s="154"/>
      <c r="D523" s="154"/>
      <c r="E523" s="154"/>
      <c r="I523" s="120"/>
      <c r="J523" s="120"/>
    </row>
    <row r="524" spans="1:18" x14ac:dyDescent="0.15">
      <c r="I524" s="120"/>
      <c r="J524" s="120"/>
    </row>
    <row r="525" spans="1:18" x14ac:dyDescent="0.15">
      <c r="I525" s="120"/>
      <c r="J525" s="120"/>
    </row>
    <row r="526" spans="1:18" x14ac:dyDescent="0.15">
      <c r="I526" s="120"/>
      <c r="J526" s="120"/>
    </row>
    <row r="527" spans="1:18" x14ac:dyDescent="0.15">
      <c r="I527" s="120"/>
      <c r="J527" s="120"/>
    </row>
    <row r="528" spans="1:18" x14ac:dyDescent="0.15">
      <c r="I528" s="120"/>
      <c r="J528" s="120"/>
    </row>
    <row r="529" s="120" customFormat="1" x14ac:dyDescent="0.15"/>
    <row r="530" s="120" customFormat="1" x14ac:dyDescent="0.15"/>
    <row r="531" s="120" customFormat="1" x14ac:dyDescent="0.15"/>
    <row r="532" s="120" customFormat="1" x14ac:dyDescent="0.15"/>
    <row r="533" s="120" customFormat="1" x14ac:dyDescent="0.15"/>
    <row r="534" s="120" customFormat="1" x14ac:dyDescent="0.15"/>
    <row r="535" s="120" customFormat="1" x14ac:dyDescent="0.15"/>
    <row r="536" s="120" customFormat="1" x14ac:dyDescent="0.15"/>
    <row r="537" s="120" customFormat="1" x14ac:dyDescent="0.15"/>
    <row r="538" s="120" customFormat="1" x14ac:dyDescent="0.15"/>
    <row r="539" s="120" customFormat="1" x14ac:dyDescent="0.15"/>
    <row r="540" s="120" customFormat="1" x14ac:dyDescent="0.15"/>
    <row r="541" s="120" customFormat="1" x14ac:dyDescent="0.15"/>
    <row r="542" s="120" customFormat="1" x14ac:dyDescent="0.15"/>
    <row r="543" s="120" customFormat="1" x14ac:dyDescent="0.15"/>
    <row r="544" s="120" customFormat="1" x14ac:dyDescent="0.15"/>
    <row r="545" s="120" customFormat="1" x14ac:dyDescent="0.15"/>
    <row r="546" s="120" customFormat="1" x14ac:dyDescent="0.15"/>
    <row r="547" s="120" customFormat="1" x14ac:dyDescent="0.15"/>
    <row r="548" s="120" customFormat="1" x14ac:dyDescent="0.15"/>
    <row r="549" s="120" customFormat="1" x14ac:dyDescent="0.15"/>
    <row r="550" s="120" customFormat="1" x14ac:dyDescent="0.15"/>
    <row r="551" s="120" customFormat="1" x14ac:dyDescent="0.15"/>
    <row r="552" s="120" customFormat="1" x14ac:dyDescent="0.15"/>
    <row r="553" s="120" customFormat="1" x14ac:dyDescent="0.15"/>
    <row r="554" s="120" customFormat="1" x14ac:dyDescent="0.15"/>
    <row r="555" s="120" customFormat="1" x14ac:dyDescent="0.15"/>
    <row r="556" s="120" customFormat="1" x14ac:dyDescent="0.15"/>
    <row r="557" s="120" customFormat="1" x14ac:dyDescent="0.15"/>
    <row r="558" s="120" customFormat="1" x14ac:dyDescent="0.15"/>
    <row r="559" s="120" customFormat="1" x14ac:dyDescent="0.15"/>
    <row r="560" s="120" customFormat="1" x14ac:dyDescent="0.15"/>
    <row r="561" s="120" customFormat="1" x14ac:dyDescent="0.15"/>
    <row r="562" s="120" customFormat="1" x14ac:dyDescent="0.15"/>
    <row r="563" s="120" customFormat="1" x14ac:dyDescent="0.15"/>
    <row r="564" s="120" customFormat="1" x14ac:dyDescent="0.15"/>
    <row r="565" s="120" customFormat="1" x14ac:dyDescent="0.15"/>
    <row r="566" s="120" customFormat="1" x14ac:dyDescent="0.15"/>
    <row r="567" s="120" customFormat="1" x14ac:dyDescent="0.15"/>
    <row r="568" s="120" customFormat="1" x14ac:dyDescent="0.15"/>
    <row r="569" s="120" customFormat="1" x14ac:dyDescent="0.15"/>
    <row r="570" s="120" customFormat="1" x14ac:dyDescent="0.15"/>
    <row r="571" s="120" customFormat="1" x14ac:dyDescent="0.15"/>
    <row r="572" s="120" customFormat="1" x14ac:dyDescent="0.15"/>
    <row r="573" s="120" customFormat="1" x14ac:dyDescent="0.15"/>
    <row r="574" s="120" customFormat="1" x14ac:dyDescent="0.15"/>
    <row r="575" s="120" customFormat="1" x14ac:dyDescent="0.15"/>
    <row r="576" s="120" customFormat="1" x14ac:dyDescent="0.15"/>
    <row r="577" s="120" customFormat="1" x14ac:dyDescent="0.15"/>
    <row r="578" s="120" customFormat="1" x14ac:dyDescent="0.15"/>
    <row r="579" s="120" customFormat="1" x14ac:dyDescent="0.15"/>
    <row r="580" s="120" customFormat="1" x14ac:dyDescent="0.15"/>
    <row r="581" s="120" customFormat="1" x14ac:dyDescent="0.15"/>
    <row r="582" s="120" customFormat="1" x14ac:dyDescent="0.15"/>
    <row r="583" s="120" customFormat="1" x14ac:dyDescent="0.15"/>
    <row r="584" s="120" customFormat="1" x14ac:dyDescent="0.15"/>
    <row r="585" s="120" customFormat="1" x14ac:dyDescent="0.15"/>
    <row r="586" s="120" customFormat="1" x14ac:dyDescent="0.15"/>
    <row r="587" s="120" customFormat="1" x14ac:dyDescent="0.15"/>
    <row r="588" s="120" customFormat="1" x14ac:dyDescent="0.15"/>
    <row r="589" s="120" customFormat="1" x14ac:dyDescent="0.15"/>
    <row r="590" s="120" customFormat="1" x14ac:dyDescent="0.15"/>
    <row r="591" s="120" customFormat="1" x14ac:dyDescent="0.15"/>
    <row r="592" s="120" customFormat="1" x14ac:dyDescent="0.15"/>
    <row r="593" s="120" customFormat="1" x14ac:dyDescent="0.15"/>
    <row r="594" s="120" customFormat="1" x14ac:dyDescent="0.15"/>
    <row r="595" s="120" customFormat="1" x14ac:dyDescent="0.15"/>
    <row r="596" s="120" customFormat="1" x14ac:dyDescent="0.15"/>
    <row r="597" s="120" customFormat="1" x14ac:dyDescent="0.15"/>
    <row r="598" s="120" customFormat="1" x14ac:dyDescent="0.15"/>
    <row r="599" s="120" customFormat="1" x14ac:dyDescent="0.15"/>
    <row r="600" s="120" customFormat="1" x14ac:dyDescent="0.15"/>
    <row r="601" s="120" customFormat="1" x14ac:dyDescent="0.15"/>
    <row r="602" s="120" customFormat="1" x14ac:dyDescent="0.15"/>
    <row r="603" s="120" customFormat="1" x14ac:dyDescent="0.15"/>
    <row r="604" s="120" customFormat="1" x14ac:dyDescent="0.15"/>
    <row r="605" s="120" customFormat="1" x14ac:dyDescent="0.15"/>
    <row r="606" s="120" customFormat="1" x14ac:dyDescent="0.15"/>
    <row r="607" s="120" customFormat="1" x14ac:dyDescent="0.15"/>
    <row r="608" s="120" customFormat="1" x14ac:dyDescent="0.15"/>
    <row r="609" s="120" customFormat="1" x14ac:dyDescent="0.15"/>
    <row r="610" s="120" customFormat="1" x14ac:dyDescent="0.15"/>
    <row r="611" s="120" customFormat="1" x14ac:dyDescent="0.15"/>
    <row r="612" s="120" customFormat="1" x14ac:dyDescent="0.15"/>
    <row r="613" s="120" customFormat="1" x14ac:dyDescent="0.15"/>
    <row r="614" s="120" customFormat="1" x14ac:dyDescent="0.15"/>
    <row r="615" s="120" customFormat="1" x14ac:dyDescent="0.15"/>
    <row r="616" s="120" customFormat="1" x14ac:dyDescent="0.15"/>
    <row r="617" s="120" customFormat="1" x14ac:dyDescent="0.15"/>
    <row r="618" s="120" customFormat="1" x14ac:dyDescent="0.15"/>
    <row r="619" s="120" customFormat="1" x14ac:dyDescent="0.15"/>
    <row r="620" s="120" customFormat="1" x14ac:dyDescent="0.15"/>
    <row r="621" s="120" customFormat="1" x14ac:dyDescent="0.15"/>
    <row r="622" s="120" customFormat="1" x14ac:dyDescent="0.15"/>
    <row r="623" s="120" customFormat="1" x14ac:dyDescent="0.15"/>
    <row r="624" s="120" customFormat="1" x14ac:dyDescent="0.15"/>
    <row r="625" s="120" customFormat="1" x14ac:dyDescent="0.15"/>
    <row r="626" s="120" customFormat="1" x14ac:dyDescent="0.15"/>
    <row r="627" s="120" customFormat="1" x14ac:dyDescent="0.15"/>
    <row r="628" s="120" customFormat="1" x14ac:dyDescent="0.15"/>
    <row r="629" s="120" customFormat="1" x14ac:dyDescent="0.15"/>
    <row r="630" s="120" customFormat="1" x14ac:dyDescent="0.15"/>
    <row r="631" s="120" customFormat="1" x14ac:dyDescent="0.15"/>
    <row r="632" s="120" customFormat="1" x14ac:dyDescent="0.15"/>
    <row r="633" s="120" customFormat="1" x14ac:dyDescent="0.15"/>
    <row r="634" s="120" customFormat="1" x14ac:dyDescent="0.15"/>
    <row r="635" s="120" customFormat="1" x14ac:dyDescent="0.15"/>
    <row r="636" s="120" customFormat="1" x14ac:dyDescent="0.15"/>
    <row r="637" s="120" customFormat="1" x14ac:dyDescent="0.15"/>
    <row r="638" s="120" customFormat="1" x14ac:dyDescent="0.15"/>
    <row r="639" s="120" customFormat="1" x14ac:dyDescent="0.15"/>
    <row r="640" s="120" customFormat="1" x14ac:dyDescent="0.15"/>
    <row r="641" s="120" customFormat="1" x14ac:dyDescent="0.15"/>
    <row r="642" s="120" customFormat="1" x14ac:dyDescent="0.15"/>
    <row r="643" s="120" customFormat="1" x14ac:dyDescent="0.15"/>
    <row r="644" s="120" customFormat="1" x14ac:dyDescent="0.15"/>
    <row r="645" s="120" customFormat="1" x14ac:dyDescent="0.15"/>
    <row r="646" s="120" customFormat="1" x14ac:dyDescent="0.15"/>
    <row r="647" s="120" customFormat="1" x14ac:dyDescent="0.15"/>
    <row r="648" s="120" customFormat="1" x14ac:dyDescent="0.15"/>
    <row r="649" s="120" customFormat="1" x14ac:dyDescent="0.15"/>
    <row r="650" s="120" customFormat="1" x14ac:dyDescent="0.15"/>
    <row r="651" s="120" customFormat="1" x14ac:dyDescent="0.15"/>
    <row r="652" s="120" customFormat="1" x14ac:dyDescent="0.15"/>
    <row r="653" s="120" customFormat="1" x14ac:dyDescent="0.15"/>
    <row r="654" s="120" customFormat="1" x14ac:dyDescent="0.15"/>
    <row r="655" s="120" customFormat="1" x14ac:dyDescent="0.15"/>
    <row r="656" s="120" customFormat="1" x14ac:dyDescent="0.15"/>
    <row r="657" s="120" customFormat="1" x14ac:dyDescent="0.15"/>
    <row r="658" s="120" customFormat="1" x14ac:dyDescent="0.15"/>
    <row r="659" s="120" customFormat="1" x14ac:dyDescent="0.15"/>
    <row r="660" s="120" customFormat="1" x14ac:dyDescent="0.15"/>
    <row r="661" s="120" customFormat="1" x14ac:dyDescent="0.15"/>
    <row r="662" s="120" customFormat="1" x14ac:dyDescent="0.15"/>
    <row r="663" s="120" customFormat="1" x14ac:dyDescent="0.15"/>
    <row r="664" s="120" customFormat="1" x14ac:dyDescent="0.15"/>
    <row r="665" s="120" customFormat="1" x14ac:dyDescent="0.15"/>
    <row r="666" s="120" customFormat="1" x14ac:dyDescent="0.15"/>
    <row r="667" s="120" customFormat="1" x14ac:dyDescent="0.15"/>
    <row r="668" s="120" customFormat="1" x14ac:dyDescent="0.15"/>
    <row r="669" s="120" customFormat="1" x14ac:dyDescent="0.15"/>
    <row r="670" s="120" customFormat="1" x14ac:dyDescent="0.15"/>
    <row r="671" s="120" customFormat="1" x14ac:dyDescent="0.15"/>
    <row r="672" s="120" customFormat="1" x14ac:dyDescent="0.15"/>
    <row r="673" s="120" customFormat="1" x14ac:dyDescent="0.15"/>
    <row r="674" s="120" customFormat="1" x14ac:dyDescent="0.15"/>
    <row r="675" s="120" customFormat="1" x14ac:dyDescent="0.15"/>
    <row r="676" s="120" customFormat="1" x14ac:dyDescent="0.15"/>
    <row r="677" s="120" customFormat="1" x14ac:dyDescent="0.15"/>
    <row r="678" s="120" customFormat="1" x14ac:dyDescent="0.15"/>
    <row r="679" s="120" customFormat="1" x14ac:dyDescent="0.15"/>
    <row r="680" s="120" customFormat="1" x14ac:dyDescent="0.15"/>
    <row r="681" s="120" customFormat="1" x14ac:dyDescent="0.15"/>
    <row r="682" s="120" customFormat="1" x14ac:dyDescent="0.15"/>
    <row r="683" s="120" customFormat="1" x14ac:dyDescent="0.15"/>
    <row r="684" s="120" customFormat="1" x14ac:dyDescent="0.15"/>
    <row r="685" s="120" customFormat="1" x14ac:dyDescent="0.15"/>
    <row r="686" s="120" customFormat="1" x14ac:dyDescent="0.15"/>
    <row r="687" s="120" customFormat="1" x14ac:dyDescent="0.15"/>
    <row r="688" s="120" customFormat="1" x14ac:dyDescent="0.15"/>
    <row r="689" s="120" customFormat="1" x14ac:dyDescent="0.15"/>
    <row r="690" s="120" customFormat="1" x14ac:dyDescent="0.15"/>
    <row r="691" s="120" customFormat="1" x14ac:dyDescent="0.15"/>
    <row r="692" s="120" customFormat="1" x14ac:dyDescent="0.15"/>
    <row r="693" s="120" customFormat="1" x14ac:dyDescent="0.15"/>
    <row r="694" s="120" customFormat="1" x14ac:dyDescent="0.15"/>
    <row r="695" s="120" customFormat="1" x14ac:dyDescent="0.15"/>
    <row r="696" s="120" customFormat="1" x14ac:dyDescent="0.15"/>
    <row r="697" s="120" customFormat="1" x14ac:dyDescent="0.15"/>
    <row r="698" s="120" customFormat="1" x14ac:dyDescent="0.15"/>
    <row r="699" s="120" customFormat="1" x14ac:dyDescent="0.15"/>
    <row r="700" s="120" customFormat="1" x14ac:dyDescent="0.15"/>
    <row r="701" s="120" customFormat="1" x14ac:dyDescent="0.15"/>
    <row r="702" s="120" customFormat="1" x14ac:dyDescent="0.15"/>
    <row r="703" s="120" customFormat="1" x14ac:dyDescent="0.15"/>
    <row r="704" s="120" customFormat="1" x14ac:dyDescent="0.15"/>
    <row r="705" s="120" customFormat="1" x14ac:dyDescent="0.15"/>
    <row r="706" s="120" customFormat="1" x14ac:dyDescent="0.15"/>
    <row r="707" s="120" customFormat="1" x14ac:dyDescent="0.15"/>
    <row r="708" s="120" customFormat="1" x14ac:dyDescent="0.15"/>
    <row r="709" s="120" customFormat="1" x14ac:dyDescent="0.15"/>
    <row r="710" s="120" customFormat="1" x14ac:dyDescent="0.15"/>
    <row r="711" s="120" customFormat="1" x14ac:dyDescent="0.15"/>
    <row r="712" s="120" customFormat="1" x14ac:dyDescent="0.15"/>
    <row r="713" s="120" customFormat="1" x14ac:dyDescent="0.15"/>
    <row r="714" s="120" customFormat="1" x14ac:dyDescent="0.15"/>
    <row r="715" s="120" customFormat="1" x14ac:dyDescent="0.15"/>
    <row r="716" s="120" customFormat="1" x14ac:dyDescent="0.15"/>
    <row r="717" s="120" customFormat="1" x14ac:dyDescent="0.15"/>
    <row r="718" s="120" customFormat="1" x14ac:dyDescent="0.15"/>
    <row r="719" s="120" customFormat="1" x14ac:dyDescent="0.15"/>
    <row r="720" s="120" customFormat="1" x14ac:dyDescent="0.15"/>
    <row r="721" s="120" customFormat="1" x14ac:dyDescent="0.15"/>
    <row r="722" s="120" customFormat="1" x14ac:dyDescent="0.15"/>
    <row r="723" s="120" customFormat="1" x14ac:dyDescent="0.15"/>
    <row r="724" s="120" customFormat="1" x14ac:dyDescent="0.15"/>
    <row r="725" s="120" customFormat="1" x14ac:dyDescent="0.15"/>
    <row r="726" s="120" customFormat="1" x14ac:dyDescent="0.15"/>
    <row r="727" s="120" customFormat="1" x14ac:dyDescent="0.15"/>
    <row r="728" s="120" customFormat="1" x14ac:dyDescent="0.15"/>
    <row r="729" s="120" customFormat="1" x14ac:dyDescent="0.15"/>
    <row r="730" s="120" customFormat="1" x14ac:dyDescent="0.15"/>
    <row r="731" s="120" customFormat="1" x14ac:dyDescent="0.15"/>
    <row r="732" s="120" customFormat="1" x14ac:dyDescent="0.15"/>
    <row r="733" s="120" customFormat="1" x14ac:dyDescent="0.15"/>
    <row r="734" s="120" customFormat="1" x14ac:dyDescent="0.15"/>
    <row r="735" s="120" customFormat="1" x14ac:dyDescent="0.15"/>
    <row r="736" s="120" customFormat="1" x14ac:dyDescent="0.15"/>
    <row r="737" s="120" customFormat="1" x14ac:dyDescent="0.15"/>
    <row r="738" s="120" customFormat="1" x14ac:dyDescent="0.15"/>
    <row r="739" s="120" customFormat="1" x14ac:dyDescent="0.15"/>
    <row r="740" s="120" customFormat="1" x14ac:dyDescent="0.15"/>
    <row r="741" s="120" customFormat="1" x14ac:dyDescent="0.15"/>
    <row r="742" s="120" customFormat="1" x14ac:dyDescent="0.15"/>
    <row r="743" s="120" customFormat="1" x14ac:dyDescent="0.15"/>
    <row r="744" s="120" customFormat="1" x14ac:dyDescent="0.15"/>
    <row r="745" s="120" customFormat="1" x14ac:dyDescent="0.15"/>
    <row r="746" s="120" customFormat="1" x14ac:dyDescent="0.15"/>
    <row r="747" s="120" customFormat="1" x14ac:dyDescent="0.15"/>
    <row r="748" s="120" customFormat="1" x14ac:dyDescent="0.15"/>
    <row r="749" s="120" customFormat="1" x14ac:dyDescent="0.15"/>
    <row r="750" s="120" customFormat="1" x14ac:dyDescent="0.15"/>
    <row r="751" s="120" customFormat="1" x14ac:dyDescent="0.15"/>
    <row r="752" s="120" customFormat="1" x14ac:dyDescent="0.15"/>
    <row r="753" s="120" customFormat="1" x14ac:dyDescent="0.15"/>
    <row r="754" s="120" customFormat="1" x14ac:dyDescent="0.15"/>
    <row r="755" s="120" customFormat="1" x14ac:dyDescent="0.15"/>
    <row r="756" s="120" customFormat="1" x14ac:dyDescent="0.15"/>
    <row r="757" s="120" customFormat="1" x14ac:dyDescent="0.15"/>
    <row r="758" s="120" customFormat="1" x14ac:dyDescent="0.15"/>
    <row r="759" s="120" customFormat="1" x14ac:dyDescent="0.15"/>
    <row r="760" s="120" customFormat="1" x14ac:dyDescent="0.15"/>
    <row r="761" s="120" customFormat="1" x14ac:dyDescent="0.15"/>
    <row r="762" s="120" customFormat="1" x14ac:dyDescent="0.15"/>
    <row r="763" s="120" customFormat="1" x14ac:dyDescent="0.15"/>
    <row r="764" s="120" customFormat="1" x14ac:dyDescent="0.15"/>
    <row r="765" s="120" customFormat="1" x14ac:dyDescent="0.15"/>
    <row r="766" s="120" customFormat="1" x14ac:dyDescent="0.15"/>
    <row r="767" s="120" customFormat="1" x14ac:dyDescent="0.15"/>
    <row r="768" s="120" customFormat="1" x14ac:dyDescent="0.15"/>
    <row r="769" s="120" customFormat="1" x14ac:dyDescent="0.15"/>
    <row r="770" s="120" customFormat="1" x14ac:dyDescent="0.15"/>
    <row r="771" s="120" customFormat="1" x14ac:dyDescent="0.15"/>
    <row r="772" s="120" customFormat="1" x14ac:dyDescent="0.15"/>
    <row r="773" s="120" customFormat="1" x14ac:dyDescent="0.15"/>
    <row r="774" s="120" customFormat="1" x14ac:dyDescent="0.15"/>
    <row r="775" s="120" customFormat="1" x14ac:dyDescent="0.15"/>
    <row r="776" s="120" customFormat="1" x14ac:dyDescent="0.15"/>
    <row r="777" s="120" customFormat="1" x14ac:dyDescent="0.15"/>
    <row r="778" s="120" customFormat="1" x14ac:dyDescent="0.15"/>
    <row r="779" s="120" customFormat="1" x14ac:dyDescent="0.15"/>
    <row r="780" s="120" customFormat="1" x14ac:dyDescent="0.15"/>
    <row r="781" s="120" customFormat="1" x14ac:dyDescent="0.15"/>
    <row r="782" s="120" customFormat="1" x14ac:dyDescent="0.15"/>
    <row r="783" s="120" customFormat="1" x14ac:dyDescent="0.15"/>
    <row r="784" s="120" customFormat="1" x14ac:dyDescent="0.15"/>
    <row r="785" s="120" customFormat="1" x14ac:dyDescent="0.15"/>
    <row r="786" s="120" customFormat="1" x14ac:dyDescent="0.15"/>
    <row r="787" s="120" customFormat="1" x14ac:dyDescent="0.15"/>
    <row r="788" s="120" customFormat="1" x14ac:dyDescent="0.15"/>
    <row r="789" s="120" customFormat="1" x14ac:dyDescent="0.15"/>
    <row r="790" s="120" customFormat="1" x14ac:dyDescent="0.15"/>
    <row r="791" s="120" customFormat="1" x14ac:dyDescent="0.15"/>
    <row r="792" s="120" customFormat="1" x14ac:dyDescent="0.15"/>
    <row r="793" s="120" customFormat="1" x14ac:dyDescent="0.15"/>
    <row r="794" s="120" customFormat="1" x14ac:dyDescent="0.15"/>
    <row r="795" s="120" customFormat="1" x14ac:dyDescent="0.15"/>
    <row r="796" s="120" customFormat="1" x14ac:dyDescent="0.15"/>
    <row r="797" s="120" customFormat="1" x14ac:dyDescent="0.15"/>
    <row r="798" s="120" customFormat="1" x14ac:dyDescent="0.15"/>
    <row r="799" s="120" customFormat="1" x14ac:dyDescent="0.15"/>
    <row r="800" s="120" customFormat="1" x14ac:dyDescent="0.15"/>
    <row r="801" s="120" customFormat="1" x14ac:dyDescent="0.15"/>
    <row r="802" s="120" customFormat="1" x14ac:dyDescent="0.15"/>
    <row r="803" s="120" customFormat="1" x14ac:dyDescent="0.15"/>
    <row r="804" s="120" customFormat="1" x14ac:dyDescent="0.15"/>
    <row r="805" s="120" customFormat="1" x14ac:dyDescent="0.15"/>
    <row r="806" s="120" customFormat="1" x14ac:dyDescent="0.15"/>
    <row r="807" s="120" customFormat="1" x14ac:dyDescent="0.15"/>
    <row r="808" s="120" customFormat="1" x14ac:dyDescent="0.15"/>
    <row r="809" s="120" customFormat="1" x14ac:dyDescent="0.15"/>
    <row r="810" s="120" customFormat="1" x14ac:dyDescent="0.15"/>
    <row r="811" s="120" customFormat="1" x14ac:dyDescent="0.15"/>
    <row r="812" s="120" customFormat="1" x14ac:dyDescent="0.15"/>
    <row r="813" s="120" customFormat="1" x14ac:dyDescent="0.15"/>
    <row r="814" s="120" customFormat="1" x14ac:dyDescent="0.15"/>
    <row r="815" s="120" customFormat="1" x14ac:dyDescent="0.15"/>
    <row r="816" s="120" customFormat="1" x14ac:dyDescent="0.15"/>
    <row r="817" s="120" customFormat="1" x14ac:dyDescent="0.15"/>
    <row r="818" s="120" customFormat="1" x14ac:dyDescent="0.15"/>
    <row r="819" s="120" customFormat="1" x14ac:dyDescent="0.15"/>
    <row r="820" s="120" customFormat="1" x14ac:dyDescent="0.15"/>
    <row r="821" s="120" customFormat="1" x14ac:dyDescent="0.15"/>
    <row r="822" s="120" customFormat="1" x14ac:dyDescent="0.15"/>
    <row r="823" s="120" customFormat="1" x14ac:dyDescent="0.15"/>
    <row r="824" s="120" customFormat="1" x14ac:dyDescent="0.15"/>
    <row r="825" s="120" customFormat="1" x14ac:dyDescent="0.15"/>
    <row r="826" s="120" customFormat="1" x14ac:dyDescent="0.15"/>
    <row r="827" s="120" customFormat="1" x14ac:dyDescent="0.15"/>
    <row r="828" s="120" customFormat="1" x14ac:dyDescent="0.15"/>
    <row r="829" s="120" customFormat="1" x14ac:dyDescent="0.15"/>
    <row r="830" s="120" customFormat="1" x14ac:dyDescent="0.15"/>
    <row r="831" s="120" customFormat="1" x14ac:dyDescent="0.15"/>
    <row r="832" s="120" customFormat="1" x14ac:dyDescent="0.15"/>
    <row r="833" s="120" customFormat="1" x14ac:dyDescent="0.15"/>
    <row r="834" s="120" customFormat="1" x14ac:dyDescent="0.15"/>
    <row r="835" s="120" customFormat="1" x14ac:dyDescent="0.15"/>
    <row r="836" s="120" customFormat="1" x14ac:dyDescent="0.15"/>
    <row r="837" s="120" customFormat="1" x14ac:dyDescent="0.15"/>
    <row r="838" s="120" customFormat="1" x14ac:dyDescent="0.15"/>
    <row r="839" s="120" customFormat="1" x14ac:dyDescent="0.15"/>
    <row r="840" s="120" customFormat="1" x14ac:dyDescent="0.15"/>
    <row r="841" s="120" customFormat="1" x14ac:dyDescent="0.15"/>
    <row r="842" s="120" customFormat="1" x14ac:dyDescent="0.15"/>
    <row r="843" s="120" customFormat="1" x14ac:dyDescent="0.15"/>
    <row r="844" s="120" customFormat="1" x14ac:dyDescent="0.15"/>
    <row r="845" s="120" customFormat="1" x14ac:dyDescent="0.15"/>
    <row r="846" s="120" customFormat="1" x14ac:dyDescent="0.15"/>
    <row r="847" s="120" customFormat="1" x14ac:dyDescent="0.15"/>
    <row r="848" s="120" customFormat="1" x14ac:dyDescent="0.15"/>
    <row r="849" s="120" customFormat="1" x14ac:dyDescent="0.15"/>
    <row r="850" s="120" customFormat="1" x14ac:dyDescent="0.15"/>
    <row r="851" s="120" customFormat="1" x14ac:dyDescent="0.15"/>
    <row r="852" s="120" customFormat="1" x14ac:dyDescent="0.15"/>
    <row r="853" s="120" customFormat="1" x14ac:dyDescent="0.15"/>
    <row r="854" s="120" customFormat="1" x14ac:dyDescent="0.15"/>
    <row r="855" s="120" customFormat="1" x14ac:dyDescent="0.15"/>
    <row r="856" s="120" customFormat="1" x14ac:dyDescent="0.15"/>
    <row r="857" s="120" customFormat="1" x14ac:dyDescent="0.15"/>
    <row r="858" s="120" customFormat="1" x14ac:dyDescent="0.15"/>
    <row r="859" s="120" customFormat="1" x14ac:dyDescent="0.15"/>
    <row r="860" s="120" customFormat="1" x14ac:dyDescent="0.15"/>
    <row r="861" s="120" customFormat="1" x14ac:dyDescent="0.15"/>
    <row r="862" s="120" customFormat="1" x14ac:dyDescent="0.15"/>
    <row r="863" s="120" customFormat="1" x14ac:dyDescent="0.15"/>
    <row r="864" s="120" customFormat="1" x14ac:dyDescent="0.15"/>
    <row r="865" s="120" customFormat="1" x14ac:dyDescent="0.15"/>
    <row r="866" s="120" customFormat="1" x14ac:dyDescent="0.15"/>
    <row r="867" s="120" customFormat="1" x14ac:dyDescent="0.15"/>
    <row r="868" s="120" customFormat="1" x14ac:dyDescent="0.15"/>
    <row r="869" s="120" customFormat="1" x14ac:dyDescent="0.15"/>
    <row r="870" s="120" customFormat="1" x14ac:dyDescent="0.15"/>
    <row r="871" s="120" customFormat="1" x14ac:dyDescent="0.15"/>
    <row r="872" s="120" customFormat="1" x14ac:dyDescent="0.15"/>
    <row r="873" s="120" customFormat="1" x14ac:dyDescent="0.15"/>
    <row r="874" s="120" customFormat="1" x14ac:dyDescent="0.15"/>
    <row r="875" s="120" customFormat="1" x14ac:dyDescent="0.15"/>
    <row r="876" s="120" customFormat="1" x14ac:dyDescent="0.15"/>
    <row r="877" s="120" customFormat="1" x14ac:dyDescent="0.15"/>
    <row r="878" s="120" customFormat="1" x14ac:dyDescent="0.15"/>
    <row r="879" s="120" customFormat="1" x14ac:dyDescent="0.15"/>
    <row r="880" s="120" customFormat="1" x14ac:dyDescent="0.15"/>
    <row r="881" s="120" customFormat="1" x14ac:dyDescent="0.15"/>
    <row r="882" s="120" customFormat="1" x14ac:dyDescent="0.15"/>
    <row r="883" s="120" customFormat="1" x14ac:dyDescent="0.15"/>
    <row r="884" s="120" customFormat="1" x14ac:dyDescent="0.15"/>
    <row r="885" s="120" customFormat="1" x14ac:dyDescent="0.15"/>
    <row r="886" s="120" customFormat="1" x14ac:dyDescent="0.15"/>
    <row r="887" s="120" customFormat="1" x14ac:dyDescent="0.15"/>
    <row r="888" s="120" customFormat="1" x14ac:dyDescent="0.15"/>
    <row r="889" s="120" customFormat="1" x14ac:dyDescent="0.15"/>
    <row r="890" s="120" customFormat="1" x14ac:dyDescent="0.15"/>
    <row r="891" s="120" customFormat="1" x14ac:dyDescent="0.15"/>
    <row r="892" s="120" customFormat="1" x14ac:dyDescent="0.15"/>
    <row r="893" s="120" customFormat="1" x14ac:dyDescent="0.15"/>
    <row r="894" s="120" customFormat="1" x14ac:dyDescent="0.15"/>
    <row r="895" s="120" customFormat="1" x14ac:dyDescent="0.15"/>
    <row r="896" s="120" customFormat="1" x14ac:dyDescent="0.15"/>
    <row r="897" s="120" customFormat="1" x14ac:dyDescent="0.15"/>
    <row r="898" s="120" customFormat="1" x14ac:dyDescent="0.15"/>
    <row r="899" s="120" customFormat="1" x14ac:dyDescent="0.15"/>
    <row r="900" s="120" customFormat="1" x14ac:dyDescent="0.15"/>
    <row r="901" s="120" customFormat="1" x14ac:dyDescent="0.15"/>
    <row r="902" s="120" customFormat="1" x14ac:dyDescent="0.15"/>
    <row r="903" s="120" customFormat="1" x14ac:dyDescent="0.15"/>
    <row r="904" s="120" customFormat="1" x14ac:dyDescent="0.15"/>
    <row r="905" s="120" customFormat="1" x14ac:dyDescent="0.15"/>
    <row r="906" s="120" customFormat="1" x14ac:dyDescent="0.15"/>
    <row r="907" s="120" customFormat="1" x14ac:dyDescent="0.15"/>
    <row r="908" s="120" customFormat="1" x14ac:dyDescent="0.15"/>
    <row r="909" s="120" customFormat="1" x14ac:dyDescent="0.15"/>
    <row r="910" s="120" customFormat="1" x14ac:dyDescent="0.15"/>
    <row r="911" s="120" customFormat="1" x14ac:dyDescent="0.15"/>
    <row r="912" s="120" customFormat="1" x14ac:dyDescent="0.15"/>
    <row r="913" s="120" customFormat="1" x14ac:dyDescent="0.15"/>
    <row r="914" s="120" customFormat="1" x14ac:dyDescent="0.15"/>
    <row r="915" s="120" customFormat="1" x14ac:dyDescent="0.15"/>
    <row r="916" s="120" customFormat="1" x14ac:dyDescent="0.15"/>
    <row r="917" s="120" customFormat="1" x14ac:dyDescent="0.15"/>
    <row r="918" s="120" customFormat="1" x14ac:dyDescent="0.15"/>
    <row r="919" s="120" customFormat="1" x14ac:dyDescent="0.15"/>
    <row r="920" s="120" customFormat="1" x14ac:dyDescent="0.15"/>
    <row r="921" s="120" customFormat="1" x14ac:dyDescent="0.15"/>
    <row r="922" s="120" customFormat="1" x14ac:dyDescent="0.15"/>
    <row r="923" s="120" customFormat="1" x14ac:dyDescent="0.15"/>
    <row r="924" s="120" customFormat="1" x14ac:dyDescent="0.15"/>
    <row r="925" s="120" customFormat="1" x14ac:dyDescent="0.15"/>
    <row r="926" s="120" customFormat="1" x14ac:dyDescent="0.15"/>
    <row r="927" s="120" customFormat="1" x14ac:dyDescent="0.15"/>
    <row r="928" s="120" customFormat="1" x14ac:dyDescent="0.15"/>
    <row r="929" s="120" customFormat="1" x14ac:dyDescent="0.15"/>
    <row r="930" s="120" customFormat="1" x14ac:dyDescent="0.15"/>
    <row r="931" s="120" customFormat="1" x14ac:dyDescent="0.15"/>
    <row r="932" s="120" customFormat="1" x14ac:dyDescent="0.15"/>
    <row r="933" s="120" customFormat="1" x14ac:dyDescent="0.15"/>
    <row r="934" s="120" customFormat="1" x14ac:dyDescent="0.15"/>
    <row r="935" s="120" customFormat="1" x14ac:dyDescent="0.15"/>
    <row r="936" s="120" customFormat="1" x14ac:dyDescent="0.15"/>
    <row r="937" s="120" customFormat="1" x14ac:dyDescent="0.15"/>
    <row r="938" s="120" customFormat="1" x14ac:dyDescent="0.15"/>
    <row r="939" s="120" customFormat="1" x14ac:dyDescent="0.15"/>
    <row r="940" s="120" customFormat="1" x14ac:dyDescent="0.15"/>
    <row r="941" s="120" customFormat="1" x14ac:dyDescent="0.15"/>
    <row r="942" s="120" customFormat="1" x14ac:dyDescent="0.15"/>
    <row r="943" s="120" customFormat="1" x14ac:dyDescent="0.15"/>
    <row r="944" s="120" customFormat="1" x14ac:dyDescent="0.15"/>
    <row r="945" s="120" customFormat="1" x14ac:dyDescent="0.15"/>
    <row r="946" s="120" customFormat="1" x14ac:dyDescent="0.15"/>
    <row r="947" s="120" customFormat="1" x14ac:dyDescent="0.15"/>
    <row r="948" s="120" customFormat="1" x14ac:dyDescent="0.15"/>
    <row r="949" s="120" customFormat="1" x14ac:dyDescent="0.15"/>
    <row r="950" s="120" customFormat="1" x14ac:dyDescent="0.15"/>
    <row r="951" s="120" customFormat="1" x14ac:dyDescent="0.15"/>
    <row r="952" s="120" customFormat="1" x14ac:dyDescent="0.15"/>
    <row r="953" s="120" customFormat="1" x14ac:dyDescent="0.15"/>
    <row r="954" s="120" customFormat="1" x14ac:dyDescent="0.15"/>
    <row r="955" s="120" customFormat="1" x14ac:dyDescent="0.15"/>
    <row r="956" s="120" customFormat="1" x14ac:dyDescent="0.15"/>
    <row r="957" s="120" customFormat="1" x14ac:dyDescent="0.15"/>
    <row r="958" s="120" customFormat="1" x14ac:dyDescent="0.15"/>
    <row r="959" s="120" customFormat="1" x14ac:dyDescent="0.15"/>
    <row r="960" s="120" customFormat="1" x14ac:dyDescent="0.15"/>
    <row r="961" s="120" customFormat="1" x14ac:dyDescent="0.15"/>
    <row r="962" s="120" customFormat="1" x14ac:dyDescent="0.15"/>
    <row r="963" s="120" customFormat="1" x14ac:dyDescent="0.15"/>
    <row r="964" s="120" customFormat="1" x14ac:dyDescent="0.15"/>
    <row r="965" s="120" customFormat="1" x14ac:dyDescent="0.15"/>
    <row r="966" s="120" customFormat="1" x14ac:dyDescent="0.15"/>
    <row r="967" s="120" customFormat="1" x14ac:dyDescent="0.15"/>
    <row r="968" s="120" customFormat="1" x14ac:dyDescent="0.15"/>
    <row r="969" s="120" customFormat="1" x14ac:dyDescent="0.15"/>
    <row r="970" s="120" customFormat="1" x14ac:dyDescent="0.15"/>
    <row r="971" s="120" customFormat="1" x14ac:dyDescent="0.15"/>
    <row r="972" s="120" customFormat="1" x14ac:dyDescent="0.15"/>
    <row r="973" s="120" customFormat="1" x14ac:dyDescent="0.15"/>
    <row r="974" s="120" customFormat="1" x14ac:dyDescent="0.15"/>
    <row r="975" s="120" customFormat="1" x14ac:dyDescent="0.15"/>
    <row r="976" s="120" customFormat="1" x14ac:dyDescent="0.15"/>
    <row r="977" s="120" customFormat="1" x14ac:dyDescent="0.15"/>
    <row r="978" s="120" customFormat="1" x14ac:dyDescent="0.15"/>
    <row r="979" s="120" customFormat="1" x14ac:dyDescent="0.15"/>
    <row r="980" s="120" customFormat="1" x14ac:dyDescent="0.15"/>
    <row r="981" s="120" customFormat="1" x14ac:dyDescent="0.15"/>
    <row r="982" s="120" customFormat="1" x14ac:dyDescent="0.15"/>
    <row r="983" s="120" customFormat="1" x14ac:dyDescent="0.15"/>
    <row r="984" s="120" customFormat="1" x14ac:dyDescent="0.15"/>
    <row r="985" s="120" customFormat="1" x14ac:dyDescent="0.15"/>
    <row r="986" s="120" customFormat="1" x14ac:dyDescent="0.15"/>
    <row r="987" s="120" customFormat="1" x14ac:dyDescent="0.15"/>
    <row r="988" s="120" customFormat="1" x14ac:dyDescent="0.15"/>
    <row r="989" s="120" customFormat="1" x14ac:dyDescent="0.15"/>
    <row r="990" s="120" customFormat="1" x14ac:dyDescent="0.15"/>
    <row r="991" s="120" customFormat="1" x14ac:dyDescent="0.15"/>
    <row r="992" s="120" customFormat="1" x14ac:dyDescent="0.15"/>
    <row r="993" s="120" customFormat="1" x14ac:dyDescent="0.15"/>
    <row r="994" s="120" customFormat="1" x14ac:dyDescent="0.15"/>
    <row r="995" s="120" customFormat="1" x14ac:dyDescent="0.15"/>
    <row r="996" s="120" customFormat="1" x14ac:dyDescent="0.15"/>
    <row r="997" s="120" customFormat="1" x14ac:dyDescent="0.15"/>
    <row r="998" s="120" customFormat="1" x14ac:dyDescent="0.15"/>
    <row r="999" s="120" customFormat="1" x14ac:dyDescent="0.15"/>
    <row r="1000" s="120" customFormat="1" x14ac:dyDescent="0.15"/>
    <row r="1001" s="120" customFormat="1" x14ac:dyDescent="0.15"/>
    <row r="1002" s="120" customFormat="1" x14ac:dyDescent="0.15"/>
    <row r="1003" s="120" customFormat="1" x14ac:dyDescent="0.15"/>
    <row r="1004" s="120" customFormat="1" x14ac:dyDescent="0.15"/>
    <row r="1005" s="120" customFormat="1" x14ac:dyDescent="0.15"/>
    <row r="1006" s="120" customFormat="1" x14ac:dyDescent="0.15"/>
    <row r="1007" s="120" customFormat="1" x14ac:dyDescent="0.15"/>
    <row r="1008" s="120" customFormat="1" x14ac:dyDescent="0.15"/>
    <row r="1009" s="120" customFormat="1" x14ac:dyDescent="0.15"/>
    <row r="1010" s="120" customFormat="1" x14ac:dyDescent="0.15"/>
    <row r="1011" s="120" customFormat="1" x14ac:dyDescent="0.15"/>
    <row r="1012" s="120" customFormat="1" x14ac:dyDescent="0.15"/>
    <row r="1013" s="120" customFormat="1" x14ac:dyDescent="0.15"/>
    <row r="1014" s="120" customFormat="1" x14ac:dyDescent="0.15"/>
    <row r="1015" s="120" customFormat="1" x14ac:dyDescent="0.15"/>
    <row r="1016" s="120" customFormat="1" x14ac:dyDescent="0.15"/>
    <row r="1017" s="120" customFormat="1" x14ac:dyDescent="0.15"/>
    <row r="1018" s="120" customFormat="1" x14ac:dyDescent="0.15"/>
    <row r="1019" s="120" customFormat="1" x14ac:dyDescent="0.15"/>
    <row r="1020" s="120" customFormat="1" x14ac:dyDescent="0.15"/>
    <row r="1021" s="120" customFormat="1" x14ac:dyDescent="0.15"/>
    <row r="1022" s="120" customFormat="1" x14ac:dyDescent="0.15"/>
    <row r="1023" s="120" customFormat="1" x14ac:dyDescent="0.15"/>
    <row r="1024" s="120" customFormat="1" x14ac:dyDescent="0.15"/>
    <row r="1025" s="120" customFormat="1" x14ac:dyDescent="0.15"/>
    <row r="1026" s="120" customFormat="1" x14ac:dyDescent="0.15"/>
    <row r="1027" s="120" customFormat="1" x14ac:dyDescent="0.15"/>
    <row r="1028" s="120" customFormat="1" x14ac:dyDescent="0.15"/>
    <row r="1029" s="120" customFormat="1" x14ac:dyDescent="0.15"/>
    <row r="1030" s="120" customFormat="1" x14ac:dyDescent="0.15"/>
    <row r="1031" s="120" customFormat="1" x14ac:dyDescent="0.15"/>
    <row r="1032" s="120" customFormat="1" x14ac:dyDescent="0.15"/>
    <row r="1033" s="120" customFormat="1" x14ac:dyDescent="0.15"/>
    <row r="1034" s="120" customFormat="1" x14ac:dyDescent="0.15"/>
    <row r="1035" s="120" customFormat="1" x14ac:dyDescent="0.15"/>
    <row r="1036" s="120" customFormat="1" x14ac:dyDescent="0.15"/>
    <row r="1037" s="120" customFormat="1" x14ac:dyDescent="0.15"/>
    <row r="1038" s="120" customFormat="1" x14ac:dyDescent="0.15"/>
    <row r="1039" s="120" customFormat="1" x14ac:dyDescent="0.15"/>
    <row r="1040" s="120" customFormat="1" x14ac:dyDescent="0.15"/>
    <row r="1041" s="120" customFormat="1" x14ac:dyDescent="0.15"/>
    <row r="1042" s="120" customFormat="1" x14ac:dyDescent="0.15"/>
    <row r="1043" s="120" customFormat="1" x14ac:dyDescent="0.15"/>
    <row r="1044" s="120" customFormat="1" x14ac:dyDescent="0.15"/>
    <row r="1045" s="120" customFormat="1" x14ac:dyDescent="0.15"/>
    <row r="1046" s="120" customFormat="1" x14ac:dyDescent="0.15"/>
    <row r="1047" s="120" customFormat="1" x14ac:dyDescent="0.15"/>
    <row r="1048" s="120" customFormat="1" x14ac:dyDescent="0.15"/>
    <row r="1049" s="120" customFormat="1" x14ac:dyDescent="0.15"/>
    <row r="1050" s="120" customFormat="1" x14ac:dyDescent="0.15"/>
    <row r="1051" s="120" customFormat="1" x14ac:dyDescent="0.15"/>
    <row r="1052" s="120" customFormat="1" x14ac:dyDescent="0.15"/>
    <row r="1053" s="120" customFormat="1" x14ac:dyDescent="0.15"/>
    <row r="1054" s="120" customFormat="1" x14ac:dyDescent="0.15"/>
    <row r="1055" s="120" customFormat="1" x14ac:dyDescent="0.15"/>
    <row r="1056" s="120" customFormat="1" x14ac:dyDescent="0.15"/>
    <row r="1057" s="120" customFormat="1" x14ac:dyDescent="0.15"/>
    <row r="1058" s="120" customFormat="1" x14ac:dyDescent="0.15"/>
    <row r="1059" s="120" customFormat="1" x14ac:dyDescent="0.15"/>
    <row r="1060" s="120" customFormat="1" x14ac:dyDescent="0.15"/>
    <row r="1061" s="120" customFormat="1" x14ac:dyDescent="0.15"/>
    <row r="1062" s="120" customFormat="1" x14ac:dyDescent="0.15"/>
    <row r="1063" s="120" customFormat="1" x14ac:dyDescent="0.15"/>
    <row r="1064" s="120" customFormat="1" x14ac:dyDescent="0.15"/>
    <row r="1065" s="120" customFormat="1" x14ac:dyDescent="0.15"/>
    <row r="1066" s="120" customFormat="1" x14ac:dyDescent="0.15"/>
    <row r="1067" s="120" customFormat="1" x14ac:dyDescent="0.15"/>
    <row r="1068" s="120" customFormat="1" x14ac:dyDescent="0.15"/>
    <row r="1069" s="120" customFormat="1" x14ac:dyDescent="0.15"/>
    <row r="1070" s="120" customFormat="1" x14ac:dyDescent="0.15"/>
    <row r="1071" s="120" customFormat="1" x14ac:dyDescent="0.15"/>
    <row r="1072" s="120" customFormat="1" x14ac:dyDescent="0.15"/>
    <row r="1073" s="120" customFormat="1" x14ac:dyDescent="0.15"/>
    <row r="1074" s="120" customFormat="1" x14ac:dyDescent="0.15"/>
    <row r="1075" s="120" customFormat="1" x14ac:dyDescent="0.15"/>
    <row r="1076" s="120" customFormat="1" x14ac:dyDescent="0.15"/>
    <row r="1077" s="120" customFormat="1" x14ac:dyDescent="0.15"/>
    <row r="1078" s="120" customFormat="1" x14ac:dyDescent="0.15"/>
    <row r="1079" s="120" customFormat="1" x14ac:dyDescent="0.15"/>
    <row r="1080" s="120" customFormat="1" x14ac:dyDescent="0.15"/>
    <row r="1081" s="120" customFormat="1" x14ac:dyDescent="0.15"/>
    <row r="1082" s="120" customFormat="1" x14ac:dyDescent="0.15"/>
    <row r="1083" s="120" customFormat="1" x14ac:dyDescent="0.15"/>
    <row r="1084" s="120" customFormat="1" x14ac:dyDescent="0.15"/>
    <row r="1085" s="120" customFormat="1" x14ac:dyDescent="0.15"/>
    <row r="1086" s="120" customFormat="1" x14ac:dyDescent="0.15"/>
    <row r="1087" s="120" customFormat="1" x14ac:dyDescent="0.15"/>
    <row r="1088" s="120" customFormat="1" x14ac:dyDescent="0.15"/>
    <row r="1089" s="120" customFormat="1" x14ac:dyDescent="0.15"/>
    <row r="1090" s="120" customFormat="1" x14ac:dyDescent="0.15"/>
    <row r="1091" s="120" customFormat="1" x14ac:dyDescent="0.15"/>
    <row r="1092" s="120" customFormat="1" x14ac:dyDescent="0.15"/>
    <row r="1093" s="120" customFormat="1" x14ac:dyDescent="0.15"/>
    <row r="1094" s="120" customFormat="1" x14ac:dyDescent="0.15"/>
    <row r="1095" s="120" customFormat="1" x14ac:dyDescent="0.15"/>
    <row r="1096" s="120" customFormat="1" x14ac:dyDescent="0.15"/>
    <row r="1097" s="120" customFormat="1" x14ac:dyDescent="0.15"/>
    <row r="1098" s="120" customFormat="1" x14ac:dyDescent="0.15"/>
    <row r="1099" s="120" customFormat="1" x14ac:dyDescent="0.15"/>
    <row r="1100" s="120" customFormat="1" x14ac:dyDescent="0.15"/>
    <row r="1101" s="120" customFormat="1" x14ac:dyDescent="0.15"/>
    <row r="1102" s="120" customFormat="1" x14ac:dyDescent="0.15"/>
    <row r="1103" s="120" customFormat="1" x14ac:dyDescent="0.15"/>
    <row r="1104" s="120" customFormat="1" x14ac:dyDescent="0.15"/>
    <row r="1105" s="120" customFormat="1" x14ac:dyDescent="0.15"/>
    <row r="1106" s="120" customFormat="1" x14ac:dyDescent="0.15"/>
    <row r="1107" s="120" customFormat="1" x14ac:dyDescent="0.15"/>
    <row r="1108" s="120" customFormat="1" x14ac:dyDescent="0.15"/>
    <row r="1109" s="120" customFormat="1" x14ac:dyDescent="0.15"/>
    <row r="1110" s="120" customFormat="1" x14ac:dyDescent="0.15"/>
    <row r="1111" s="120" customFormat="1" x14ac:dyDescent="0.15"/>
    <row r="1112" s="120" customFormat="1" x14ac:dyDescent="0.15"/>
    <row r="1113" s="120" customFormat="1" x14ac:dyDescent="0.15"/>
    <row r="1114" s="120" customFormat="1" x14ac:dyDescent="0.15"/>
    <row r="1115" s="120" customFormat="1" x14ac:dyDescent="0.15"/>
    <row r="1116" s="120" customFormat="1" x14ac:dyDescent="0.15"/>
    <row r="1117" s="120" customFormat="1" x14ac:dyDescent="0.15"/>
    <row r="1118" s="120" customFormat="1" x14ac:dyDescent="0.15"/>
    <row r="1119" s="120" customFormat="1" x14ac:dyDescent="0.15"/>
    <row r="1120" s="120" customFormat="1" x14ac:dyDescent="0.15"/>
    <row r="1121" s="120" customFormat="1" x14ac:dyDescent="0.15"/>
    <row r="1122" s="120" customFormat="1" x14ac:dyDescent="0.15"/>
    <row r="1123" s="120" customFormat="1" x14ac:dyDescent="0.15"/>
    <row r="1124" s="120" customFormat="1" x14ac:dyDescent="0.15"/>
    <row r="1125" s="120" customFormat="1" x14ac:dyDescent="0.15"/>
    <row r="1126" s="120" customFormat="1" x14ac:dyDescent="0.15"/>
    <row r="1127" s="120" customFormat="1" x14ac:dyDescent="0.15"/>
    <row r="1128" s="120" customFormat="1" x14ac:dyDescent="0.15"/>
    <row r="1129" s="120" customFormat="1" x14ac:dyDescent="0.15"/>
    <row r="1130" s="120" customFormat="1" x14ac:dyDescent="0.15"/>
    <row r="1131" s="120" customFormat="1" x14ac:dyDescent="0.15"/>
    <row r="1132" s="120" customFormat="1" x14ac:dyDescent="0.15"/>
    <row r="1133" s="120" customFormat="1" x14ac:dyDescent="0.15"/>
    <row r="1134" s="120" customFormat="1" x14ac:dyDescent="0.15"/>
    <row r="1135" s="120" customFormat="1" x14ac:dyDescent="0.15"/>
    <row r="1136" s="120" customFormat="1" x14ac:dyDescent="0.15"/>
    <row r="1137" s="120" customFormat="1" x14ac:dyDescent="0.15"/>
    <row r="1138" s="120" customFormat="1" x14ac:dyDescent="0.15"/>
    <row r="1139" s="120" customFormat="1" x14ac:dyDescent="0.15"/>
    <row r="1140" s="120" customFormat="1" x14ac:dyDescent="0.15"/>
    <row r="1141" s="120" customFormat="1" x14ac:dyDescent="0.15"/>
    <row r="1142" s="120" customFormat="1" x14ac:dyDescent="0.15"/>
    <row r="1143" s="120" customFormat="1" x14ac:dyDescent="0.15"/>
    <row r="1144" s="120" customFormat="1" x14ac:dyDescent="0.15"/>
    <row r="1145" s="120" customFormat="1" x14ac:dyDescent="0.15"/>
    <row r="1146" s="120" customFormat="1" x14ac:dyDescent="0.15"/>
    <row r="1147" s="120" customFormat="1" x14ac:dyDescent="0.15"/>
    <row r="1148" s="120" customFormat="1" x14ac:dyDescent="0.15"/>
    <row r="1149" s="120" customFormat="1" x14ac:dyDescent="0.15"/>
    <row r="1150" s="120" customFormat="1" x14ac:dyDescent="0.15"/>
    <row r="1151" s="120" customFormat="1" x14ac:dyDescent="0.15"/>
    <row r="1152" s="120" customFormat="1" x14ac:dyDescent="0.15"/>
    <row r="1153" s="120" customFormat="1" x14ac:dyDescent="0.15"/>
    <row r="1154" s="120" customFormat="1" x14ac:dyDescent="0.15"/>
    <row r="1155" s="120" customFormat="1" x14ac:dyDescent="0.15"/>
    <row r="1156" s="120" customFormat="1" x14ac:dyDescent="0.15"/>
    <row r="1157" s="120" customFormat="1" x14ac:dyDescent="0.15"/>
    <row r="1158" s="120" customFormat="1" x14ac:dyDescent="0.15"/>
    <row r="1159" s="120" customFormat="1" x14ac:dyDescent="0.15"/>
    <row r="1160" s="120" customFormat="1" x14ac:dyDescent="0.15"/>
    <row r="1161" s="120" customFormat="1" x14ac:dyDescent="0.15"/>
    <row r="1162" s="120" customFormat="1" x14ac:dyDescent="0.15"/>
    <row r="1163" s="120" customFormat="1" x14ac:dyDescent="0.15"/>
    <row r="1164" s="120" customFormat="1" x14ac:dyDescent="0.15"/>
    <row r="1165" s="120" customFormat="1" x14ac:dyDescent="0.15"/>
    <row r="1166" s="120" customFormat="1" x14ac:dyDescent="0.15"/>
    <row r="1167" s="120" customFormat="1" x14ac:dyDescent="0.15"/>
    <row r="1168" s="120" customFormat="1" x14ac:dyDescent="0.15"/>
    <row r="1169" s="120" customFormat="1" x14ac:dyDescent="0.15"/>
    <row r="1170" s="120" customFormat="1" x14ac:dyDescent="0.15"/>
    <row r="1171" s="120" customFormat="1" x14ac:dyDescent="0.15"/>
    <row r="1172" s="120" customFormat="1" x14ac:dyDescent="0.15"/>
    <row r="1173" s="120" customFormat="1" x14ac:dyDescent="0.15"/>
    <row r="1174" s="120" customFormat="1" x14ac:dyDescent="0.15"/>
    <row r="1175" s="120" customFormat="1" x14ac:dyDescent="0.15"/>
    <row r="1176" s="120" customFormat="1" x14ac:dyDescent="0.15"/>
    <row r="1177" s="120" customFormat="1" x14ac:dyDescent="0.15"/>
    <row r="1178" s="120" customFormat="1" x14ac:dyDescent="0.15"/>
    <row r="1179" s="120" customFormat="1" x14ac:dyDescent="0.15"/>
    <row r="1180" s="120" customFormat="1" x14ac:dyDescent="0.15"/>
    <row r="1181" s="120" customFormat="1" x14ac:dyDescent="0.15"/>
    <row r="1182" s="120" customFormat="1" x14ac:dyDescent="0.15"/>
    <row r="1183" s="120" customFormat="1" x14ac:dyDescent="0.15"/>
    <row r="1184" s="120" customFormat="1" x14ac:dyDescent="0.15"/>
    <row r="1185" s="120" customFormat="1" x14ac:dyDescent="0.15"/>
    <row r="1186" s="120" customFormat="1" x14ac:dyDescent="0.15"/>
    <row r="1187" s="120" customFormat="1" x14ac:dyDescent="0.15"/>
    <row r="1188" s="120" customFormat="1" x14ac:dyDescent="0.15"/>
    <row r="1189" s="120" customFormat="1" x14ac:dyDescent="0.15"/>
    <row r="1190" s="120" customFormat="1" x14ac:dyDescent="0.15"/>
    <row r="1191" s="120" customFormat="1" x14ac:dyDescent="0.15"/>
    <row r="1192" s="120" customFormat="1" x14ac:dyDescent="0.15"/>
    <row r="1193" s="120" customFormat="1" x14ac:dyDescent="0.15"/>
    <row r="1194" s="120" customFormat="1" x14ac:dyDescent="0.15"/>
    <row r="1195" s="120" customFormat="1" x14ac:dyDescent="0.15"/>
    <row r="1196" s="120" customFormat="1" x14ac:dyDescent="0.15"/>
    <row r="1197" s="120" customFormat="1" x14ac:dyDescent="0.15"/>
    <row r="1198" s="120" customFormat="1" x14ac:dyDescent="0.15"/>
    <row r="1199" s="120" customFormat="1" x14ac:dyDescent="0.15"/>
    <row r="1200" s="120" customFormat="1" x14ac:dyDescent="0.15"/>
    <row r="1201" s="120" customFormat="1" x14ac:dyDescent="0.15"/>
    <row r="1202" s="120" customFormat="1" x14ac:dyDescent="0.15"/>
    <row r="1203" s="120" customFormat="1" x14ac:dyDescent="0.15"/>
    <row r="1204" s="120" customFormat="1" x14ac:dyDescent="0.15"/>
    <row r="1205" s="120" customFormat="1" x14ac:dyDescent="0.15"/>
    <row r="1206" s="120" customFormat="1" x14ac:dyDescent="0.15"/>
    <row r="1207" s="120" customFormat="1" x14ac:dyDescent="0.15"/>
    <row r="1208" s="120" customFormat="1" x14ac:dyDescent="0.15"/>
    <row r="1209" s="120" customFormat="1" x14ac:dyDescent="0.15"/>
    <row r="1210" s="120" customFormat="1" x14ac:dyDescent="0.15"/>
    <row r="1211" s="120" customFormat="1" x14ac:dyDescent="0.15"/>
    <row r="1212" s="120" customFormat="1" x14ac:dyDescent="0.15"/>
    <row r="1213" s="120" customFormat="1" x14ac:dyDescent="0.15"/>
    <row r="1214" s="120" customFormat="1" x14ac:dyDescent="0.15"/>
    <row r="1215" s="120" customFormat="1" x14ac:dyDescent="0.15"/>
    <row r="1216" s="120" customFormat="1" x14ac:dyDescent="0.15"/>
    <row r="1217" s="120" customFormat="1" x14ac:dyDescent="0.15"/>
    <row r="1218" s="120" customFormat="1" x14ac:dyDescent="0.15"/>
    <row r="1219" s="120" customFormat="1" x14ac:dyDescent="0.15"/>
    <row r="1220" s="120" customFormat="1" x14ac:dyDescent="0.15"/>
    <row r="1221" s="120" customFormat="1" x14ac:dyDescent="0.15"/>
    <row r="1222" s="120" customFormat="1" x14ac:dyDescent="0.15"/>
    <row r="1223" s="120" customFormat="1" x14ac:dyDescent="0.15"/>
    <row r="1224" s="120" customFormat="1" x14ac:dyDescent="0.15"/>
    <row r="1225" s="120" customFormat="1" x14ac:dyDescent="0.15"/>
    <row r="1226" s="120" customFormat="1" x14ac:dyDescent="0.15"/>
    <row r="1227" s="120" customFormat="1" x14ac:dyDescent="0.15"/>
    <row r="1228" s="120" customFormat="1" x14ac:dyDescent="0.15"/>
    <row r="1229" s="120" customFormat="1" x14ac:dyDescent="0.15"/>
    <row r="1230" s="120" customFormat="1" x14ac:dyDescent="0.15"/>
    <row r="1231" s="120" customFormat="1" x14ac:dyDescent="0.15"/>
    <row r="1232" s="120" customFormat="1" x14ac:dyDescent="0.15"/>
    <row r="1233" s="120" customFormat="1" x14ac:dyDescent="0.15"/>
    <row r="1234" s="120" customFormat="1" x14ac:dyDescent="0.15"/>
    <row r="1235" s="120" customFormat="1" x14ac:dyDescent="0.15"/>
    <row r="1236" s="120" customFormat="1" x14ac:dyDescent="0.15"/>
    <row r="1237" s="120" customFormat="1" x14ac:dyDescent="0.15"/>
    <row r="1238" s="120" customFormat="1" x14ac:dyDescent="0.15"/>
    <row r="1239" s="120" customFormat="1" x14ac:dyDescent="0.15"/>
    <row r="1240" s="120" customFormat="1" x14ac:dyDescent="0.15"/>
    <row r="1241" s="120" customFormat="1" x14ac:dyDescent="0.15"/>
    <row r="1242" s="120" customFormat="1" x14ac:dyDescent="0.15"/>
    <row r="1243" s="120" customFormat="1" x14ac:dyDescent="0.15"/>
    <row r="1244" s="120" customFormat="1" x14ac:dyDescent="0.15"/>
    <row r="1245" s="120" customFormat="1" x14ac:dyDescent="0.15"/>
    <row r="1246" s="120" customFormat="1" x14ac:dyDescent="0.15"/>
    <row r="1247" s="120" customFormat="1" x14ac:dyDescent="0.15"/>
    <row r="1248" s="120" customFormat="1" x14ac:dyDescent="0.15"/>
    <row r="1249" s="120" customFormat="1" x14ac:dyDescent="0.15"/>
    <row r="1250" s="120" customFormat="1" x14ac:dyDescent="0.15"/>
    <row r="1251" s="120" customFormat="1" x14ac:dyDescent="0.15"/>
    <row r="1252" s="120" customFormat="1" x14ac:dyDescent="0.15"/>
    <row r="1253" s="120" customFormat="1" x14ac:dyDescent="0.15"/>
    <row r="1254" s="120" customFormat="1" x14ac:dyDescent="0.15"/>
    <row r="1255" s="120" customFormat="1" x14ac:dyDescent="0.15"/>
    <row r="1256" s="120" customFormat="1" x14ac:dyDescent="0.15"/>
    <row r="1257" s="120" customFormat="1" x14ac:dyDescent="0.15"/>
    <row r="1258" s="120" customFormat="1" x14ac:dyDescent="0.15"/>
    <row r="1259" s="120" customFormat="1" x14ac:dyDescent="0.15"/>
    <row r="1260" s="120" customFormat="1" x14ac:dyDescent="0.15"/>
    <row r="1261" s="120" customFormat="1" x14ac:dyDescent="0.15"/>
    <row r="1262" s="120" customFormat="1" x14ac:dyDescent="0.15"/>
    <row r="1263" s="120" customFormat="1" x14ac:dyDescent="0.15"/>
    <row r="1264" s="120" customFormat="1" x14ac:dyDescent="0.15"/>
    <row r="1265" s="120" customFormat="1" x14ac:dyDescent="0.15"/>
    <row r="1266" s="120" customFormat="1" x14ac:dyDescent="0.15"/>
    <row r="1267" s="120" customFormat="1" x14ac:dyDescent="0.15"/>
    <row r="1268" s="120" customFormat="1" x14ac:dyDescent="0.15"/>
    <row r="1269" s="120" customFormat="1" x14ac:dyDescent="0.15"/>
    <row r="1270" s="120" customFormat="1" x14ac:dyDescent="0.15"/>
    <row r="1271" s="120" customFormat="1" x14ac:dyDescent="0.15"/>
    <row r="1272" s="120" customFormat="1" x14ac:dyDescent="0.15"/>
    <row r="1273" s="120" customFormat="1" x14ac:dyDescent="0.15"/>
    <row r="1274" s="120" customFormat="1" x14ac:dyDescent="0.15"/>
    <row r="1275" s="120" customFormat="1" x14ac:dyDescent="0.15"/>
    <row r="1276" s="120" customFormat="1" x14ac:dyDescent="0.15"/>
    <row r="1277" s="120" customFormat="1" x14ac:dyDescent="0.15"/>
    <row r="1278" s="120" customFormat="1" x14ac:dyDescent="0.15"/>
    <row r="1279" s="120" customFormat="1" x14ac:dyDescent="0.15"/>
    <row r="1280" s="120" customFormat="1" x14ac:dyDescent="0.15"/>
    <row r="1281" s="120" customFormat="1" x14ac:dyDescent="0.15"/>
    <row r="1282" s="120" customFormat="1" x14ac:dyDescent="0.15"/>
    <row r="1283" s="120" customFormat="1" x14ac:dyDescent="0.15"/>
    <row r="1284" s="120" customFormat="1" x14ac:dyDescent="0.15"/>
    <row r="1285" s="120" customFormat="1" x14ac:dyDescent="0.15"/>
    <row r="1286" s="120" customFormat="1" x14ac:dyDescent="0.15"/>
    <row r="1287" s="120" customFormat="1" x14ac:dyDescent="0.15"/>
    <row r="1288" s="120" customFormat="1" x14ac:dyDescent="0.15"/>
    <row r="1289" s="120" customFormat="1" x14ac:dyDescent="0.15"/>
    <row r="1290" s="120" customFormat="1" x14ac:dyDescent="0.15"/>
    <row r="1291" s="120" customFormat="1" x14ac:dyDescent="0.15"/>
    <row r="1292" s="120" customFormat="1" x14ac:dyDescent="0.15"/>
    <row r="1293" s="120" customFormat="1" x14ac:dyDescent="0.15"/>
    <row r="1294" s="120" customFormat="1" x14ac:dyDescent="0.15"/>
    <row r="1295" s="120" customFormat="1" x14ac:dyDescent="0.15"/>
    <row r="1296" s="120" customFormat="1" x14ac:dyDescent="0.15"/>
    <row r="1297" s="120" customFormat="1" x14ac:dyDescent="0.15"/>
    <row r="1298" s="120" customFormat="1" x14ac:dyDescent="0.15"/>
    <row r="1299" s="120" customFormat="1" x14ac:dyDescent="0.15"/>
    <row r="1300" s="120" customFormat="1" x14ac:dyDescent="0.15"/>
    <row r="1301" s="120" customFormat="1" x14ac:dyDescent="0.15"/>
    <row r="1302" s="120" customFormat="1" x14ac:dyDescent="0.15"/>
    <row r="1303" s="120" customFormat="1" x14ac:dyDescent="0.15"/>
    <row r="1304" s="120" customFormat="1" x14ac:dyDescent="0.15"/>
    <row r="1305" s="120" customFormat="1" x14ac:dyDescent="0.15"/>
    <row r="1306" s="120" customFormat="1" x14ac:dyDescent="0.15"/>
    <row r="1307" s="120" customFormat="1" x14ac:dyDescent="0.15"/>
    <row r="1308" s="120" customFormat="1" x14ac:dyDescent="0.15"/>
    <row r="1309" s="120" customFormat="1" x14ac:dyDescent="0.15"/>
    <row r="1310" s="120" customFormat="1" x14ac:dyDescent="0.15"/>
    <row r="1311" s="120" customFormat="1" x14ac:dyDescent="0.15"/>
    <row r="1312" s="120" customFormat="1" x14ac:dyDescent="0.15"/>
    <row r="1313" s="120" customFormat="1" x14ac:dyDescent="0.15"/>
    <row r="1314" s="120" customFormat="1" x14ac:dyDescent="0.15"/>
    <row r="1315" s="120" customFormat="1" x14ac:dyDescent="0.15"/>
    <row r="1316" s="120" customFormat="1" x14ac:dyDescent="0.15"/>
    <row r="1317" s="120" customFormat="1" x14ac:dyDescent="0.15"/>
    <row r="1318" s="120" customFormat="1" x14ac:dyDescent="0.15"/>
    <row r="1319" s="120" customFormat="1" x14ac:dyDescent="0.15"/>
    <row r="1320" s="120" customFormat="1" x14ac:dyDescent="0.15"/>
    <row r="1321" s="120" customFormat="1" x14ac:dyDescent="0.15"/>
    <row r="1322" s="120" customFormat="1" x14ac:dyDescent="0.15"/>
    <row r="1323" s="120" customFormat="1" x14ac:dyDescent="0.15"/>
    <row r="1324" s="120" customFormat="1" x14ac:dyDescent="0.15"/>
    <row r="1325" s="120" customFormat="1" x14ac:dyDescent="0.15"/>
    <row r="1326" s="120" customFormat="1" x14ac:dyDescent="0.15"/>
    <row r="1327" s="120" customFormat="1" x14ac:dyDescent="0.15"/>
    <row r="1328" s="120" customFormat="1" x14ac:dyDescent="0.15"/>
    <row r="1329" s="120" customFormat="1" x14ac:dyDescent="0.15"/>
    <row r="1330" s="120" customFormat="1" x14ac:dyDescent="0.15"/>
    <row r="1331" s="120" customFormat="1" x14ac:dyDescent="0.15"/>
    <row r="1332" s="120" customFormat="1" x14ac:dyDescent="0.15"/>
    <row r="1333" s="120" customFormat="1" x14ac:dyDescent="0.15"/>
    <row r="1334" s="120" customFormat="1" x14ac:dyDescent="0.15"/>
    <row r="1335" s="120" customFormat="1" x14ac:dyDescent="0.15"/>
    <row r="1336" s="120" customFormat="1" x14ac:dyDescent="0.15"/>
    <row r="1337" s="120" customFormat="1" x14ac:dyDescent="0.15"/>
    <row r="1338" s="120" customFormat="1" x14ac:dyDescent="0.15"/>
    <row r="1339" s="120" customFormat="1" x14ac:dyDescent="0.15"/>
    <row r="1340" s="120" customFormat="1" x14ac:dyDescent="0.15"/>
    <row r="1341" s="120" customFormat="1" x14ac:dyDescent="0.15"/>
    <row r="1342" s="120" customFormat="1" x14ac:dyDescent="0.15"/>
    <row r="1343" s="120" customFormat="1" x14ac:dyDescent="0.15"/>
    <row r="1344" s="120" customFormat="1" x14ac:dyDescent="0.15"/>
    <row r="1345" s="120" customFormat="1" x14ac:dyDescent="0.15"/>
    <row r="1346" s="120" customFormat="1" x14ac:dyDescent="0.15"/>
    <row r="1347" s="120" customFormat="1" x14ac:dyDescent="0.15"/>
    <row r="1348" s="120" customFormat="1" x14ac:dyDescent="0.15"/>
    <row r="1349" s="120" customFormat="1" x14ac:dyDescent="0.15"/>
    <row r="1350" s="120" customFormat="1" x14ac:dyDescent="0.15"/>
    <row r="1351" s="120" customFormat="1" x14ac:dyDescent="0.15"/>
    <row r="1352" s="120" customFormat="1" x14ac:dyDescent="0.15"/>
    <row r="1353" s="120" customFormat="1" x14ac:dyDescent="0.15"/>
    <row r="1354" s="120" customFormat="1" x14ac:dyDescent="0.15"/>
    <row r="1355" s="120" customFormat="1" x14ac:dyDescent="0.15"/>
    <row r="1356" s="120" customFormat="1" x14ac:dyDescent="0.15"/>
    <row r="1357" s="120" customFormat="1" x14ac:dyDescent="0.15"/>
    <row r="1358" s="120" customFormat="1" x14ac:dyDescent="0.15"/>
    <row r="1359" s="120" customFormat="1" x14ac:dyDescent="0.15"/>
    <row r="1360" s="120" customFormat="1" x14ac:dyDescent="0.15"/>
    <row r="1361" s="120" customFormat="1" x14ac:dyDescent="0.15"/>
    <row r="1362" s="120" customFormat="1" x14ac:dyDescent="0.15"/>
    <row r="1363" s="120" customFormat="1" x14ac:dyDescent="0.15"/>
    <row r="1364" s="120" customFormat="1" x14ac:dyDescent="0.15"/>
    <row r="1365" s="120" customFormat="1" x14ac:dyDescent="0.15"/>
    <row r="1366" s="120" customFormat="1" x14ac:dyDescent="0.15"/>
    <row r="1367" s="120" customFormat="1" x14ac:dyDescent="0.15"/>
    <row r="1368" s="120" customFormat="1" x14ac:dyDescent="0.15"/>
    <row r="1369" s="120" customFormat="1" x14ac:dyDescent="0.15"/>
    <row r="1370" s="120" customFormat="1" x14ac:dyDescent="0.15"/>
    <row r="1371" s="120" customFormat="1" x14ac:dyDescent="0.15"/>
    <row r="1372" s="120" customFormat="1" x14ac:dyDescent="0.15"/>
    <row r="1373" s="120" customFormat="1" x14ac:dyDescent="0.15"/>
    <row r="1374" s="120" customFormat="1" x14ac:dyDescent="0.15"/>
    <row r="1375" s="120" customFormat="1" x14ac:dyDescent="0.15"/>
    <row r="1376" s="120" customFormat="1" x14ac:dyDescent="0.15"/>
    <row r="1377" s="120" customFormat="1" x14ac:dyDescent="0.15"/>
    <row r="1378" s="120" customFormat="1" x14ac:dyDescent="0.15"/>
    <row r="1379" s="120" customFormat="1" x14ac:dyDescent="0.15"/>
    <row r="1380" s="120" customFormat="1" x14ac:dyDescent="0.15"/>
    <row r="1381" s="120" customFormat="1" x14ac:dyDescent="0.15"/>
    <row r="1382" s="120" customFormat="1" x14ac:dyDescent="0.15"/>
    <row r="1383" s="120" customFormat="1" x14ac:dyDescent="0.15"/>
    <row r="1384" s="120" customFormat="1" x14ac:dyDescent="0.15"/>
    <row r="1385" s="120" customFormat="1" x14ac:dyDescent="0.15"/>
    <row r="1386" s="120" customFormat="1" x14ac:dyDescent="0.15"/>
    <row r="1387" s="120" customFormat="1" x14ac:dyDescent="0.15"/>
    <row r="1388" s="120" customFormat="1" x14ac:dyDescent="0.15"/>
    <row r="1389" s="120" customFormat="1" x14ac:dyDescent="0.15"/>
    <row r="1390" s="120" customFormat="1" x14ac:dyDescent="0.15"/>
    <row r="1391" s="120" customFormat="1" x14ac:dyDescent="0.15"/>
    <row r="1392" s="120" customFormat="1" x14ac:dyDescent="0.15"/>
    <row r="1393" s="120" customFormat="1" x14ac:dyDescent="0.15"/>
    <row r="1394" s="120" customFormat="1" x14ac:dyDescent="0.15"/>
    <row r="1395" s="120" customFormat="1" x14ac:dyDescent="0.15"/>
    <row r="1396" s="120" customFormat="1" x14ac:dyDescent="0.15"/>
    <row r="1397" s="120" customFormat="1" x14ac:dyDescent="0.15"/>
    <row r="1398" s="120" customFormat="1" x14ac:dyDescent="0.15"/>
    <row r="1399" s="120" customFormat="1" x14ac:dyDescent="0.15"/>
    <row r="1400" s="120" customFormat="1" x14ac:dyDescent="0.15"/>
    <row r="1401" s="120" customFormat="1" x14ac:dyDescent="0.15"/>
    <row r="1402" s="120" customFormat="1" x14ac:dyDescent="0.15"/>
    <row r="1403" s="120" customFormat="1" x14ac:dyDescent="0.15"/>
    <row r="1404" s="120" customFormat="1" x14ac:dyDescent="0.15"/>
    <row r="1405" s="120" customFormat="1" x14ac:dyDescent="0.15"/>
    <row r="1406" s="120" customFormat="1" x14ac:dyDescent="0.15"/>
    <row r="1407" s="120" customFormat="1" x14ac:dyDescent="0.15"/>
    <row r="1408" s="120" customFormat="1" x14ac:dyDescent="0.15"/>
    <row r="1409" s="120" customFormat="1" x14ac:dyDescent="0.15"/>
    <row r="1410" s="120" customFormat="1" x14ac:dyDescent="0.15"/>
    <row r="1411" s="120" customFormat="1" x14ac:dyDescent="0.15"/>
    <row r="1412" s="120" customFormat="1" x14ac:dyDescent="0.15"/>
    <row r="1413" s="120" customFormat="1" x14ac:dyDescent="0.15"/>
    <row r="1414" s="120" customFormat="1" x14ac:dyDescent="0.15"/>
    <row r="1415" s="120" customFormat="1" x14ac:dyDescent="0.15"/>
    <row r="1416" s="120" customFormat="1" x14ac:dyDescent="0.15"/>
    <row r="1417" s="120" customFormat="1" x14ac:dyDescent="0.15"/>
    <row r="1418" s="120" customFormat="1" x14ac:dyDescent="0.15"/>
    <row r="1419" s="120" customFormat="1" x14ac:dyDescent="0.15"/>
    <row r="1420" s="120" customFormat="1" x14ac:dyDescent="0.15"/>
    <row r="1421" s="120" customFormat="1" x14ac:dyDescent="0.15"/>
    <row r="1422" s="120" customFormat="1" x14ac:dyDescent="0.15"/>
    <row r="1423" s="120" customFormat="1" x14ac:dyDescent="0.15"/>
    <row r="1424" s="120" customFormat="1" x14ac:dyDescent="0.15"/>
    <row r="1425" s="120" customFormat="1" x14ac:dyDescent="0.15"/>
    <row r="1426" s="120" customFormat="1" x14ac:dyDescent="0.15"/>
    <row r="1427" s="120" customFormat="1" x14ac:dyDescent="0.15"/>
    <row r="1428" s="120" customFormat="1" x14ac:dyDescent="0.15"/>
    <row r="1429" s="120" customFormat="1" x14ac:dyDescent="0.15"/>
    <row r="1430" s="120" customFormat="1" x14ac:dyDescent="0.15"/>
    <row r="1431" s="120" customFormat="1" x14ac:dyDescent="0.15"/>
    <row r="1432" s="120" customFormat="1" x14ac:dyDescent="0.15"/>
    <row r="1433" s="120" customFormat="1" x14ac:dyDescent="0.15"/>
    <row r="1434" s="120" customFormat="1" x14ac:dyDescent="0.15"/>
    <row r="1435" s="120" customFormat="1" x14ac:dyDescent="0.15"/>
    <row r="1436" s="120" customFormat="1" x14ac:dyDescent="0.15"/>
    <row r="1437" s="120" customFormat="1" x14ac:dyDescent="0.15"/>
    <row r="1438" s="120" customFormat="1" x14ac:dyDescent="0.15"/>
    <row r="1439" s="120" customFormat="1" x14ac:dyDescent="0.15"/>
    <row r="1440" s="120" customFormat="1" x14ac:dyDescent="0.15"/>
    <row r="1441" s="120" customFormat="1" x14ac:dyDescent="0.15"/>
    <row r="1442" s="120" customFormat="1" x14ac:dyDescent="0.15"/>
    <row r="1443" s="120" customFormat="1" x14ac:dyDescent="0.15"/>
    <row r="1444" s="120" customFormat="1" x14ac:dyDescent="0.15"/>
    <row r="1445" s="120" customFormat="1" x14ac:dyDescent="0.15"/>
    <row r="1446" s="120" customFormat="1" x14ac:dyDescent="0.15"/>
    <row r="1447" s="120" customFormat="1" x14ac:dyDescent="0.15"/>
    <row r="1448" s="120" customFormat="1" x14ac:dyDescent="0.15"/>
    <row r="1449" s="120" customFormat="1" x14ac:dyDescent="0.15"/>
    <row r="1450" s="120" customFormat="1" x14ac:dyDescent="0.15"/>
    <row r="1451" s="120" customFormat="1" x14ac:dyDescent="0.15"/>
    <row r="1452" s="120" customFormat="1" x14ac:dyDescent="0.15"/>
    <row r="1453" s="120" customFormat="1" x14ac:dyDescent="0.15"/>
    <row r="1454" s="120" customFormat="1" x14ac:dyDescent="0.15"/>
    <row r="1455" s="120" customFormat="1" x14ac:dyDescent="0.15"/>
    <row r="1456" s="120" customFormat="1" x14ac:dyDescent="0.15"/>
    <row r="1457" s="120" customFormat="1" x14ac:dyDescent="0.15"/>
    <row r="1458" s="120" customFormat="1" x14ac:dyDescent="0.15"/>
    <row r="1459" s="120" customFormat="1" x14ac:dyDescent="0.15"/>
    <row r="1460" s="120" customFormat="1" x14ac:dyDescent="0.15"/>
    <row r="1461" s="120" customFormat="1" x14ac:dyDescent="0.15"/>
    <row r="1462" s="120" customFormat="1" x14ac:dyDescent="0.15"/>
    <row r="1463" s="120" customFormat="1" x14ac:dyDescent="0.15"/>
    <row r="1464" s="120" customFormat="1" x14ac:dyDescent="0.15"/>
    <row r="1465" s="120" customFormat="1" x14ac:dyDescent="0.15"/>
    <row r="1466" s="120" customFormat="1" x14ac:dyDescent="0.15"/>
    <row r="1467" s="120" customFormat="1" x14ac:dyDescent="0.15"/>
    <row r="1468" s="120" customFormat="1" x14ac:dyDescent="0.15"/>
    <row r="1469" s="120" customFormat="1" x14ac:dyDescent="0.15"/>
    <row r="1470" s="120" customFormat="1" x14ac:dyDescent="0.15"/>
    <row r="1471" s="120" customFormat="1" x14ac:dyDescent="0.15"/>
    <row r="1472" s="120" customFormat="1" x14ac:dyDescent="0.15"/>
    <row r="1473" s="120" customFormat="1" x14ac:dyDescent="0.15"/>
    <row r="1474" s="120" customFormat="1" x14ac:dyDescent="0.15"/>
    <row r="1475" s="120" customFormat="1" x14ac:dyDescent="0.15"/>
    <row r="1476" s="120" customFormat="1" x14ac:dyDescent="0.15"/>
    <row r="1477" s="120" customFormat="1" x14ac:dyDescent="0.15"/>
    <row r="1478" s="120" customFormat="1" x14ac:dyDescent="0.15"/>
    <row r="1479" s="120" customFormat="1" x14ac:dyDescent="0.15"/>
    <row r="1480" s="120" customFormat="1" x14ac:dyDescent="0.15"/>
    <row r="1481" s="120" customFormat="1" x14ac:dyDescent="0.15"/>
    <row r="1482" s="120" customFormat="1" x14ac:dyDescent="0.15"/>
    <row r="1483" s="120" customFormat="1" x14ac:dyDescent="0.15"/>
    <row r="1484" s="120" customFormat="1" x14ac:dyDescent="0.15"/>
    <row r="1485" s="120" customFormat="1" x14ac:dyDescent="0.15"/>
    <row r="1486" s="120" customFormat="1" x14ac:dyDescent="0.15"/>
    <row r="1487" s="120" customFormat="1" x14ac:dyDescent="0.15"/>
    <row r="1488" s="120" customFormat="1" x14ac:dyDescent="0.15"/>
    <row r="1489" s="120" customFormat="1" x14ac:dyDescent="0.15"/>
    <row r="1490" s="120" customFormat="1" x14ac:dyDescent="0.15"/>
    <row r="1491" s="120" customFormat="1" x14ac:dyDescent="0.15"/>
    <row r="1492" s="120" customFormat="1" x14ac:dyDescent="0.15"/>
    <row r="1493" s="120" customFormat="1" x14ac:dyDescent="0.15"/>
    <row r="1494" s="120" customFormat="1" x14ac:dyDescent="0.15"/>
    <row r="1495" s="120" customFormat="1" x14ac:dyDescent="0.15"/>
    <row r="1496" s="120" customFormat="1" x14ac:dyDescent="0.15"/>
    <row r="1497" s="120" customFormat="1" x14ac:dyDescent="0.15"/>
    <row r="1498" s="120" customFormat="1" x14ac:dyDescent="0.15"/>
    <row r="1499" s="120" customFormat="1" x14ac:dyDescent="0.15"/>
    <row r="1500" s="120" customFormat="1" x14ac:dyDescent="0.15"/>
    <row r="1501" s="120" customFormat="1" x14ac:dyDescent="0.15"/>
    <row r="1502" s="120" customFormat="1" x14ac:dyDescent="0.15"/>
    <row r="1503" s="120" customFormat="1" x14ac:dyDescent="0.15"/>
    <row r="1504" s="120" customFormat="1" x14ac:dyDescent="0.15"/>
    <row r="1505" s="120" customFormat="1" x14ac:dyDescent="0.15"/>
    <row r="1506" s="120" customFormat="1" x14ac:dyDescent="0.15"/>
    <row r="1507" s="120" customFormat="1" x14ac:dyDescent="0.15"/>
    <row r="1508" s="120" customFormat="1" x14ac:dyDescent="0.15"/>
    <row r="1509" s="120" customFormat="1" x14ac:dyDescent="0.15"/>
    <row r="1510" s="120" customFormat="1" x14ac:dyDescent="0.15"/>
    <row r="1511" s="120" customFormat="1" x14ac:dyDescent="0.15"/>
    <row r="1512" s="120" customFormat="1" x14ac:dyDescent="0.15"/>
    <row r="1513" s="120" customFormat="1" x14ac:dyDescent="0.15"/>
    <row r="1514" s="120" customFormat="1" x14ac:dyDescent="0.15"/>
    <row r="1515" s="120" customFormat="1" x14ac:dyDescent="0.15"/>
    <row r="1516" s="120" customFormat="1" x14ac:dyDescent="0.15"/>
    <row r="1517" s="120" customFormat="1" x14ac:dyDescent="0.15"/>
    <row r="1518" s="120" customFormat="1" x14ac:dyDescent="0.15"/>
    <row r="1519" s="120" customFormat="1" x14ac:dyDescent="0.15"/>
    <row r="1520" s="120" customFormat="1" x14ac:dyDescent="0.15"/>
    <row r="1521" s="120" customFormat="1" x14ac:dyDescent="0.15"/>
    <row r="1522" s="120" customFormat="1" x14ac:dyDescent="0.15"/>
    <row r="1523" s="120" customFormat="1" x14ac:dyDescent="0.15"/>
    <row r="1524" s="120" customFormat="1" x14ac:dyDescent="0.15"/>
    <row r="1525" s="120" customFormat="1" x14ac:dyDescent="0.15"/>
    <row r="1526" s="120" customFormat="1" x14ac:dyDescent="0.15"/>
    <row r="1527" s="120" customFormat="1" x14ac:dyDescent="0.15"/>
    <row r="1528" s="120" customFormat="1" x14ac:dyDescent="0.15"/>
    <row r="1529" s="120" customFormat="1" x14ac:dyDescent="0.15"/>
    <row r="1530" s="120" customFormat="1" x14ac:dyDescent="0.15"/>
    <row r="1531" s="120" customFormat="1" x14ac:dyDescent="0.15"/>
    <row r="1532" s="120" customFormat="1" x14ac:dyDescent="0.15"/>
    <row r="1533" s="120" customFormat="1" x14ac:dyDescent="0.15"/>
    <row r="1534" s="120" customFormat="1" x14ac:dyDescent="0.15"/>
    <row r="1535" s="120" customFormat="1" x14ac:dyDescent="0.15"/>
    <row r="1536" s="120" customFormat="1" x14ac:dyDescent="0.15"/>
    <row r="1537" s="120" customFormat="1" x14ac:dyDescent="0.15"/>
    <row r="1538" s="120" customFormat="1" x14ac:dyDescent="0.15"/>
    <row r="1539" s="120" customFormat="1" x14ac:dyDescent="0.15"/>
    <row r="1540" s="120" customFormat="1" x14ac:dyDescent="0.15"/>
    <row r="1541" s="120" customFormat="1" x14ac:dyDescent="0.15"/>
    <row r="1542" s="120" customFormat="1" x14ac:dyDescent="0.15"/>
    <row r="1543" s="120" customFormat="1" x14ac:dyDescent="0.15"/>
    <row r="1544" s="120" customFormat="1" x14ac:dyDescent="0.15"/>
    <row r="1545" s="120" customFormat="1" x14ac:dyDescent="0.15"/>
    <row r="1546" s="120" customFormat="1" x14ac:dyDescent="0.15"/>
    <row r="1547" s="120" customFormat="1" x14ac:dyDescent="0.15"/>
    <row r="1548" s="120" customFormat="1" x14ac:dyDescent="0.15"/>
    <row r="1549" s="120" customFormat="1" x14ac:dyDescent="0.15"/>
    <row r="1550" s="120" customFormat="1" x14ac:dyDescent="0.15"/>
    <row r="1551" s="120" customFormat="1" x14ac:dyDescent="0.15"/>
    <row r="1552" s="120" customFormat="1" x14ac:dyDescent="0.15"/>
    <row r="1553" s="120" customFormat="1" x14ac:dyDescent="0.15"/>
    <row r="1554" s="120" customFormat="1" x14ac:dyDescent="0.15"/>
    <row r="1555" s="120" customFormat="1" x14ac:dyDescent="0.15"/>
    <row r="1556" s="120" customFormat="1" x14ac:dyDescent="0.15"/>
    <row r="1557" s="120" customFormat="1" x14ac:dyDescent="0.15"/>
    <row r="1558" s="120" customFormat="1" x14ac:dyDescent="0.15"/>
    <row r="1559" s="120" customFormat="1" x14ac:dyDescent="0.15"/>
    <row r="1560" s="120" customFormat="1" x14ac:dyDescent="0.15"/>
    <row r="1561" s="120" customFormat="1" x14ac:dyDescent="0.15"/>
    <row r="1562" s="120" customFormat="1" x14ac:dyDescent="0.15"/>
    <row r="1563" s="120" customFormat="1" x14ac:dyDescent="0.15"/>
    <row r="1564" s="120" customFormat="1" x14ac:dyDescent="0.15"/>
    <row r="1565" s="120" customFormat="1" x14ac:dyDescent="0.15"/>
    <row r="1566" s="120" customFormat="1" x14ac:dyDescent="0.15"/>
    <row r="1567" s="120" customFormat="1" x14ac:dyDescent="0.15"/>
    <row r="1568" s="120" customFormat="1" x14ac:dyDescent="0.15"/>
    <row r="1569" s="120" customFormat="1" x14ac:dyDescent="0.15"/>
    <row r="1570" s="120" customFormat="1" x14ac:dyDescent="0.15"/>
    <row r="1571" s="120" customFormat="1" x14ac:dyDescent="0.15"/>
    <row r="1572" s="120" customFormat="1" x14ac:dyDescent="0.15"/>
    <row r="1573" s="120" customFormat="1" x14ac:dyDescent="0.15"/>
    <row r="1574" s="120" customFormat="1" x14ac:dyDescent="0.15"/>
    <row r="1575" s="120" customFormat="1" x14ac:dyDescent="0.15"/>
    <row r="1576" s="120" customFormat="1" x14ac:dyDescent="0.15"/>
    <row r="1577" s="120" customFormat="1" x14ac:dyDescent="0.15"/>
    <row r="1578" s="120" customFormat="1" x14ac:dyDescent="0.15"/>
    <row r="1579" s="120" customFormat="1" x14ac:dyDescent="0.15"/>
    <row r="1580" s="120" customFormat="1" x14ac:dyDescent="0.15"/>
    <row r="1581" s="120" customFormat="1" x14ac:dyDescent="0.15"/>
    <row r="1582" s="120" customFormat="1" x14ac:dyDescent="0.15"/>
    <row r="1583" s="120" customFormat="1" x14ac:dyDescent="0.15"/>
    <row r="1584" s="120" customFormat="1" x14ac:dyDescent="0.15"/>
    <row r="1585" s="120" customFormat="1" x14ac:dyDescent="0.15"/>
    <row r="1586" s="120" customFormat="1" x14ac:dyDescent="0.15"/>
    <row r="1587" s="120" customFormat="1" x14ac:dyDescent="0.15"/>
    <row r="1588" s="120" customFormat="1" x14ac:dyDescent="0.15"/>
    <row r="1589" s="120" customFormat="1" x14ac:dyDescent="0.15"/>
    <row r="1590" s="120" customFormat="1" x14ac:dyDescent="0.15"/>
    <row r="1591" s="120" customFormat="1" x14ac:dyDescent="0.15"/>
    <row r="1592" s="120" customFormat="1" x14ac:dyDescent="0.15"/>
    <row r="1593" s="120" customFormat="1" x14ac:dyDescent="0.15"/>
    <row r="1594" s="120" customFormat="1" x14ac:dyDescent="0.15"/>
    <row r="1595" s="120" customFormat="1" x14ac:dyDescent="0.15"/>
    <row r="1596" s="120" customFormat="1" x14ac:dyDescent="0.15"/>
    <row r="1597" s="120" customFormat="1" x14ac:dyDescent="0.15"/>
    <row r="1598" s="120" customFormat="1" x14ac:dyDescent="0.15"/>
    <row r="1599" s="120" customFormat="1" x14ac:dyDescent="0.15"/>
    <row r="1600" s="120" customFormat="1" x14ac:dyDescent="0.15"/>
    <row r="1601" s="120" customFormat="1" x14ac:dyDescent="0.15"/>
    <row r="1602" s="120" customFormat="1" x14ac:dyDescent="0.15"/>
    <row r="1603" s="120" customFormat="1" x14ac:dyDescent="0.15"/>
    <row r="1604" s="120" customFormat="1" x14ac:dyDescent="0.15"/>
    <row r="1605" s="120" customFormat="1" x14ac:dyDescent="0.15"/>
    <row r="1606" s="120" customFormat="1" x14ac:dyDescent="0.15"/>
    <row r="1607" s="120" customFormat="1" x14ac:dyDescent="0.15"/>
    <row r="1608" s="120" customFormat="1" x14ac:dyDescent="0.15"/>
    <row r="1609" s="120" customFormat="1" x14ac:dyDescent="0.15"/>
    <row r="1610" s="120" customFormat="1" x14ac:dyDescent="0.15"/>
    <row r="1611" s="120" customFormat="1" x14ac:dyDescent="0.15"/>
    <row r="1612" s="120" customFormat="1" x14ac:dyDescent="0.15"/>
    <row r="1613" s="120" customFormat="1" x14ac:dyDescent="0.15"/>
    <row r="1614" s="120" customFormat="1" x14ac:dyDescent="0.15"/>
    <row r="1615" s="120" customFormat="1" x14ac:dyDescent="0.15"/>
    <row r="1616" s="120" customFormat="1" x14ac:dyDescent="0.15"/>
    <row r="1617" s="120" customFormat="1" x14ac:dyDescent="0.15"/>
    <row r="1618" s="120" customFormat="1" x14ac:dyDescent="0.15"/>
    <row r="1619" s="120" customFormat="1" x14ac:dyDescent="0.15"/>
    <row r="1620" s="120" customFormat="1" x14ac:dyDescent="0.15"/>
    <row r="1621" s="120" customFormat="1" x14ac:dyDescent="0.15"/>
    <row r="1622" s="120" customFormat="1" x14ac:dyDescent="0.15"/>
    <row r="1623" s="120" customFormat="1" x14ac:dyDescent="0.15"/>
    <row r="1624" s="120" customFormat="1" x14ac:dyDescent="0.15"/>
    <row r="1625" s="120" customFormat="1" x14ac:dyDescent="0.15"/>
    <row r="1626" s="120" customFormat="1" x14ac:dyDescent="0.15"/>
    <row r="1627" s="120" customFormat="1" x14ac:dyDescent="0.15"/>
    <row r="1628" s="120" customFormat="1" x14ac:dyDescent="0.15"/>
    <row r="1629" s="120" customFormat="1" x14ac:dyDescent="0.15"/>
    <row r="1630" s="120" customFormat="1" x14ac:dyDescent="0.15"/>
    <row r="1631" s="120" customFormat="1" x14ac:dyDescent="0.15"/>
    <row r="1632" s="120" customFormat="1" x14ac:dyDescent="0.15"/>
    <row r="1633" s="120" customFormat="1" x14ac:dyDescent="0.15"/>
    <row r="1634" s="120" customFormat="1" x14ac:dyDescent="0.15"/>
    <row r="1635" s="120" customFormat="1" x14ac:dyDescent="0.15"/>
    <row r="1636" s="120" customFormat="1" x14ac:dyDescent="0.15"/>
    <row r="1637" s="120" customFormat="1" x14ac:dyDescent="0.15"/>
    <row r="1638" s="120" customFormat="1" x14ac:dyDescent="0.15"/>
    <row r="1639" s="120" customFormat="1" x14ac:dyDescent="0.15"/>
    <row r="1640" s="120" customFormat="1" x14ac:dyDescent="0.15"/>
    <row r="1641" s="120" customFormat="1" x14ac:dyDescent="0.15"/>
    <row r="1642" s="120" customFormat="1" x14ac:dyDescent="0.15"/>
    <row r="1643" s="120" customFormat="1" x14ac:dyDescent="0.15"/>
    <row r="1644" s="120" customFormat="1" x14ac:dyDescent="0.15"/>
    <row r="1645" s="120" customFormat="1" x14ac:dyDescent="0.15"/>
    <row r="1646" s="120" customFormat="1" x14ac:dyDescent="0.15"/>
    <row r="1647" s="120" customFormat="1" x14ac:dyDescent="0.15"/>
    <row r="1648" s="120" customFormat="1" x14ac:dyDescent="0.15"/>
    <row r="1649" s="120" customFormat="1" x14ac:dyDescent="0.15"/>
    <row r="1650" s="120" customFormat="1" x14ac:dyDescent="0.15"/>
    <row r="1651" s="120" customFormat="1" x14ac:dyDescent="0.15"/>
    <row r="1652" s="120" customFormat="1" x14ac:dyDescent="0.15"/>
    <row r="1653" s="120" customFormat="1" x14ac:dyDescent="0.15"/>
    <row r="1654" s="120" customFormat="1" x14ac:dyDescent="0.15"/>
    <row r="1655" s="120" customFormat="1" x14ac:dyDescent="0.15"/>
    <row r="1656" s="120" customFormat="1" x14ac:dyDescent="0.15"/>
    <row r="1657" s="120" customFormat="1" x14ac:dyDescent="0.15"/>
    <row r="1658" s="120" customFormat="1" x14ac:dyDescent="0.15"/>
    <row r="1659" s="120" customFormat="1" x14ac:dyDescent="0.15"/>
    <row r="1660" s="120" customFormat="1" x14ac:dyDescent="0.15"/>
    <row r="1661" s="120" customFormat="1" x14ac:dyDescent="0.15"/>
    <row r="1662" s="120" customFormat="1" x14ac:dyDescent="0.15"/>
    <row r="1663" s="120" customFormat="1" x14ac:dyDescent="0.15"/>
    <row r="1664" s="120" customFormat="1" x14ac:dyDescent="0.15"/>
    <row r="1665" s="120" customFormat="1" x14ac:dyDescent="0.15"/>
    <row r="1666" s="120" customFormat="1" x14ac:dyDescent="0.15"/>
    <row r="1667" s="120" customFormat="1" x14ac:dyDescent="0.15"/>
    <row r="1668" s="120" customFormat="1" x14ac:dyDescent="0.15"/>
    <row r="1669" s="120" customFormat="1" x14ac:dyDescent="0.15"/>
    <row r="1670" s="120" customFormat="1" x14ac:dyDescent="0.15"/>
    <row r="1671" s="120" customFormat="1" x14ac:dyDescent="0.15"/>
    <row r="1672" s="120" customFormat="1" x14ac:dyDescent="0.15"/>
    <row r="1673" s="120" customFormat="1" x14ac:dyDescent="0.15"/>
    <row r="1674" s="120" customFormat="1" x14ac:dyDescent="0.15"/>
    <row r="1675" s="120" customFormat="1" x14ac:dyDescent="0.15"/>
    <row r="1676" s="120" customFormat="1" x14ac:dyDescent="0.15"/>
    <row r="1677" s="120" customFormat="1" x14ac:dyDescent="0.15"/>
    <row r="1678" s="120" customFormat="1" x14ac:dyDescent="0.15"/>
    <row r="1679" s="120" customFormat="1" x14ac:dyDescent="0.15"/>
    <row r="1680" s="120" customFormat="1" x14ac:dyDescent="0.15"/>
    <row r="1681" s="120" customFormat="1" x14ac:dyDescent="0.15"/>
    <row r="1682" s="120" customFormat="1" x14ac:dyDescent="0.15"/>
    <row r="1683" s="120" customFormat="1" x14ac:dyDescent="0.15"/>
    <row r="1684" s="120" customFormat="1" x14ac:dyDescent="0.15"/>
    <row r="1685" s="120" customFormat="1" x14ac:dyDescent="0.15"/>
    <row r="1686" s="120" customFormat="1" x14ac:dyDescent="0.15"/>
    <row r="1687" s="120" customFormat="1" x14ac:dyDescent="0.15"/>
    <row r="1688" s="120" customFormat="1" x14ac:dyDescent="0.15"/>
    <row r="1689" s="120" customFormat="1" x14ac:dyDescent="0.15"/>
    <row r="1690" s="120" customFormat="1" x14ac:dyDescent="0.15"/>
    <row r="1691" s="120" customFormat="1" x14ac:dyDescent="0.15"/>
    <row r="1692" s="120" customFormat="1" x14ac:dyDescent="0.15"/>
    <row r="1693" s="120" customFormat="1" x14ac:dyDescent="0.15"/>
    <row r="1694" s="120" customFormat="1" x14ac:dyDescent="0.15"/>
    <row r="1695" s="120" customFormat="1" x14ac:dyDescent="0.15"/>
    <row r="1696" s="120" customFormat="1" x14ac:dyDescent="0.15"/>
    <row r="1697" s="120" customFormat="1" x14ac:dyDescent="0.15"/>
    <row r="1698" s="120" customFormat="1" x14ac:dyDescent="0.15"/>
    <row r="1699" s="120" customFormat="1" x14ac:dyDescent="0.15"/>
    <row r="1700" s="120" customFormat="1" x14ac:dyDescent="0.15"/>
    <row r="1701" s="120" customFormat="1" x14ac:dyDescent="0.15"/>
    <row r="1702" s="120" customFormat="1" x14ac:dyDescent="0.15"/>
    <row r="1703" s="120" customFormat="1" x14ac:dyDescent="0.15"/>
    <row r="1704" s="120" customFormat="1" x14ac:dyDescent="0.15"/>
    <row r="1705" s="120" customFormat="1" x14ac:dyDescent="0.15"/>
    <row r="1706" s="120" customFormat="1" x14ac:dyDescent="0.15"/>
    <row r="1707" s="120" customFormat="1" x14ac:dyDescent="0.15"/>
    <row r="1708" s="120" customFormat="1" x14ac:dyDescent="0.15"/>
    <row r="1709" s="120" customFormat="1" x14ac:dyDescent="0.15"/>
    <row r="1710" s="120" customFormat="1" x14ac:dyDescent="0.15"/>
    <row r="1711" s="120" customFormat="1" x14ac:dyDescent="0.15"/>
    <row r="1712" s="120" customFormat="1" x14ac:dyDescent="0.15"/>
    <row r="1713" s="120" customFormat="1" x14ac:dyDescent="0.15"/>
    <row r="1714" s="120" customFormat="1" x14ac:dyDescent="0.15"/>
    <row r="1715" s="120" customFormat="1" x14ac:dyDescent="0.15"/>
    <row r="1716" s="120" customFormat="1" x14ac:dyDescent="0.15"/>
    <row r="1717" s="120" customFormat="1" x14ac:dyDescent="0.15"/>
    <row r="1718" s="120" customFormat="1" x14ac:dyDescent="0.15"/>
    <row r="1719" s="120" customFormat="1" x14ac:dyDescent="0.15"/>
    <row r="1720" s="120" customFormat="1" x14ac:dyDescent="0.15"/>
    <row r="1721" s="120" customFormat="1" x14ac:dyDescent="0.15"/>
    <row r="1722" s="120" customFormat="1" x14ac:dyDescent="0.15"/>
    <row r="1723" s="120" customFormat="1" x14ac:dyDescent="0.15"/>
    <row r="1724" s="120" customFormat="1" x14ac:dyDescent="0.15"/>
    <row r="1725" s="120" customFormat="1" x14ac:dyDescent="0.15"/>
    <row r="1726" s="120" customFormat="1" x14ac:dyDescent="0.15"/>
    <row r="1727" s="120" customFormat="1" x14ac:dyDescent="0.15"/>
    <row r="1728" s="120" customFormat="1" x14ac:dyDescent="0.15"/>
    <row r="1729" s="120" customFormat="1" x14ac:dyDescent="0.15"/>
    <row r="1730" s="120" customFormat="1" x14ac:dyDescent="0.15"/>
    <row r="1731" s="120" customFormat="1" x14ac:dyDescent="0.15"/>
    <row r="1732" s="120" customFormat="1" x14ac:dyDescent="0.15"/>
    <row r="1733" s="120" customFormat="1" x14ac:dyDescent="0.15"/>
    <row r="1734" s="120" customFormat="1" x14ac:dyDescent="0.15"/>
    <row r="1735" s="120" customFormat="1" x14ac:dyDescent="0.15"/>
    <row r="1736" s="120" customFormat="1" x14ac:dyDescent="0.15"/>
    <row r="1737" s="120" customFormat="1" x14ac:dyDescent="0.15"/>
    <row r="1738" s="120" customFormat="1" x14ac:dyDescent="0.15"/>
    <row r="1739" s="120" customFormat="1" x14ac:dyDescent="0.15"/>
    <row r="1740" s="120" customFormat="1" x14ac:dyDescent="0.15"/>
    <row r="1741" s="120" customFormat="1" x14ac:dyDescent="0.15"/>
    <row r="1742" s="120" customFormat="1" x14ac:dyDescent="0.15"/>
    <row r="1743" s="120" customFormat="1" x14ac:dyDescent="0.15"/>
    <row r="1744" s="120" customFormat="1" x14ac:dyDescent="0.15"/>
    <row r="1745" s="120" customFormat="1" x14ac:dyDescent="0.15"/>
    <row r="1746" s="120" customFormat="1" x14ac:dyDescent="0.15"/>
    <row r="1747" s="120" customFormat="1" x14ac:dyDescent="0.15"/>
    <row r="1748" s="120" customFormat="1" x14ac:dyDescent="0.15"/>
    <row r="1749" s="120" customFormat="1" x14ac:dyDescent="0.15"/>
    <row r="1750" s="120" customFormat="1" x14ac:dyDescent="0.15"/>
    <row r="1751" s="120" customFormat="1" x14ac:dyDescent="0.15"/>
    <row r="1752" s="120" customFormat="1" x14ac:dyDescent="0.15"/>
    <row r="1753" s="120" customFormat="1" x14ac:dyDescent="0.15"/>
    <row r="1754" s="120" customFormat="1" x14ac:dyDescent="0.15"/>
    <row r="1755" s="120" customFormat="1" x14ac:dyDescent="0.15"/>
    <row r="1756" s="120" customFormat="1" x14ac:dyDescent="0.15"/>
    <row r="1757" s="120" customFormat="1" x14ac:dyDescent="0.15"/>
    <row r="1758" s="120" customFormat="1" x14ac:dyDescent="0.15"/>
    <row r="1759" s="120" customFormat="1" x14ac:dyDescent="0.15"/>
    <row r="1760" s="120" customFormat="1" x14ac:dyDescent="0.15"/>
    <row r="1761" s="120" customFormat="1" x14ac:dyDescent="0.15"/>
    <row r="1762" s="120" customFormat="1" x14ac:dyDescent="0.15"/>
    <row r="1763" s="120" customFormat="1" x14ac:dyDescent="0.15"/>
    <row r="1764" s="120" customFormat="1" x14ac:dyDescent="0.15"/>
    <row r="1765" s="120" customFormat="1" x14ac:dyDescent="0.15"/>
    <row r="1766" s="120" customFormat="1" x14ac:dyDescent="0.15"/>
    <row r="1767" s="120" customFormat="1" x14ac:dyDescent="0.15"/>
    <row r="1768" s="120" customFormat="1" x14ac:dyDescent="0.15"/>
    <row r="1769" s="120" customFormat="1" x14ac:dyDescent="0.15"/>
    <row r="1770" s="120" customFormat="1" x14ac:dyDescent="0.15"/>
    <row r="1771" s="120" customFormat="1" x14ac:dyDescent="0.15"/>
    <row r="1772" s="120" customFormat="1" x14ac:dyDescent="0.15"/>
    <row r="1773" s="120" customFormat="1" x14ac:dyDescent="0.15"/>
    <row r="1774" s="120" customFormat="1" x14ac:dyDescent="0.15"/>
    <row r="1775" s="120" customFormat="1" x14ac:dyDescent="0.15"/>
    <row r="1776" s="120" customFormat="1" x14ac:dyDescent="0.15"/>
    <row r="1777" s="120" customFormat="1" x14ac:dyDescent="0.15"/>
    <row r="1778" s="120" customFormat="1" x14ac:dyDescent="0.15"/>
    <row r="1779" s="120" customFormat="1" x14ac:dyDescent="0.15"/>
    <row r="1780" s="120" customFormat="1" x14ac:dyDescent="0.15"/>
    <row r="1781" s="120" customFormat="1" x14ac:dyDescent="0.15"/>
    <row r="1782" s="120" customFormat="1" x14ac:dyDescent="0.15"/>
    <row r="1783" s="120" customFormat="1" x14ac:dyDescent="0.15"/>
    <row r="1784" s="120" customFormat="1" x14ac:dyDescent="0.15"/>
    <row r="1785" s="120" customFormat="1" x14ac:dyDescent="0.15"/>
    <row r="1786" s="120" customFormat="1" x14ac:dyDescent="0.15"/>
    <row r="1787" s="120" customFormat="1" x14ac:dyDescent="0.15"/>
    <row r="1788" s="120" customFormat="1" x14ac:dyDescent="0.15"/>
    <row r="1789" s="120" customFormat="1" x14ac:dyDescent="0.15"/>
    <row r="1790" s="120" customFormat="1" x14ac:dyDescent="0.15"/>
    <row r="1791" s="120" customFormat="1" x14ac:dyDescent="0.15"/>
    <row r="1792" s="120" customFormat="1" x14ac:dyDescent="0.15"/>
    <row r="1793" s="120" customFormat="1" x14ac:dyDescent="0.15"/>
    <row r="1794" s="120" customFormat="1" x14ac:dyDescent="0.15"/>
    <row r="1795" s="120" customFormat="1" x14ac:dyDescent="0.15"/>
    <row r="1796" s="120" customFormat="1" x14ac:dyDescent="0.15"/>
    <row r="1797" s="120" customFormat="1" x14ac:dyDescent="0.15"/>
    <row r="1798" s="120" customFormat="1" x14ac:dyDescent="0.15"/>
    <row r="1799" s="120" customFormat="1" x14ac:dyDescent="0.15"/>
    <row r="1800" s="120" customFormat="1" x14ac:dyDescent="0.15"/>
    <row r="1801" s="120" customFormat="1" x14ac:dyDescent="0.15"/>
    <row r="1802" s="120" customFormat="1" x14ac:dyDescent="0.15"/>
    <row r="1803" s="120" customFormat="1" x14ac:dyDescent="0.15"/>
    <row r="1804" s="120" customFormat="1" x14ac:dyDescent="0.15"/>
    <row r="1805" s="120" customFormat="1" x14ac:dyDescent="0.15"/>
    <row r="1806" s="120" customFormat="1" x14ac:dyDescent="0.15"/>
    <row r="1807" s="120" customFormat="1" x14ac:dyDescent="0.15"/>
    <row r="1808" s="120" customFormat="1" x14ac:dyDescent="0.15"/>
    <row r="1809" s="120" customFormat="1" x14ac:dyDescent="0.15"/>
    <row r="1810" s="120" customFormat="1" x14ac:dyDescent="0.15"/>
    <row r="1811" s="120" customFormat="1" x14ac:dyDescent="0.15"/>
    <row r="1812" s="120" customFormat="1" x14ac:dyDescent="0.15"/>
    <row r="1813" s="120" customFormat="1" x14ac:dyDescent="0.15"/>
    <row r="1814" s="120" customFormat="1" x14ac:dyDescent="0.15"/>
    <row r="1815" s="120" customFormat="1" x14ac:dyDescent="0.15"/>
    <row r="1816" s="120" customFormat="1" x14ac:dyDescent="0.15"/>
    <row r="1817" s="120" customFormat="1" x14ac:dyDescent="0.15"/>
    <row r="1818" s="120" customFormat="1" x14ac:dyDescent="0.15"/>
    <row r="1819" s="120" customFormat="1" x14ac:dyDescent="0.15"/>
    <row r="1820" s="120" customFormat="1" x14ac:dyDescent="0.15"/>
    <row r="1821" s="120" customFormat="1" x14ac:dyDescent="0.15"/>
    <row r="1822" s="120" customFormat="1" x14ac:dyDescent="0.15"/>
    <row r="1823" s="120" customFormat="1" x14ac:dyDescent="0.15"/>
    <row r="1824" s="120" customFormat="1" x14ac:dyDescent="0.15"/>
    <row r="1825" s="120" customFormat="1" x14ac:dyDescent="0.15"/>
    <row r="1826" s="120" customFormat="1" x14ac:dyDescent="0.15"/>
    <row r="1827" s="120" customFormat="1" x14ac:dyDescent="0.15"/>
    <row r="1828" s="120" customFormat="1" x14ac:dyDescent="0.15"/>
    <row r="1829" s="120" customFormat="1" x14ac:dyDescent="0.15"/>
    <row r="1830" s="120" customFormat="1" x14ac:dyDescent="0.15"/>
    <row r="1831" s="120" customFormat="1" x14ac:dyDescent="0.15"/>
    <row r="1832" s="120" customFormat="1" x14ac:dyDescent="0.15"/>
    <row r="1833" s="120" customFormat="1" x14ac:dyDescent="0.15"/>
    <row r="1834" s="120" customFormat="1" x14ac:dyDescent="0.15"/>
    <row r="1835" s="120" customFormat="1" x14ac:dyDescent="0.15"/>
    <row r="1836" s="120" customFormat="1" x14ac:dyDescent="0.15"/>
    <row r="1837" s="120" customFormat="1" x14ac:dyDescent="0.15"/>
    <row r="1838" s="120" customFormat="1" x14ac:dyDescent="0.15"/>
    <row r="1839" s="120" customFormat="1" x14ac:dyDescent="0.15"/>
    <row r="1840" s="120" customFormat="1" x14ac:dyDescent="0.15"/>
    <row r="1841" s="120" customFormat="1" x14ac:dyDescent="0.15"/>
    <row r="1842" s="120" customFormat="1" x14ac:dyDescent="0.15"/>
    <row r="1843" s="120" customFormat="1" x14ac:dyDescent="0.15"/>
    <row r="1844" s="120" customFormat="1" x14ac:dyDescent="0.15"/>
    <row r="1845" s="120" customFormat="1" x14ac:dyDescent="0.15"/>
    <row r="1846" s="120" customFormat="1" x14ac:dyDescent="0.15"/>
    <row r="1847" s="120" customFormat="1" x14ac:dyDescent="0.15"/>
    <row r="1848" s="120" customFormat="1" x14ac:dyDescent="0.15"/>
    <row r="1849" s="120" customFormat="1" x14ac:dyDescent="0.15"/>
    <row r="1850" s="120" customFormat="1" x14ac:dyDescent="0.15"/>
    <row r="1851" s="120" customFormat="1" x14ac:dyDescent="0.15"/>
    <row r="1852" s="120" customFormat="1" x14ac:dyDescent="0.15"/>
    <row r="1853" s="120" customFormat="1" x14ac:dyDescent="0.15"/>
    <row r="1854" s="120" customFormat="1" x14ac:dyDescent="0.15"/>
    <row r="1855" s="120" customFormat="1" x14ac:dyDescent="0.15"/>
    <row r="1856" s="120" customFormat="1" x14ac:dyDescent="0.15"/>
    <row r="1857" s="120" customFormat="1" x14ac:dyDescent="0.15"/>
    <row r="1858" s="120" customFormat="1" x14ac:dyDescent="0.15"/>
    <row r="1859" s="120" customFormat="1" x14ac:dyDescent="0.15"/>
    <row r="1860" s="120" customFormat="1" x14ac:dyDescent="0.15"/>
    <row r="1861" s="120" customFormat="1" x14ac:dyDescent="0.15"/>
    <row r="1862" s="120" customFormat="1" x14ac:dyDescent="0.15"/>
    <row r="1863" s="120" customFormat="1" x14ac:dyDescent="0.15"/>
    <row r="1864" s="120" customFormat="1" x14ac:dyDescent="0.15"/>
    <row r="1865" s="120" customFormat="1" x14ac:dyDescent="0.15"/>
    <row r="1866" s="120" customFormat="1" x14ac:dyDescent="0.15"/>
    <row r="1867" s="120" customFormat="1" x14ac:dyDescent="0.15"/>
    <row r="1868" s="120" customFormat="1" x14ac:dyDescent="0.15"/>
    <row r="1869" s="120" customFormat="1" x14ac:dyDescent="0.15"/>
    <row r="1870" s="120" customFormat="1" x14ac:dyDescent="0.15"/>
    <row r="1871" s="120" customFormat="1" x14ac:dyDescent="0.15"/>
    <row r="1872" s="120" customFormat="1" x14ac:dyDescent="0.15"/>
    <row r="1873" s="120" customFormat="1" x14ac:dyDescent="0.15"/>
    <row r="1874" s="120" customFormat="1" x14ac:dyDescent="0.15"/>
    <row r="1875" s="120" customFormat="1" x14ac:dyDescent="0.15"/>
    <row r="1876" s="120" customFormat="1" x14ac:dyDescent="0.15"/>
    <row r="1877" s="120" customFormat="1" x14ac:dyDescent="0.15"/>
    <row r="1878" s="120" customFormat="1" x14ac:dyDescent="0.15"/>
    <row r="1879" s="120" customFormat="1" x14ac:dyDescent="0.15"/>
    <row r="1880" s="120" customFormat="1" x14ac:dyDescent="0.15"/>
    <row r="1881" s="120" customFormat="1" x14ac:dyDescent="0.15"/>
    <row r="1882" s="120" customFormat="1" x14ac:dyDescent="0.15"/>
    <row r="1883" s="120" customFormat="1" x14ac:dyDescent="0.15"/>
    <row r="1884" s="120" customFormat="1" x14ac:dyDescent="0.15"/>
    <row r="1885" s="120" customFormat="1" x14ac:dyDescent="0.15"/>
    <row r="1886" s="120" customFormat="1" x14ac:dyDescent="0.15"/>
    <row r="1887" s="120" customFormat="1" x14ac:dyDescent="0.15"/>
    <row r="1888" s="120" customFormat="1" x14ac:dyDescent="0.15"/>
    <row r="1889" s="120" customFormat="1" x14ac:dyDescent="0.15"/>
    <row r="1890" s="120" customFormat="1" x14ac:dyDescent="0.15"/>
    <row r="1891" s="120" customFormat="1" x14ac:dyDescent="0.15"/>
    <row r="1892" s="120" customFormat="1" x14ac:dyDescent="0.15"/>
    <row r="1893" s="120" customFormat="1" x14ac:dyDescent="0.15"/>
    <row r="1894" s="120" customFormat="1" x14ac:dyDescent="0.15"/>
    <row r="1895" s="120" customFormat="1" x14ac:dyDescent="0.15"/>
    <row r="1896" s="120" customFormat="1" x14ac:dyDescent="0.15"/>
    <row r="1897" s="120" customFormat="1" x14ac:dyDescent="0.15"/>
    <row r="1898" s="120" customFormat="1" x14ac:dyDescent="0.15"/>
    <row r="1899" s="120" customFormat="1" x14ac:dyDescent="0.15"/>
    <row r="1900" s="120" customFormat="1" x14ac:dyDescent="0.15"/>
    <row r="1901" s="120" customFormat="1" x14ac:dyDescent="0.15"/>
    <row r="1902" s="120" customFormat="1" x14ac:dyDescent="0.15"/>
    <row r="1903" s="120" customFormat="1" x14ac:dyDescent="0.15"/>
    <row r="1904" s="120" customFormat="1" x14ac:dyDescent="0.15"/>
    <row r="1905" s="120" customFormat="1" x14ac:dyDescent="0.15"/>
    <row r="1906" s="120" customFormat="1" x14ac:dyDescent="0.15"/>
    <row r="1907" s="120" customFormat="1" x14ac:dyDescent="0.15"/>
    <row r="1908" s="120" customFormat="1" x14ac:dyDescent="0.15"/>
    <row r="1909" s="120" customFormat="1" x14ac:dyDescent="0.15"/>
    <row r="1910" s="120" customFormat="1" x14ac:dyDescent="0.15"/>
    <row r="1911" s="120" customFormat="1" x14ac:dyDescent="0.15"/>
    <row r="1912" s="120" customFormat="1" x14ac:dyDescent="0.15"/>
    <row r="1913" s="120" customFormat="1" x14ac:dyDescent="0.15"/>
    <row r="1914" s="120" customFormat="1" x14ac:dyDescent="0.15"/>
    <row r="1915" s="120" customFormat="1" x14ac:dyDescent="0.15"/>
    <row r="1916" s="120" customFormat="1" x14ac:dyDescent="0.15"/>
    <row r="1917" s="120" customFormat="1" x14ac:dyDescent="0.15"/>
    <row r="1918" s="120" customFormat="1" x14ac:dyDescent="0.15"/>
    <row r="1919" s="120" customFormat="1" x14ac:dyDescent="0.15"/>
    <row r="1920" s="120" customFormat="1" x14ac:dyDescent="0.15"/>
    <row r="1921" s="120" customFormat="1" x14ac:dyDescent="0.15"/>
    <row r="1922" s="120" customFormat="1" x14ac:dyDescent="0.15"/>
    <row r="1923" s="120" customFormat="1" x14ac:dyDescent="0.15"/>
    <row r="1924" s="120" customFormat="1" x14ac:dyDescent="0.15"/>
    <row r="1925" s="120" customFormat="1" x14ac:dyDescent="0.15"/>
    <row r="1926" s="120" customFormat="1" x14ac:dyDescent="0.15"/>
    <row r="1927" s="120" customFormat="1" x14ac:dyDescent="0.15"/>
    <row r="1928" s="120" customFormat="1" x14ac:dyDescent="0.15"/>
    <row r="1929" s="120" customFormat="1" x14ac:dyDescent="0.15"/>
    <row r="1930" s="120" customFormat="1" x14ac:dyDescent="0.15"/>
    <row r="1931" s="120" customFormat="1" x14ac:dyDescent="0.15"/>
    <row r="1932" s="120" customFormat="1" x14ac:dyDescent="0.15"/>
    <row r="1933" s="120" customFormat="1" x14ac:dyDescent="0.15"/>
    <row r="1934" s="120" customFormat="1" x14ac:dyDescent="0.15"/>
    <row r="1935" s="120" customFormat="1" x14ac:dyDescent="0.15"/>
    <row r="1936" s="120" customFormat="1" x14ac:dyDescent="0.15"/>
    <row r="1937" s="120" customFormat="1" x14ac:dyDescent="0.15"/>
    <row r="1938" s="120" customFormat="1" x14ac:dyDescent="0.15"/>
    <row r="1939" s="120" customFormat="1" x14ac:dyDescent="0.15"/>
    <row r="1940" s="120" customFormat="1" x14ac:dyDescent="0.15"/>
    <row r="1941" s="120" customFormat="1" x14ac:dyDescent="0.15"/>
    <row r="1942" s="120" customFormat="1" x14ac:dyDescent="0.15"/>
    <row r="1943" s="120" customFormat="1" x14ac:dyDescent="0.15"/>
    <row r="1944" s="120" customFormat="1" x14ac:dyDescent="0.15"/>
    <row r="1945" s="120" customFormat="1" x14ac:dyDescent="0.15"/>
    <row r="1946" s="120" customFormat="1" x14ac:dyDescent="0.15"/>
    <row r="1947" s="120" customFormat="1" x14ac:dyDescent="0.15"/>
    <row r="1948" s="120" customFormat="1" x14ac:dyDescent="0.15"/>
    <row r="1949" s="120" customFormat="1" x14ac:dyDescent="0.15"/>
    <row r="1950" s="120" customFormat="1" x14ac:dyDescent="0.15"/>
    <row r="1951" s="120" customFormat="1" x14ac:dyDescent="0.15"/>
    <row r="1952" s="120" customFormat="1" x14ac:dyDescent="0.15"/>
    <row r="1953" s="120" customFormat="1" x14ac:dyDescent="0.15"/>
    <row r="1954" s="120" customFormat="1" x14ac:dyDescent="0.15"/>
    <row r="1955" s="120" customFormat="1" x14ac:dyDescent="0.15"/>
    <row r="1956" s="120" customFormat="1" x14ac:dyDescent="0.15"/>
    <row r="1957" s="120" customFormat="1" x14ac:dyDescent="0.15"/>
    <row r="1958" s="120" customFormat="1" x14ac:dyDescent="0.15"/>
    <row r="1959" s="120" customFormat="1" x14ac:dyDescent="0.15"/>
    <row r="1960" s="120" customFormat="1" x14ac:dyDescent="0.15"/>
    <row r="1961" s="120" customFormat="1" x14ac:dyDescent="0.15"/>
    <row r="1962" s="120" customFormat="1" x14ac:dyDescent="0.15"/>
    <row r="1963" s="120" customFormat="1" x14ac:dyDescent="0.15"/>
    <row r="1964" s="120" customFormat="1" x14ac:dyDescent="0.15"/>
    <row r="1965" s="120" customFormat="1" x14ac:dyDescent="0.15"/>
    <row r="1966" s="120" customFormat="1" x14ac:dyDescent="0.15"/>
    <row r="1967" s="120" customFormat="1" x14ac:dyDescent="0.15"/>
    <row r="1968" s="120" customFormat="1" x14ac:dyDescent="0.15"/>
    <row r="1969" s="120" customFormat="1" x14ac:dyDescent="0.15"/>
    <row r="1970" s="120" customFormat="1" x14ac:dyDescent="0.15"/>
    <row r="1971" s="120" customFormat="1" x14ac:dyDescent="0.15"/>
    <row r="1972" s="120" customFormat="1" x14ac:dyDescent="0.15"/>
    <row r="1973" s="120" customFormat="1" x14ac:dyDescent="0.15"/>
    <row r="1974" s="120" customFormat="1" x14ac:dyDescent="0.15"/>
    <row r="1975" s="120" customFormat="1" x14ac:dyDescent="0.15"/>
    <row r="1976" s="120" customFormat="1" x14ac:dyDescent="0.15"/>
    <row r="1977" s="120" customFormat="1" x14ac:dyDescent="0.15"/>
    <row r="1978" s="120" customFormat="1" x14ac:dyDescent="0.15"/>
    <row r="1979" s="120" customFormat="1" x14ac:dyDescent="0.15"/>
    <row r="1980" s="120" customFormat="1" x14ac:dyDescent="0.15"/>
    <row r="1981" s="120" customFormat="1" x14ac:dyDescent="0.15"/>
    <row r="1982" s="120" customFormat="1" x14ac:dyDescent="0.15"/>
    <row r="1983" s="120" customFormat="1" x14ac:dyDescent="0.15"/>
    <row r="1984" s="120" customFormat="1" x14ac:dyDescent="0.15"/>
    <row r="1985" s="120" customFormat="1" x14ac:dyDescent="0.15"/>
    <row r="1986" s="120" customFormat="1" x14ac:dyDescent="0.15"/>
    <row r="1987" s="120" customFormat="1" x14ac:dyDescent="0.15"/>
    <row r="1988" s="120" customFormat="1" x14ac:dyDescent="0.15"/>
    <row r="1989" s="120" customFormat="1" x14ac:dyDescent="0.15"/>
    <row r="1990" s="120" customFormat="1" x14ac:dyDescent="0.15"/>
    <row r="1991" s="120" customFormat="1" x14ac:dyDescent="0.15"/>
    <row r="1992" s="120" customFormat="1" x14ac:dyDescent="0.15"/>
    <row r="1993" s="120" customFormat="1" x14ac:dyDescent="0.15"/>
    <row r="1994" s="120" customFormat="1" x14ac:dyDescent="0.15"/>
    <row r="1995" s="120" customFormat="1" x14ac:dyDescent="0.15"/>
    <row r="1996" s="120" customFormat="1" x14ac:dyDescent="0.15"/>
    <row r="1997" s="120" customFormat="1" x14ac:dyDescent="0.15"/>
    <row r="1998" s="120" customFormat="1" x14ac:dyDescent="0.15"/>
    <row r="1999" s="120" customFormat="1" x14ac:dyDescent="0.15"/>
    <row r="2000" s="120" customFormat="1" x14ac:dyDescent="0.15"/>
    <row r="2001" s="120" customFormat="1" x14ac:dyDescent="0.15"/>
    <row r="2002" s="120" customFormat="1" x14ac:dyDescent="0.15"/>
    <row r="2003" s="120" customFormat="1" x14ac:dyDescent="0.15"/>
    <row r="2004" s="120" customFormat="1" x14ac:dyDescent="0.15"/>
    <row r="2005" s="120" customFormat="1" x14ac:dyDescent="0.15"/>
    <row r="2006" s="120" customFormat="1" x14ac:dyDescent="0.15"/>
    <row r="2007" s="120" customFormat="1" x14ac:dyDescent="0.15"/>
    <row r="2008" s="120" customFormat="1" x14ac:dyDescent="0.15"/>
    <row r="2009" s="120" customFormat="1" x14ac:dyDescent="0.15"/>
    <row r="2010" s="120" customFormat="1" x14ac:dyDescent="0.15"/>
    <row r="2011" s="120" customFormat="1" x14ac:dyDescent="0.15"/>
    <row r="2012" s="120" customFormat="1" x14ac:dyDescent="0.15"/>
    <row r="2013" s="120" customFormat="1" x14ac:dyDescent="0.15"/>
    <row r="2014" s="120" customFormat="1" x14ac:dyDescent="0.15"/>
    <row r="2015" s="120" customFormat="1" x14ac:dyDescent="0.15"/>
    <row r="2016" s="120" customFormat="1" x14ac:dyDescent="0.15"/>
    <row r="2017" s="120" customFormat="1" x14ac:dyDescent="0.15"/>
    <row r="2018" s="120" customFormat="1" x14ac:dyDescent="0.15"/>
    <row r="2019" s="120" customFormat="1" x14ac:dyDescent="0.15"/>
    <row r="2020" s="120" customFormat="1" x14ac:dyDescent="0.15"/>
    <row r="2021" s="120" customFormat="1" x14ac:dyDescent="0.15"/>
    <row r="2022" s="120" customFormat="1" x14ac:dyDescent="0.15"/>
    <row r="2023" s="120" customFormat="1" x14ac:dyDescent="0.15"/>
    <row r="2024" s="120" customFormat="1" x14ac:dyDescent="0.15"/>
    <row r="2025" s="120" customFormat="1" x14ac:dyDescent="0.15"/>
    <row r="2026" s="120" customFormat="1" x14ac:dyDescent="0.15"/>
    <row r="2027" s="120" customFormat="1" x14ac:dyDescent="0.15"/>
    <row r="2028" s="120" customFormat="1" x14ac:dyDescent="0.15"/>
    <row r="2029" s="120" customFormat="1" x14ac:dyDescent="0.15"/>
    <row r="2030" s="120" customFormat="1" x14ac:dyDescent="0.15"/>
    <row r="2031" s="120" customFormat="1" x14ac:dyDescent="0.15"/>
    <row r="2032" s="120" customFormat="1" x14ac:dyDescent="0.15"/>
    <row r="2033" s="120" customFormat="1" x14ac:dyDescent="0.15"/>
    <row r="2034" s="120" customFormat="1" x14ac:dyDescent="0.15"/>
    <row r="2035" s="120" customFormat="1" x14ac:dyDescent="0.15"/>
    <row r="2036" s="120" customFormat="1" x14ac:dyDescent="0.15"/>
    <row r="2037" s="120" customFormat="1" x14ac:dyDescent="0.15"/>
    <row r="2038" s="120" customFormat="1" x14ac:dyDescent="0.15"/>
    <row r="2039" s="120" customFormat="1" x14ac:dyDescent="0.15"/>
    <row r="2040" s="120" customFormat="1" x14ac:dyDescent="0.15"/>
    <row r="2041" s="120" customFormat="1" x14ac:dyDescent="0.15"/>
    <row r="2042" s="120" customFormat="1" x14ac:dyDescent="0.15"/>
    <row r="2043" s="120" customFormat="1" x14ac:dyDescent="0.15"/>
    <row r="2044" s="120" customFormat="1" x14ac:dyDescent="0.15"/>
    <row r="2045" s="120" customFormat="1" x14ac:dyDescent="0.15"/>
    <row r="2046" s="120" customFormat="1" x14ac:dyDescent="0.15"/>
    <row r="2047" s="120" customFormat="1" x14ac:dyDescent="0.15"/>
    <row r="2048" s="120" customFormat="1" x14ac:dyDescent="0.15"/>
    <row r="2049" s="120" customFormat="1" x14ac:dyDescent="0.15"/>
    <row r="2050" s="120" customFormat="1" x14ac:dyDescent="0.15"/>
    <row r="2051" s="120" customFormat="1" x14ac:dyDescent="0.15"/>
    <row r="2052" s="120" customFormat="1" x14ac:dyDescent="0.15"/>
    <row r="2053" s="120" customFormat="1" x14ac:dyDescent="0.15"/>
    <row r="2054" s="120" customFormat="1" x14ac:dyDescent="0.15"/>
    <row r="2055" s="120" customFormat="1" x14ac:dyDescent="0.15"/>
    <row r="2056" s="120" customFormat="1" x14ac:dyDescent="0.15"/>
    <row r="2057" s="120" customFormat="1" x14ac:dyDescent="0.15"/>
    <row r="2058" s="120" customFormat="1" x14ac:dyDescent="0.15"/>
    <row r="2059" s="120" customFormat="1" x14ac:dyDescent="0.15"/>
    <row r="2060" s="120" customFormat="1" x14ac:dyDescent="0.15"/>
    <row r="2061" s="120" customFormat="1" x14ac:dyDescent="0.15"/>
    <row r="2062" s="120" customFormat="1" x14ac:dyDescent="0.15"/>
    <row r="2063" s="120" customFormat="1" x14ac:dyDescent="0.15"/>
    <row r="2064" s="120" customFormat="1" x14ac:dyDescent="0.15"/>
    <row r="2065" s="120" customFormat="1" x14ac:dyDescent="0.15"/>
    <row r="2066" s="120" customFormat="1" x14ac:dyDescent="0.15"/>
    <row r="2067" s="120" customFormat="1" x14ac:dyDescent="0.15"/>
    <row r="2068" s="120" customFormat="1" x14ac:dyDescent="0.15"/>
    <row r="2069" s="120" customFormat="1" x14ac:dyDescent="0.15"/>
    <row r="2070" s="120" customFormat="1" x14ac:dyDescent="0.15"/>
    <row r="2071" s="120" customFormat="1" x14ac:dyDescent="0.15"/>
    <row r="2072" s="120" customFormat="1" x14ac:dyDescent="0.15"/>
    <row r="2073" s="120" customFormat="1" x14ac:dyDescent="0.15"/>
    <row r="2074" s="120" customFormat="1" x14ac:dyDescent="0.15"/>
    <row r="2075" s="120" customFormat="1" x14ac:dyDescent="0.15"/>
    <row r="2076" s="120" customFormat="1" x14ac:dyDescent="0.15"/>
    <row r="2077" s="120" customFormat="1" x14ac:dyDescent="0.15"/>
    <row r="2078" s="120" customFormat="1" x14ac:dyDescent="0.15"/>
    <row r="2079" s="120" customFormat="1" x14ac:dyDescent="0.15"/>
    <row r="2080" s="120" customFormat="1" x14ac:dyDescent="0.15"/>
    <row r="2081" s="120" customFormat="1" x14ac:dyDescent="0.15"/>
    <row r="2082" s="120" customFormat="1" x14ac:dyDescent="0.15"/>
    <row r="2083" s="120" customFormat="1" x14ac:dyDescent="0.15"/>
    <row r="2084" s="120" customFormat="1" x14ac:dyDescent="0.15"/>
    <row r="2085" s="120" customFormat="1" x14ac:dyDescent="0.15"/>
    <row r="2086" s="120" customFormat="1" x14ac:dyDescent="0.15"/>
    <row r="2087" s="120" customFormat="1" x14ac:dyDescent="0.15"/>
    <row r="2088" s="120" customFormat="1" x14ac:dyDescent="0.15"/>
    <row r="2089" s="120" customFormat="1" x14ac:dyDescent="0.15"/>
    <row r="2090" s="120" customFormat="1" x14ac:dyDescent="0.15"/>
    <row r="2091" s="120" customFormat="1" x14ac:dyDescent="0.15"/>
    <row r="2092" s="120" customFormat="1" x14ac:dyDescent="0.15"/>
    <row r="2093" s="120" customFormat="1" x14ac:dyDescent="0.15"/>
    <row r="2094" s="120" customFormat="1" x14ac:dyDescent="0.15"/>
    <row r="2095" s="120" customFormat="1" x14ac:dyDescent="0.15"/>
    <row r="2096" s="120" customFormat="1" x14ac:dyDescent="0.15"/>
    <row r="2097" s="120" customFormat="1" x14ac:dyDescent="0.15"/>
    <row r="2098" s="120" customFormat="1" x14ac:dyDescent="0.15"/>
    <row r="2099" s="120" customFormat="1" x14ac:dyDescent="0.15"/>
    <row r="2100" s="120" customFormat="1" x14ac:dyDescent="0.15"/>
    <row r="2101" s="120" customFormat="1" x14ac:dyDescent="0.15"/>
    <row r="2102" s="120" customFormat="1" x14ac:dyDescent="0.15"/>
    <row r="2103" s="120" customFormat="1" x14ac:dyDescent="0.15"/>
    <row r="2104" s="120" customFormat="1" x14ac:dyDescent="0.15"/>
    <row r="2105" s="120" customFormat="1" x14ac:dyDescent="0.15"/>
    <row r="2106" s="120" customFormat="1" x14ac:dyDescent="0.15"/>
    <row r="2107" s="120" customFormat="1" x14ac:dyDescent="0.15"/>
    <row r="2108" s="120" customFormat="1" x14ac:dyDescent="0.15"/>
    <row r="2109" s="120" customFormat="1" x14ac:dyDescent="0.15"/>
    <row r="2110" s="120" customFormat="1" x14ac:dyDescent="0.15"/>
    <row r="2111" s="120" customFormat="1" x14ac:dyDescent="0.15"/>
    <row r="2112" s="120" customFormat="1" x14ac:dyDescent="0.15"/>
    <row r="2113" s="120" customFormat="1" x14ac:dyDescent="0.15"/>
    <row r="2114" s="120" customFormat="1" x14ac:dyDescent="0.15"/>
    <row r="2115" s="120" customFormat="1" x14ac:dyDescent="0.15"/>
    <row r="2116" s="120" customFormat="1" x14ac:dyDescent="0.15"/>
    <row r="2117" s="120" customFormat="1" x14ac:dyDescent="0.15"/>
    <row r="2118" s="120" customFormat="1" x14ac:dyDescent="0.15"/>
    <row r="2119" s="120" customFormat="1" x14ac:dyDescent="0.15"/>
    <row r="2120" s="120" customFormat="1" x14ac:dyDescent="0.15"/>
    <row r="2121" s="120" customFormat="1" x14ac:dyDescent="0.15"/>
    <row r="2122" s="120" customFormat="1" x14ac:dyDescent="0.15"/>
    <row r="2123" s="120" customFormat="1" x14ac:dyDescent="0.15"/>
    <row r="2124" s="120" customFormat="1" x14ac:dyDescent="0.15"/>
    <row r="2125" s="120" customFormat="1" x14ac:dyDescent="0.15"/>
    <row r="2126" s="120" customFormat="1" x14ac:dyDescent="0.15"/>
    <row r="2127" s="120" customFormat="1" x14ac:dyDescent="0.15"/>
    <row r="2128" s="120" customFormat="1" x14ac:dyDescent="0.15"/>
    <row r="2129" s="120" customFormat="1" x14ac:dyDescent="0.15"/>
    <row r="2130" s="120" customFormat="1" x14ac:dyDescent="0.15"/>
    <row r="2131" s="120" customFormat="1" x14ac:dyDescent="0.15"/>
    <row r="2132" s="120" customFormat="1" x14ac:dyDescent="0.15"/>
    <row r="2133" s="120" customFormat="1" x14ac:dyDescent="0.15"/>
    <row r="2134" s="120" customFormat="1" x14ac:dyDescent="0.15"/>
    <row r="2135" s="120" customFormat="1" x14ac:dyDescent="0.15"/>
    <row r="2136" s="120" customFormat="1" x14ac:dyDescent="0.15"/>
    <row r="2137" s="120" customFormat="1" x14ac:dyDescent="0.15"/>
    <row r="2138" s="120" customFormat="1" x14ac:dyDescent="0.15"/>
    <row r="2139" s="120" customFormat="1" x14ac:dyDescent="0.15"/>
    <row r="2140" s="120" customFormat="1" x14ac:dyDescent="0.15"/>
    <row r="2141" s="120" customFormat="1" x14ac:dyDescent="0.15"/>
    <row r="2142" s="120" customFormat="1" x14ac:dyDescent="0.15"/>
    <row r="2143" s="120" customFormat="1" x14ac:dyDescent="0.15"/>
    <row r="2144" s="120" customFormat="1" x14ac:dyDescent="0.15"/>
    <row r="2145" s="120" customFormat="1" x14ac:dyDescent="0.15"/>
    <row r="2146" s="120" customFormat="1" x14ac:dyDescent="0.15"/>
    <row r="2147" s="120" customFormat="1" x14ac:dyDescent="0.15"/>
    <row r="2148" s="120" customFormat="1" x14ac:dyDescent="0.15"/>
    <row r="2149" s="120" customFormat="1" x14ac:dyDescent="0.15"/>
    <row r="2150" s="120" customFormat="1" x14ac:dyDescent="0.15"/>
    <row r="2151" s="120" customFormat="1" x14ac:dyDescent="0.15"/>
    <row r="2152" s="120" customFormat="1" x14ac:dyDescent="0.15"/>
    <row r="2153" s="120" customFormat="1" x14ac:dyDescent="0.15"/>
    <row r="2154" s="120" customFormat="1" x14ac:dyDescent="0.15"/>
    <row r="2155" s="120" customFormat="1" x14ac:dyDescent="0.15"/>
    <row r="2156" s="120" customFormat="1" x14ac:dyDescent="0.15"/>
    <row r="2157" s="120" customFormat="1" x14ac:dyDescent="0.15"/>
    <row r="2158" s="120" customFormat="1" x14ac:dyDescent="0.15"/>
    <row r="2159" s="120" customFormat="1" x14ac:dyDescent="0.15"/>
    <row r="2160" s="120" customFormat="1" x14ac:dyDescent="0.15"/>
    <row r="2161" s="120" customFormat="1" x14ac:dyDescent="0.15"/>
    <row r="2162" s="120" customFormat="1" x14ac:dyDescent="0.15"/>
    <row r="2163" s="120" customFormat="1" x14ac:dyDescent="0.15"/>
    <row r="2164" s="120" customFormat="1" x14ac:dyDescent="0.15"/>
    <row r="2165" s="120" customFormat="1" x14ac:dyDescent="0.15"/>
    <row r="2166" s="120" customFormat="1" x14ac:dyDescent="0.15"/>
    <row r="2167" s="120" customFormat="1" x14ac:dyDescent="0.15"/>
    <row r="2168" s="120" customFormat="1" x14ac:dyDescent="0.15"/>
    <row r="2169" s="120" customFormat="1" x14ac:dyDescent="0.15"/>
    <row r="2170" s="120" customFormat="1" x14ac:dyDescent="0.15"/>
    <row r="2171" s="120" customFormat="1" x14ac:dyDescent="0.15"/>
    <row r="2172" s="120" customFormat="1" x14ac:dyDescent="0.15"/>
    <row r="2173" s="120" customFormat="1" x14ac:dyDescent="0.15"/>
    <row r="2174" s="120" customFormat="1" x14ac:dyDescent="0.15"/>
    <row r="2175" s="120" customFormat="1" x14ac:dyDescent="0.15"/>
    <row r="2176" s="120" customFormat="1" x14ac:dyDescent="0.15"/>
    <row r="2177" s="120" customFormat="1" x14ac:dyDescent="0.15"/>
    <row r="2178" s="120" customFormat="1" x14ac:dyDescent="0.15"/>
    <row r="2179" s="120" customFormat="1" x14ac:dyDescent="0.15"/>
    <row r="2180" s="120" customFormat="1" x14ac:dyDescent="0.15"/>
    <row r="2181" s="120" customFormat="1" x14ac:dyDescent="0.15"/>
    <row r="2182" s="120" customFormat="1" x14ac:dyDescent="0.15"/>
    <row r="2183" s="120" customFormat="1" x14ac:dyDescent="0.15"/>
    <row r="2184" s="120" customFormat="1" x14ac:dyDescent="0.15"/>
    <row r="2185" s="120" customFormat="1" x14ac:dyDescent="0.15"/>
    <row r="2186" s="120" customFormat="1" x14ac:dyDescent="0.15"/>
    <row r="2187" s="120" customFormat="1" x14ac:dyDescent="0.15"/>
    <row r="2188" s="120" customFormat="1" x14ac:dyDescent="0.15"/>
    <row r="2189" s="120" customFormat="1" x14ac:dyDescent="0.15"/>
    <row r="2190" s="120" customFormat="1" x14ac:dyDescent="0.15"/>
    <row r="2191" s="120" customFormat="1" x14ac:dyDescent="0.15"/>
    <row r="2192" s="120" customFormat="1" x14ac:dyDescent="0.15"/>
    <row r="2193" s="120" customFormat="1" x14ac:dyDescent="0.15"/>
    <row r="2194" s="120" customFormat="1" x14ac:dyDescent="0.15"/>
    <row r="2195" s="120" customFormat="1" x14ac:dyDescent="0.15"/>
    <row r="2196" s="120" customFormat="1" x14ac:dyDescent="0.15"/>
    <row r="2197" s="120" customFormat="1" x14ac:dyDescent="0.15"/>
    <row r="2198" s="120" customFormat="1" x14ac:dyDescent="0.15"/>
    <row r="2199" s="120" customFormat="1" x14ac:dyDescent="0.15"/>
    <row r="2200" s="120" customFormat="1" x14ac:dyDescent="0.15"/>
    <row r="2201" s="120" customFormat="1" x14ac:dyDescent="0.15"/>
    <row r="2202" s="120" customFormat="1" x14ac:dyDescent="0.15"/>
    <row r="2203" s="120" customFormat="1" x14ac:dyDescent="0.15"/>
    <row r="2204" s="120" customFormat="1" x14ac:dyDescent="0.15"/>
    <row r="2205" s="120" customFormat="1" x14ac:dyDescent="0.15"/>
    <row r="2206" s="120" customFormat="1" x14ac:dyDescent="0.15"/>
    <row r="2207" s="120" customFormat="1" x14ac:dyDescent="0.15"/>
    <row r="2208" s="120" customFormat="1" x14ac:dyDescent="0.15"/>
    <row r="2209" s="120" customFormat="1" x14ac:dyDescent="0.15"/>
    <row r="2210" s="120" customFormat="1" x14ac:dyDescent="0.15"/>
    <row r="2211" s="120" customFormat="1" x14ac:dyDescent="0.15"/>
    <row r="2212" s="120" customFormat="1" x14ac:dyDescent="0.15"/>
    <row r="2213" s="120" customFormat="1" x14ac:dyDescent="0.15"/>
    <row r="2214" s="120" customFormat="1" x14ac:dyDescent="0.15"/>
    <row r="2215" s="120" customFormat="1" x14ac:dyDescent="0.15"/>
    <row r="2216" s="120" customFormat="1" x14ac:dyDescent="0.15"/>
    <row r="2217" s="120" customFormat="1" x14ac:dyDescent="0.15"/>
    <row r="2218" s="120" customFormat="1" x14ac:dyDescent="0.15"/>
    <row r="2219" s="120" customFormat="1" x14ac:dyDescent="0.15"/>
    <row r="2220" s="120" customFormat="1" x14ac:dyDescent="0.15"/>
    <row r="2221" s="120" customFormat="1" x14ac:dyDescent="0.15"/>
    <row r="2222" s="120" customFormat="1" x14ac:dyDescent="0.15"/>
    <row r="2223" s="120" customFormat="1" x14ac:dyDescent="0.15"/>
    <row r="2224" s="120" customFormat="1" x14ac:dyDescent="0.15"/>
    <row r="2225" s="120" customFormat="1" x14ac:dyDescent="0.15"/>
    <row r="2226" s="120" customFormat="1" x14ac:dyDescent="0.15"/>
    <row r="2227" s="120" customFormat="1" x14ac:dyDescent="0.15"/>
    <row r="2228" s="120" customFormat="1" x14ac:dyDescent="0.15"/>
    <row r="2229" s="120" customFormat="1" x14ac:dyDescent="0.15"/>
    <row r="2230" s="120" customFormat="1" x14ac:dyDescent="0.15"/>
    <row r="2231" s="120" customFormat="1" x14ac:dyDescent="0.15"/>
    <row r="2232" s="120" customFormat="1" x14ac:dyDescent="0.15"/>
    <row r="2233" s="120" customFormat="1" x14ac:dyDescent="0.15"/>
    <row r="2234" s="120" customFormat="1" x14ac:dyDescent="0.15"/>
    <row r="2235" s="120" customFormat="1" x14ac:dyDescent="0.15"/>
    <row r="2236" s="120" customFormat="1" x14ac:dyDescent="0.15"/>
    <row r="2237" s="120" customFormat="1" x14ac:dyDescent="0.15"/>
    <row r="2238" s="120" customFormat="1" x14ac:dyDescent="0.15"/>
    <row r="2239" s="120" customFormat="1" x14ac:dyDescent="0.15"/>
    <row r="2240" s="120" customFormat="1" x14ac:dyDescent="0.15"/>
    <row r="2241" s="120" customFormat="1" x14ac:dyDescent="0.15"/>
    <row r="2242" s="120" customFormat="1" x14ac:dyDescent="0.15"/>
    <row r="2243" s="120" customFormat="1" x14ac:dyDescent="0.15"/>
    <row r="2244" s="120" customFormat="1" x14ac:dyDescent="0.15"/>
    <row r="2245" s="120" customFormat="1" x14ac:dyDescent="0.15"/>
    <row r="2246" s="120" customFormat="1" x14ac:dyDescent="0.15"/>
    <row r="2247" s="120" customFormat="1" x14ac:dyDescent="0.15"/>
    <row r="2248" s="120" customFormat="1" x14ac:dyDescent="0.15"/>
    <row r="2249" s="120" customFormat="1" x14ac:dyDescent="0.15"/>
    <row r="2250" s="120" customFormat="1" x14ac:dyDescent="0.15"/>
    <row r="2251" s="120" customFormat="1" x14ac:dyDescent="0.15"/>
    <row r="2252" s="120" customFormat="1" x14ac:dyDescent="0.15"/>
    <row r="2253" s="120" customFormat="1" x14ac:dyDescent="0.15"/>
    <row r="2254" s="120" customFormat="1" x14ac:dyDescent="0.15"/>
    <row r="2255" s="120" customFormat="1" x14ac:dyDescent="0.15"/>
    <row r="2256" s="120" customFormat="1" x14ac:dyDescent="0.15"/>
    <row r="2257" s="120" customFormat="1" x14ac:dyDescent="0.15"/>
    <row r="2258" s="120" customFormat="1" x14ac:dyDescent="0.15"/>
    <row r="2259" s="120" customFormat="1" x14ac:dyDescent="0.15"/>
    <row r="2260" s="120" customFormat="1" x14ac:dyDescent="0.15"/>
    <row r="2261" s="120" customFormat="1" x14ac:dyDescent="0.15"/>
    <row r="2262" s="120" customFormat="1" x14ac:dyDescent="0.15"/>
    <row r="2263" s="120" customFormat="1" x14ac:dyDescent="0.15"/>
    <row r="2264" s="120" customFormat="1" x14ac:dyDescent="0.15"/>
    <row r="2265" s="120" customFormat="1" x14ac:dyDescent="0.15"/>
    <row r="2266" s="120" customFormat="1" x14ac:dyDescent="0.15"/>
    <row r="2267" s="120" customFormat="1" x14ac:dyDescent="0.15"/>
    <row r="2268" s="120" customFormat="1" x14ac:dyDescent="0.15"/>
    <row r="2269" s="120" customFormat="1" x14ac:dyDescent="0.15"/>
    <row r="2270" s="120" customFormat="1" x14ac:dyDescent="0.15"/>
    <row r="2271" s="120" customFormat="1" x14ac:dyDescent="0.15"/>
    <row r="2272" s="120" customFormat="1" x14ac:dyDescent="0.15"/>
    <row r="2273" s="120" customFormat="1" x14ac:dyDescent="0.15"/>
    <row r="2274" s="120" customFormat="1" x14ac:dyDescent="0.15"/>
    <row r="2275" s="120" customFormat="1" x14ac:dyDescent="0.15"/>
    <row r="2276" s="120" customFormat="1" x14ac:dyDescent="0.15"/>
    <row r="2277" s="120" customFormat="1" x14ac:dyDescent="0.15"/>
    <row r="2278" s="120" customFormat="1" x14ac:dyDescent="0.15"/>
    <row r="2279" s="120" customFormat="1" x14ac:dyDescent="0.15"/>
    <row r="2280" s="120" customFormat="1" x14ac:dyDescent="0.15"/>
    <row r="2281" s="120" customFormat="1" x14ac:dyDescent="0.15"/>
    <row r="2282" s="120" customFormat="1" x14ac:dyDescent="0.15"/>
    <row r="2283" s="120" customFormat="1" x14ac:dyDescent="0.15"/>
    <row r="2284" s="120" customFormat="1" x14ac:dyDescent="0.15"/>
    <row r="2285" s="120" customFormat="1" x14ac:dyDescent="0.15"/>
    <row r="2286" s="120" customFormat="1" x14ac:dyDescent="0.15"/>
    <row r="2287" s="120" customFormat="1" x14ac:dyDescent="0.15"/>
    <row r="2288" s="120" customFormat="1" x14ac:dyDescent="0.15"/>
    <row r="2289" s="120" customFormat="1" x14ac:dyDescent="0.15"/>
    <row r="2290" s="120" customFormat="1" x14ac:dyDescent="0.15"/>
    <row r="2291" s="120" customFormat="1" x14ac:dyDescent="0.15"/>
    <row r="2292" s="120" customFormat="1" x14ac:dyDescent="0.15"/>
    <row r="2293" s="120" customFormat="1" x14ac:dyDescent="0.15"/>
    <row r="2294" s="120" customFormat="1" x14ac:dyDescent="0.15"/>
    <row r="2295" s="120" customFormat="1" x14ac:dyDescent="0.15"/>
    <row r="2296" s="120" customFormat="1" x14ac:dyDescent="0.15"/>
    <row r="2297" s="120" customFormat="1" x14ac:dyDescent="0.15"/>
    <row r="2298" s="120" customFormat="1" x14ac:dyDescent="0.15"/>
    <row r="2299" s="120" customFormat="1" x14ac:dyDescent="0.15"/>
    <row r="2300" s="120" customFormat="1" x14ac:dyDescent="0.15"/>
    <row r="2301" s="120" customFormat="1" x14ac:dyDescent="0.15"/>
    <row r="2302" s="120" customFormat="1" x14ac:dyDescent="0.15"/>
    <row r="2303" s="120" customFormat="1" x14ac:dyDescent="0.15"/>
    <row r="2304" s="120" customFormat="1" x14ac:dyDescent="0.15"/>
    <row r="2305" s="120" customFormat="1" x14ac:dyDescent="0.15"/>
    <row r="2306" s="120" customFormat="1" x14ac:dyDescent="0.15"/>
    <row r="2307" s="120" customFormat="1" x14ac:dyDescent="0.15"/>
    <row r="2308" s="120" customFormat="1" x14ac:dyDescent="0.15"/>
    <row r="2309" s="120" customFormat="1" x14ac:dyDescent="0.15"/>
    <row r="2310" s="120" customFormat="1" x14ac:dyDescent="0.15"/>
    <row r="2311" s="120" customFormat="1" x14ac:dyDescent="0.15"/>
    <row r="2312" s="120" customFormat="1" x14ac:dyDescent="0.15"/>
    <row r="2313" s="120" customFormat="1" x14ac:dyDescent="0.15"/>
    <row r="2314" s="120" customFormat="1" x14ac:dyDescent="0.15"/>
    <row r="2315" s="120" customFormat="1" x14ac:dyDescent="0.15"/>
    <row r="2316" s="120" customFormat="1" x14ac:dyDescent="0.15"/>
    <row r="2317" s="120" customFormat="1" x14ac:dyDescent="0.15"/>
    <row r="2318" s="120" customFormat="1" x14ac:dyDescent="0.15"/>
    <row r="2319" s="120" customFormat="1" x14ac:dyDescent="0.15"/>
    <row r="2320" s="120" customFormat="1" x14ac:dyDescent="0.15"/>
    <row r="2321" s="120" customFormat="1" x14ac:dyDescent="0.15"/>
    <row r="2322" s="120" customFormat="1" x14ac:dyDescent="0.15"/>
    <row r="2323" s="120" customFormat="1" x14ac:dyDescent="0.15"/>
    <row r="2324" s="120" customFormat="1" x14ac:dyDescent="0.15"/>
    <row r="2325" s="120" customFormat="1" x14ac:dyDescent="0.15"/>
    <row r="2326" s="120" customFormat="1" x14ac:dyDescent="0.15"/>
    <row r="2327" s="120" customFormat="1" x14ac:dyDescent="0.15"/>
    <row r="2328" s="120" customFormat="1" x14ac:dyDescent="0.15"/>
    <row r="2329" s="120" customFormat="1" x14ac:dyDescent="0.15"/>
    <row r="2330" s="120" customFormat="1" x14ac:dyDescent="0.15"/>
    <row r="2331" s="120" customFormat="1" x14ac:dyDescent="0.15"/>
    <row r="2332" s="120" customFormat="1" x14ac:dyDescent="0.15"/>
    <row r="2333" s="120" customFormat="1" x14ac:dyDescent="0.15"/>
    <row r="2334" s="120" customFormat="1" x14ac:dyDescent="0.15"/>
    <row r="2335" s="120" customFormat="1" x14ac:dyDescent="0.15"/>
    <row r="2336" s="120" customFormat="1" x14ac:dyDescent="0.15"/>
    <row r="2337" s="120" customFormat="1" x14ac:dyDescent="0.15"/>
    <row r="2338" s="120" customFormat="1" x14ac:dyDescent="0.15"/>
    <row r="2339" s="120" customFormat="1" x14ac:dyDescent="0.15"/>
    <row r="2340" s="120" customFormat="1" x14ac:dyDescent="0.15"/>
    <row r="2341" s="120" customFormat="1" x14ac:dyDescent="0.15"/>
    <row r="2342" s="120" customFormat="1" x14ac:dyDescent="0.15"/>
    <row r="2343" s="120" customFormat="1" x14ac:dyDescent="0.15"/>
    <row r="2344" s="120" customFormat="1" x14ac:dyDescent="0.15"/>
    <row r="2345" s="120" customFormat="1" x14ac:dyDescent="0.15"/>
    <row r="2346" s="120" customFormat="1" x14ac:dyDescent="0.15"/>
    <row r="2347" s="120" customFormat="1" x14ac:dyDescent="0.15"/>
    <row r="2348" s="120" customFormat="1" x14ac:dyDescent="0.15"/>
    <row r="2349" s="120" customFormat="1" x14ac:dyDescent="0.15"/>
    <row r="2350" s="120" customFormat="1" x14ac:dyDescent="0.15"/>
    <row r="2351" s="120" customFormat="1" x14ac:dyDescent="0.15"/>
    <row r="2352" s="120" customFormat="1" x14ac:dyDescent="0.15"/>
    <row r="2353" s="120" customFormat="1" x14ac:dyDescent="0.15"/>
    <row r="2354" s="120" customFormat="1" x14ac:dyDescent="0.15"/>
    <row r="2355" s="120" customFormat="1" x14ac:dyDescent="0.15"/>
    <row r="2356" s="120" customFormat="1" x14ac:dyDescent="0.15"/>
    <row r="2357" s="120" customFormat="1" x14ac:dyDescent="0.15"/>
    <row r="2358" s="120" customFormat="1" x14ac:dyDescent="0.15"/>
    <row r="2359" s="120" customFormat="1" x14ac:dyDescent="0.15"/>
    <row r="2360" s="120" customFormat="1" x14ac:dyDescent="0.15"/>
    <row r="2361" s="120" customFormat="1" x14ac:dyDescent="0.15"/>
    <row r="2362" s="120" customFormat="1" x14ac:dyDescent="0.15"/>
    <row r="2363" s="120" customFormat="1" x14ac:dyDescent="0.15"/>
    <row r="2364" s="120" customFormat="1" x14ac:dyDescent="0.15"/>
    <row r="2365" s="120" customFormat="1" x14ac:dyDescent="0.15"/>
    <row r="2366" s="120" customFormat="1" x14ac:dyDescent="0.15"/>
    <row r="2367" s="120" customFormat="1" x14ac:dyDescent="0.15"/>
    <row r="2368" s="120" customFormat="1" x14ac:dyDescent="0.15"/>
    <row r="2369" s="120" customFormat="1" x14ac:dyDescent="0.15"/>
    <row r="2370" s="120" customFormat="1" x14ac:dyDescent="0.15"/>
    <row r="2371" s="120" customFormat="1" x14ac:dyDescent="0.15"/>
    <row r="2372" s="120" customFormat="1" x14ac:dyDescent="0.15"/>
    <row r="2373" s="120" customFormat="1" x14ac:dyDescent="0.15"/>
    <row r="2374" s="120" customFormat="1" x14ac:dyDescent="0.15"/>
    <row r="2375" s="120" customFormat="1" x14ac:dyDescent="0.15"/>
    <row r="2376" s="120" customFormat="1" x14ac:dyDescent="0.15"/>
    <row r="2377" s="120" customFormat="1" x14ac:dyDescent="0.15"/>
    <row r="2378" s="120" customFormat="1" x14ac:dyDescent="0.15"/>
    <row r="2379" s="120" customFormat="1" x14ac:dyDescent="0.15"/>
    <row r="2380" s="120" customFormat="1" x14ac:dyDescent="0.15"/>
    <row r="2381" s="120" customFormat="1" x14ac:dyDescent="0.15"/>
    <row r="2382" s="120" customFormat="1" x14ac:dyDescent="0.15"/>
    <row r="2383" s="120" customFormat="1" x14ac:dyDescent="0.15"/>
    <row r="2384" s="120" customFormat="1" x14ac:dyDescent="0.15"/>
    <row r="2385" s="120" customFormat="1" x14ac:dyDescent="0.15"/>
    <row r="2386" s="120" customFormat="1" x14ac:dyDescent="0.15"/>
    <row r="2387" s="120" customFormat="1" x14ac:dyDescent="0.15"/>
    <row r="2388" s="120" customFormat="1" x14ac:dyDescent="0.15"/>
    <row r="2389" s="120" customFormat="1" x14ac:dyDescent="0.15"/>
    <row r="2390" s="120" customFormat="1" x14ac:dyDescent="0.15"/>
    <row r="2391" s="120" customFormat="1" x14ac:dyDescent="0.15"/>
    <row r="2392" s="120" customFormat="1" x14ac:dyDescent="0.15"/>
    <row r="2393" s="120" customFormat="1" x14ac:dyDescent="0.15"/>
    <row r="2394" s="120" customFormat="1" x14ac:dyDescent="0.15"/>
    <row r="2395" s="120" customFormat="1" x14ac:dyDescent="0.15"/>
    <row r="2396" s="120" customFormat="1" x14ac:dyDescent="0.15"/>
    <row r="2397" s="120" customFormat="1" x14ac:dyDescent="0.15"/>
    <row r="2398" s="120" customFormat="1" x14ac:dyDescent="0.15"/>
    <row r="2399" s="120" customFormat="1" x14ac:dyDescent="0.15"/>
    <row r="2400" s="120" customFormat="1" x14ac:dyDescent="0.15"/>
    <row r="2401" s="120" customFormat="1" x14ac:dyDescent="0.15"/>
    <row r="2402" s="120" customFormat="1" x14ac:dyDescent="0.15"/>
    <row r="2403" s="120" customFormat="1" x14ac:dyDescent="0.15"/>
    <row r="2404" s="120" customFormat="1" x14ac:dyDescent="0.15"/>
    <row r="2405" s="120" customFormat="1" x14ac:dyDescent="0.15"/>
    <row r="2406" s="120" customFormat="1" x14ac:dyDescent="0.15"/>
    <row r="2407" s="120" customFormat="1" x14ac:dyDescent="0.15"/>
    <row r="2408" s="120" customFormat="1" x14ac:dyDescent="0.15"/>
    <row r="2409" s="120" customFormat="1" x14ac:dyDescent="0.15"/>
    <row r="2410" s="120" customFormat="1" x14ac:dyDescent="0.15"/>
    <row r="2411" s="120" customFormat="1" x14ac:dyDescent="0.15"/>
    <row r="2412" s="120" customFormat="1" x14ac:dyDescent="0.15"/>
    <row r="2413" s="120" customFormat="1" x14ac:dyDescent="0.15"/>
    <row r="2414" s="120" customFormat="1" x14ac:dyDescent="0.15"/>
    <row r="2415" s="120" customFormat="1" x14ac:dyDescent="0.15"/>
    <row r="2416" s="120" customFormat="1" x14ac:dyDescent="0.15"/>
    <row r="2417" s="120" customFormat="1" x14ac:dyDescent="0.15"/>
    <row r="2418" s="120" customFormat="1" x14ac:dyDescent="0.15"/>
    <row r="2419" s="120" customFormat="1" x14ac:dyDescent="0.15"/>
    <row r="2420" s="120" customFormat="1" x14ac:dyDescent="0.15"/>
    <row r="2421" s="120" customFormat="1" x14ac:dyDescent="0.15"/>
    <row r="2422" s="120" customFormat="1" x14ac:dyDescent="0.15"/>
    <row r="2423" s="120" customFormat="1" x14ac:dyDescent="0.15"/>
    <row r="2424" s="120" customFormat="1" x14ac:dyDescent="0.15"/>
    <row r="2425" s="120" customFormat="1" x14ac:dyDescent="0.15"/>
    <row r="2426" s="120" customFormat="1" x14ac:dyDescent="0.15"/>
    <row r="2427" s="120" customFormat="1" x14ac:dyDescent="0.15"/>
    <row r="2428" s="120" customFormat="1" x14ac:dyDescent="0.15"/>
    <row r="2429" s="120" customFormat="1" x14ac:dyDescent="0.15"/>
    <row r="2430" s="120" customFormat="1" x14ac:dyDescent="0.15"/>
    <row r="2431" s="120" customFormat="1" x14ac:dyDescent="0.15"/>
    <row r="2432" s="120" customFormat="1" x14ac:dyDescent="0.15"/>
    <row r="2433" s="120" customFormat="1" x14ac:dyDescent="0.15"/>
    <row r="2434" s="120" customFormat="1" x14ac:dyDescent="0.15"/>
    <row r="2435" s="120" customFormat="1" x14ac:dyDescent="0.15"/>
    <row r="2436" s="120" customFormat="1" x14ac:dyDescent="0.15"/>
    <row r="2437" s="120" customFormat="1" x14ac:dyDescent="0.15"/>
    <row r="2438" s="120" customFormat="1" x14ac:dyDescent="0.15"/>
    <row r="2439" s="120" customFormat="1" x14ac:dyDescent="0.15"/>
    <row r="2440" s="120" customFormat="1" x14ac:dyDescent="0.15"/>
    <row r="2441" s="120" customFormat="1" x14ac:dyDescent="0.15"/>
    <row r="2442" s="120" customFormat="1" x14ac:dyDescent="0.15"/>
    <row r="2443" s="120" customFormat="1" x14ac:dyDescent="0.15"/>
    <row r="2444" s="120" customFormat="1" x14ac:dyDescent="0.15"/>
    <row r="2445" s="120" customFormat="1" x14ac:dyDescent="0.15"/>
    <row r="2446" s="120" customFormat="1" x14ac:dyDescent="0.15"/>
    <row r="2447" s="120" customFormat="1" x14ac:dyDescent="0.15"/>
    <row r="2448" s="120" customFormat="1" x14ac:dyDescent="0.15"/>
    <row r="2449" s="120" customFormat="1" x14ac:dyDescent="0.15"/>
    <row r="2450" s="120" customFormat="1" x14ac:dyDescent="0.15"/>
    <row r="2451" s="120" customFormat="1" x14ac:dyDescent="0.15"/>
    <row r="2452" s="120" customFormat="1" x14ac:dyDescent="0.15"/>
    <row r="2453" s="120" customFormat="1" x14ac:dyDescent="0.15"/>
    <row r="2454" s="120" customFormat="1" x14ac:dyDescent="0.15"/>
    <row r="2455" s="120" customFormat="1" x14ac:dyDescent="0.15"/>
    <row r="2456" s="120" customFormat="1" x14ac:dyDescent="0.15"/>
    <row r="2457" s="120" customFormat="1" x14ac:dyDescent="0.15"/>
    <row r="2458" s="120" customFormat="1" x14ac:dyDescent="0.15"/>
    <row r="2459" s="120" customFormat="1" x14ac:dyDescent="0.15"/>
    <row r="2460" s="120" customFormat="1" x14ac:dyDescent="0.15"/>
    <row r="2461" s="120" customFormat="1" x14ac:dyDescent="0.15"/>
    <row r="2462" s="120" customFormat="1" x14ac:dyDescent="0.15"/>
    <row r="2463" s="120" customFormat="1" x14ac:dyDescent="0.15"/>
    <row r="2464" s="120" customFormat="1" x14ac:dyDescent="0.15"/>
    <row r="2465" s="120" customFormat="1" x14ac:dyDescent="0.15"/>
    <row r="2466" s="120" customFormat="1" x14ac:dyDescent="0.15"/>
    <row r="2467" s="120" customFormat="1" x14ac:dyDescent="0.15"/>
    <row r="2468" s="120" customFormat="1" x14ac:dyDescent="0.15"/>
    <row r="2469" s="120" customFormat="1" x14ac:dyDescent="0.15"/>
    <row r="2470" s="120" customFormat="1" x14ac:dyDescent="0.15"/>
    <row r="2471" s="120" customFormat="1" x14ac:dyDescent="0.15"/>
    <row r="2472" s="120" customFormat="1" x14ac:dyDescent="0.15"/>
    <row r="2473" s="120" customFormat="1" x14ac:dyDescent="0.15"/>
    <row r="2474" s="120" customFormat="1" x14ac:dyDescent="0.15"/>
    <row r="2475" s="120" customFormat="1" x14ac:dyDescent="0.15"/>
    <row r="2476" s="120" customFormat="1" x14ac:dyDescent="0.15"/>
    <row r="2477" s="120" customFormat="1" x14ac:dyDescent="0.15"/>
    <row r="2478" s="120" customFormat="1" x14ac:dyDescent="0.15"/>
    <row r="2479" s="120" customFormat="1" x14ac:dyDescent="0.15"/>
    <row r="2480" s="120" customFormat="1" x14ac:dyDescent="0.15"/>
    <row r="2481" s="120" customFormat="1" x14ac:dyDescent="0.15"/>
    <row r="2482" s="120" customFormat="1" x14ac:dyDescent="0.15"/>
    <row r="2483" s="120" customFormat="1" x14ac:dyDescent="0.15"/>
    <row r="2484" s="120" customFormat="1" x14ac:dyDescent="0.15"/>
    <row r="2485" s="120" customFormat="1" x14ac:dyDescent="0.15"/>
    <row r="2486" s="120" customFormat="1" x14ac:dyDescent="0.15"/>
    <row r="2487" s="120" customFormat="1" x14ac:dyDescent="0.15"/>
    <row r="2488" s="120" customFormat="1" x14ac:dyDescent="0.15"/>
    <row r="2489" s="120" customFormat="1" x14ac:dyDescent="0.15"/>
    <row r="2490" s="120" customFormat="1" x14ac:dyDescent="0.15"/>
    <row r="2491" s="120" customFormat="1" x14ac:dyDescent="0.15"/>
    <row r="2492" s="120" customFormat="1" x14ac:dyDescent="0.15"/>
    <row r="2493" s="120" customFormat="1" x14ac:dyDescent="0.15"/>
    <row r="2494" s="120" customFormat="1" x14ac:dyDescent="0.15"/>
    <row r="2495" s="120" customFormat="1" x14ac:dyDescent="0.15"/>
    <row r="2496" s="120" customFormat="1" x14ac:dyDescent="0.15"/>
    <row r="2497" s="120" customFormat="1" x14ac:dyDescent="0.15"/>
    <row r="2498" s="120" customFormat="1" x14ac:dyDescent="0.15"/>
    <row r="2499" s="120" customFormat="1" x14ac:dyDescent="0.15"/>
    <row r="2500" s="120" customFormat="1" x14ac:dyDescent="0.15"/>
    <row r="2501" s="120" customFormat="1" x14ac:dyDescent="0.15"/>
    <row r="2502" s="120" customFormat="1" x14ac:dyDescent="0.15"/>
    <row r="2503" s="120" customFormat="1" x14ac:dyDescent="0.15"/>
    <row r="2504" s="120" customFormat="1" x14ac:dyDescent="0.15"/>
    <row r="2505" s="120" customFormat="1" x14ac:dyDescent="0.15"/>
    <row r="2506" s="120" customFormat="1" x14ac:dyDescent="0.15"/>
    <row r="2507" s="120" customFormat="1" x14ac:dyDescent="0.15"/>
    <row r="2508" s="120" customFormat="1" x14ac:dyDescent="0.15"/>
    <row r="2509" s="120" customFormat="1" x14ac:dyDescent="0.15"/>
    <row r="2510" s="120" customFormat="1" x14ac:dyDescent="0.15"/>
    <row r="2511" s="120" customFormat="1" x14ac:dyDescent="0.15"/>
    <row r="2512" s="120" customFormat="1" x14ac:dyDescent="0.15"/>
    <row r="2513" s="120" customFormat="1" x14ac:dyDescent="0.15"/>
    <row r="2514" s="120" customFormat="1" x14ac:dyDescent="0.15"/>
    <row r="2515" s="120" customFormat="1" x14ac:dyDescent="0.15"/>
    <row r="2516" s="120" customFormat="1" x14ac:dyDescent="0.15"/>
    <row r="2517" s="120" customFormat="1" x14ac:dyDescent="0.15"/>
    <row r="2518" s="120" customFormat="1" x14ac:dyDescent="0.15"/>
    <row r="2519" s="120" customFormat="1" x14ac:dyDescent="0.15"/>
    <row r="2520" s="120" customFormat="1" x14ac:dyDescent="0.15"/>
    <row r="2521" s="120" customFormat="1" x14ac:dyDescent="0.15"/>
    <row r="2522" s="120" customFormat="1" x14ac:dyDescent="0.15"/>
    <row r="2523" s="120" customFormat="1" x14ac:dyDescent="0.15"/>
    <row r="2524" s="120" customFormat="1" x14ac:dyDescent="0.15"/>
    <row r="2525" s="120" customFormat="1" x14ac:dyDescent="0.15"/>
    <row r="2526" s="120" customFormat="1" x14ac:dyDescent="0.15"/>
    <row r="2527" s="120" customFormat="1" x14ac:dyDescent="0.15"/>
    <row r="2528" s="120" customFormat="1" x14ac:dyDescent="0.15"/>
    <row r="2529" s="120" customFormat="1" x14ac:dyDescent="0.15"/>
    <row r="2530" s="120" customFormat="1" x14ac:dyDescent="0.15"/>
    <row r="2531" s="120" customFormat="1" x14ac:dyDescent="0.15"/>
    <row r="2532" s="120" customFormat="1" x14ac:dyDescent="0.15"/>
    <row r="2533" s="120" customFormat="1" x14ac:dyDescent="0.15"/>
    <row r="2534" s="120" customFormat="1" x14ac:dyDescent="0.15"/>
    <row r="2535" s="120" customFormat="1" x14ac:dyDescent="0.15"/>
    <row r="2536" s="120" customFormat="1" x14ac:dyDescent="0.15"/>
    <row r="2537" s="120" customFormat="1" x14ac:dyDescent="0.15"/>
    <row r="2538" s="120" customFormat="1" x14ac:dyDescent="0.15"/>
    <row r="2539" s="120" customFormat="1" x14ac:dyDescent="0.15"/>
    <row r="2540" s="120" customFormat="1" x14ac:dyDescent="0.15"/>
    <row r="2541" s="120" customFormat="1" x14ac:dyDescent="0.15"/>
    <row r="2542" s="120" customFormat="1" x14ac:dyDescent="0.15"/>
    <row r="2543" s="120" customFormat="1" x14ac:dyDescent="0.15"/>
    <row r="2544" s="120" customFormat="1" x14ac:dyDescent="0.15"/>
    <row r="2545" s="120" customFormat="1" x14ac:dyDescent="0.15"/>
    <row r="2546" s="120" customFormat="1" x14ac:dyDescent="0.15"/>
    <row r="2547" s="120" customFormat="1" x14ac:dyDescent="0.15"/>
    <row r="2548" s="120" customFormat="1" x14ac:dyDescent="0.15"/>
    <row r="2549" s="120" customFormat="1" x14ac:dyDescent="0.15"/>
    <row r="2550" s="120" customFormat="1" x14ac:dyDescent="0.15"/>
    <row r="2551" s="120" customFormat="1" x14ac:dyDescent="0.15"/>
    <row r="2552" s="120" customFormat="1" x14ac:dyDescent="0.15"/>
    <row r="2553" s="120" customFormat="1" x14ac:dyDescent="0.15"/>
    <row r="2554" s="120" customFormat="1" x14ac:dyDescent="0.15"/>
    <row r="2555" s="120" customFormat="1" x14ac:dyDescent="0.15"/>
    <row r="2556" s="120" customFormat="1" x14ac:dyDescent="0.15"/>
    <row r="2557" s="120" customFormat="1" x14ac:dyDescent="0.15"/>
    <row r="2558" s="120" customFormat="1" x14ac:dyDescent="0.15"/>
    <row r="2559" s="120" customFormat="1" x14ac:dyDescent="0.15"/>
    <row r="2560" s="120" customFormat="1" x14ac:dyDescent="0.15"/>
    <row r="2561" s="120" customFormat="1" x14ac:dyDescent="0.15"/>
    <row r="2562" s="120" customFormat="1" x14ac:dyDescent="0.15"/>
    <row r="2563" s="120" customFormat="1" x14ac:dyDescent="0.15"/>
    <row r="2564" s="120" customFormat="1" x14ac:dyDescent="0.15"/>
    <row r="2565" s="120" customFormat="1" x14ac:dyDescent="0.15"/>
    <row r="2566" s="120" customFormat="1" x14ac:dyDescent="0.15"/>
    <row r="2567" s="120" customFormat="1" x14ac:dyDescent="0.15"/>
    <row r="2568" s="120" customFormat="1" x14ac:dyDescent="0.15"/>
    <row r="2569" s="120" customFormat="1" x14ac:dyDescent="0.15"/>
    <row r="2570" s="120" customFormat="1" x14ac:dyDescent="0.15"/>
    <row r="2571" s="120" customFormat="1" x14ac:dyDescent="0.15"/>
    <row r="2572" s="120" customFormat="1" x14ac:dyDescent="0.15"/>
    <row r="2573" s="120" customFormat="1" x14ac:dyDescent="0.15"/>
    <row r="2574" s="120" customFormat="1" x14ac:dyDescent="0.15"/>
    <row r="2575" s="120" customFormat="1" x14ac:dyDescent="0.15"/>
    <row r="2576" s="120" customFormat="1" x14ac:dyDescent="0.15"/>
    <row r="2577" s="120" customFormat="1" x14ac:dyDescent="0.15"/>
    <row r="2578" s="120" customFormat="1" x14ac:dyDescent="0.15"/>
    <row r="2579" s="120" customFormat="1" x14ac:dyDescent="0.15"/>
    <row r="2580" s="120" customFormat="1" x14ac:dyDescent="0.15"/>
    <row r="2581" s="120" customFormat="1" x14ac:dyDescent="0.15"/>
    <row r="2582" s="120" customFormat="1" x14ac:dyDescent="0.15"/>
    <row r="2583" s="120" customFormat="1" x14ac:dyDescent="0.15"/>
    <row r="2584" s="120" customFormat="1" x14ac:dyDescent="0.15"/>
    <row r="2585" s="120" customFormat="1" x14ac:dyDescent="0.15"/>
    <row r="2586" s="120" customFormat="1" x14ac:dyDescent="0.15"/>
    <row r="2587" s="120" customFormat="1" x14ac:dyDescent="0.15"/>
    <row r="2588" s="120" customFormat="1" x14ac:dyDescent="0.15"/>
    <row r="2589" s="120" customFormat="1" x14ac:dyDescent="0.15"/>
    <row r="2590" s="120" customFormat="1" x14ac:dyDescent="0.15"/>
    <row r="2591" s="120" customFormat="1" x14ac:dyDescent="0.15"/>
    <row r="2592" s="120" customFormat="1" x14ac:dyDescent="0.15"/>
    <row r="2593" s="120" customFormat="1" x14ac:dyDescent="0.15"/>
    <row r="2594" s="120" customFormat="1" x14ac:dyDescent="0.15"/>
    <row r="2595" s="120" customFormat="1" x14ac:dyDescent="0.15"/>
    <row r="2596" s="120" customFormat="1" x14ac:dyDescent="0.15"/>
    <row r="2597" s="120" customFormat="1" x14ac:dyDescent="0.15"/>
    <row r="2598" s="120" customFormat="1" x14ac:dyDescent="0.15"/>
    <row r="2599" s="120" customFormat="1" x14ac:dyDescent="0.15"/>
    <row r="2600" s="120" customFormat="1" x14ac:dyDescent="0.15"/>
    <row r="2601" s="120" customFormat="1" x14ac:dyDescent="0.15"/>
    <row r="2602" s="120" customFormat="1" x14ac:dyDescent="0.15"/>
    <row r="2603" s="120" customFormat="1" x14ac:dyDescent="0.15"/>
    <row r="2604" s="120" customFormat="1" x14ac:dyDescent="0.15"/>
    <row r="2605" s="120" customFormat="1" x14ac:dyDescent="0.15"/>
    <row r="2606" s="120" customFormat="1" x14ac:dyDescent="0.15"/>
    <row r="2607" s="120" customFormat="1" x14ac:dyDescent="0.15"/>
    <row r="2608" s="120" customFormat="1" x14ac:dyDescent="0.15"/>
    <row r="2609" s="120" customFormat="1" x14ac:dyDescent="0.15"/>
    <row r="2610" s="120" customFormat="1" x14ac:dyDescent="0.15"/>
    <row r="2611" s="120" customFormat="1" x14ac:dyDescent="0.15"/>
    <row r="2612" s="120" customFormat="1" x14ac:dyDescent="0.15"/>
    <row r="2613" s="120" customFormat="1" x14ac:dyDescent="0.15"/>
    <row r="2614" s="120" customFormat="1" x14ac:dyDescent="0.15"/>
    <row r="2615" s="120" customFormat="1" x14ac:dyDescent="0.15"/>
    <row r="2616" s="120" customFormat="1" x14ac:dyDescent="0.15"/>
    <row r="2617" s="120" customFormat="1" x14ac:dyDescent="0.15"/>
    <row r="2618" s="120" customFormat="1" x14ac:dyDescent="0.15"/>
    <row r="2619" s="120" customFormat="1" x14ac:dyDescent="0.15"/>
    <row r="2620" s="120" customFormat="1" x14ac:dyDescent="0.15"/>
    <row r="2621" s="120" customFormat="1" x14ac:dyDescent="0.15"/>
    <row r="2622" s="120" customFormat="1" x14ac:dyDescent="0.15"/>
    <row r="2623" s="120" customFormat="1" x14ac:dyDescent="0.15"/>
    <row r="2624" s="120" customFormat="1" x14ac:dyDescent="0.15"/>
    <row r="2625" s="120" customFormat="1" x14ac:dyDescent="0.15"/>
    <row r="2626" s="120" customFormat="1" x14ac:dyDescent="0.15"/>
    <row r="2627" s="120" customFormat="1" x14ac:dyDescent="0.15"/>
    <row r="2628" s="120" customFormat="1" x14ac:dyDescent="0.15"/>
    <row r="2629" s="120" customFormat="1" x14ac:dyDescent="0.15"/>
    <row r="2630" s="120" customFormat="1" x14ac:dyDescent="0.15"/>
    <row r="2631" s="120" customFormat="1" x14ac:dyDescent="0.15"/>
    <row r="2632" s="120" customFormat="1" x14ac:dyDescent="0.15"/>
    <row r="2633" s="120" customFormat="1" x14ac:dyDescent="0.15"/>
    <row r="2634" s="120" customFormat="1" x14ac:dyDescent="0.15"/>
    <row r="2635" s="120" customFormat="1" x14ac:dyDescent="0.15"/>
    <row r="2636" s="120" customFormat="1" x14ac:dyDescent="0.15"/>
    <row r="2637" s="120" customFormat="1" x14ac:dyDescent="0.15"/>
    <row r="2638" s="120" customFormat="1" x14ac:dyDescent="0.15"/>
    <row r="2639" s="120" customFormat="1" x14ac:dyDescent="0.15"/>
    <row r="2640" s="120" customFormat="1" x14ac:dyDescent="0.15"/>
    <row r="2641" s="120" customFormat="1" x14ac:dyDescent="0.15"/>
    <row r="2642" s="120" customFormat="1" x14ac:dyDescent="0.15"/>
    <row r="2643" s="120" customFormat="1" x14ac:dyDescent="0.15"/>
    <row r="2644" s="120" customFormat="1" x14ac:dyDescent="0.15"/>
    <row r="2645" s="120" customFormat="1" x14ac:dyDescent="0.15"/>
    <row r="2646" s="120" customFormat="1" x14ac:dyDescent="0.15"/>
    <row r="2647" s="120" customFormat="1" x14ac:dyDescent="0.15"/>
    <row r="2648" s="120" customFormat="1" x14ac:dyDescent="0.15"/>
    <row r="2649" s="120" customFormat="1" x14ac:dyDescent="0.15"/>
    <row r="2650" s="120" customFormat="1" x14ac:dyDescent="0.15"/>
    <row r="2651" s="120" customFormat="1" x14ac:dyDescent="0.15"/>
    <row r="2652" s="120" customFormat="1" x14ac:dyDescent="0.15"/>
    <row r="2653" s="120" customFormat="1" x14ac:dyDescent="0.15"/>
    <row r="2654" s="120" customFormat="1" x14ac:dyDescent="0.15"/>
    <row r="2655" s="120" customFormat="1" x14ac:dyDescent="0.15"/>
    <row r="2656" s="120" customFormat="1" x14ac:dyDescent="0.15"/>
    <row r="2657" s="120" customFormat="1" x14ac:dyDescent="0.15"/>
    <row r="2658" s="120" customFormat="1" x14ac:dyDescent="0.15"/>
    <row r="2659" s="120" customFormat="1" x14ac:dyDescent="0.15"/>
    <row r="2660" s="120" customFormat="1" x14ac:dyDescent="0.15"/>
    <row r="2661" s="120" customFormat="1" x14ac:dyDescent="0.15"/>
    <row r="2662" s="120" customFormat="1" x14ac:dyDescent="0.15"/>
    <row r="2663" s="120" customFormat="1" x14ac:dyDescent="0.15"/>
    <row r="2664" s="120" customFormat="1" x14ac:dyDescent="0.15"/>
    <row r="2665" s="120" customFormat="1" x14ac:dyDescent="0.15"/>
    <row r="2666" s="120" customFormat="1" x14ac:dyDescent="0.15"/>
    <row r="2667" s="120" customFormat="1" x14ac:dyDescent="0.15"/>
    <row r="2668" s="120" customFormat="1" x14ac:dyDescent="0.15"/>
    <row r="2669" s="120" customFormat="1" x14ac:dyDescent="0.15"/>
    <row r="2670" s="120" customFormat="1" x14ac:dyDescent="0.15"/>
    <row r="2671" s="120" customFormat="1" x14ac:dyDescent="0.15"/>
    <row r="2672" s="120" customFormat="1" x14ac:dyDescent="0.15"/>
    <row r="2673" s="120" customFormat="1" x14ac:dyDescent="0.15"/>
    <row r="2674" s="120" customFormat="1" x14ac:dyDescent="0.15"/>
    <row r="2675" s="120" customFormat="1" x14ac:dyDescent="0.15"/>
    <row r="2676" s="120" customFormat="1" x14ac:dyDescent="0.15"/>
    <row r="2677" s="120" customFormat="1" x14ac:dyDescent="0.15"/>
    <row r="2678" s="120" customFormat="1" x14ac:dyDescent="0.15"/>
    <row r="2679" s="120" customFormat="1" x14ac:dyDescent="0.15"/>
    <row r="2680" s="120" customFormat="1" x14ac:dyDescent="0.15"/>
    <row r="2681" s="120" customFormat="1" x14ac:dyDescent="0.15"/>
    <row r="2682" s="120" customFormat="1" x14ac:dyDescent="0.15"/>
    <row r="2683" s="120" customFormat="1" x14ac:dyDescent="0.15"/>
    <row r="2684" s="120" customFormat="1" x14ac:dyDescent="0.15"/>
    <row r="2685" s="120" customFormat="1" x14ac:dyDescent="0.15"/>
    <row r="2686" s="120" customFormat="1" x14ac:dyDescent="0.15"/>
    <row r="2687" s="120" customFormat="1" x14ac:dyDescent="0.15"/>
    <row r="2688" s="120" customFormat="1" x14ac:dyDescent="0.15"/>
    <row r="2689" s="120" customFormat="1" x14ac:dyDescent="0.15"/>
    <row r="2690" s="120" customFormat="1" x14ac:dyDescent="0.15"/>
    <row r="2691" s="120" customFormat="1" x14ac:dyDescent="0.15"/>
    <row r="2692" s="120" customFormat="1" x14ac:dyDescent="0.15"/>
    <row r="2693" s="120" customFormat="1" x14ac:dyDescent="0.15"/>
    <row r="2694" s="120" customFormat="1" x14ac:dyDescent="0.15"/>
    <row r="2695" s="120" customFormat="1" x14ac:dyDescent="0.15"/>
    <row r="2696" s="120" customFormat="1" x14ac:dyDescent="0.15"/>
    <row r="2697" s="120" customFormat="1" x14ac:dyDescent="0.15"/>
    <row r="2698" s="120" customFormat="1" x14ac:dyDescent="0.15"/>
    <row r="2699" s="120" customFormat="1" x14ac:dyDescent="0.15"/>
    <row r="2700" s="120" customFormat="1" x14ac:dyDescent="0.15"/>
    <row r="2701" s="120" customFormat="1" x14ac:dyDescent="0.15"/>
    <row r="2702" s="120" customFormat="1" x14ac:dyDescent="0.15"/>
    <row r="2703" s="120" customFormat="1" x14ac:dyDescent="0.15"/>
    <row r="2704" s="120" customFormat="1" x14ac:dyDescent="0.15"/>
    <row r="2705" s="120" customFormat="1" x14ac:dyDescent="0.15"/>
    <row r="2706" s="120" customFormat="1" x14ac:dyDescent="0.15"/>
    <row r="2707" s="120" customFormat="1" x14ac:dyDescent="0.15"/>
    <row r="2708" s="120" customFormat="1" x14ac:dyDescent="0.15"/>
    <row r="2709" s="120" customFormat="1" x14ac:dyDescent="0.15"/>
    <row r="2710" s="120" customFormat="1" x14ac:dyDescent="0.15"/>
    <row r="2711" s="120" customFormat="1" x14ac:dyDescent="0.15"/>
    <row r="2712" s="120" customFormat="1" x14ac:dyDescent="0.15"/>
    <row r="2713" s="120" customFormat="1" x14ac:dyDescent="0.15"/>
    <row r="2714" s="120" customFormat="1" x14ac:dyDescent="0.15"/>
    <row r="2715" s="120" customFormat="1" x14ac:dyDescent="0.15"/>
    <row r="2716" s="120" customFormat="1" x14ac:dyDescent="0.15"/>
    <row r="2717" s="120" customFormat="1" x14ac:dyDescent="0.15"/>
    <row r="2718" s="120" customFormat="1" x14ac:dyDescent="0.15"/>
    <row r="2719" s="120" customFormat="1" x14ac:dyDescent="0.15"/>
    <row r="2720" s="120" customFormat="1" x14ac:dyDescent="0.15"/>
    <row r="2721" s="120" customFormat="1" x14ac:dyDescent="0.15"/>
    <row r="2722" s="120" customFormat="1" x14ac:dyDescent="0.15"/>
    <row r="2723" s="120" customFormat="1" x14ac:dyDescent="0.15"/>
    <row r="2724" s="120" customFormat="1" x14ac:dyDescent="0.15"/>
    <row r="2725" s="120" customFormat="1" x14ac:dyDescent="0.15"/>
    <row r="2726" s="120" customFormat="1" x14ac:dyDescent="0.15"/>
    <row r="2727" s="120" customFormat="1" x14ac:dyDescent="0.15"/>
    <row r="2728" s="120" customFormat="1" x14ac:dyDescent="0.15"/>
    <row r="2729" s="120" customFormat="1" x14ac:dyDescent="0.15"/>
    <row r="2730" s="120" customFormat="1" x14ac:dyDescent="0.15"/>
    <row r="2731" s="120" customFormat="1" x14ac:dyDescent="0.15"/>
    <row r="2732" s="120" customFormat="1" x14ac:dyDescent="0.15"/>
    <row r="2733" s="120" customFormat="1" x14ac:dyDescent="0.15"/>
    <row r="2734" s="120" customFormat="1" x14ac:dyDescent="0.15"/>
    <row r="2735" s="120" customFormat="1" x14ac:dyDescent="0.15"/>
    <row r="2736" s="120" customFormat="1" x14ac:dyDescent="0.15"/>
    <row r="2737" s="120" customFormat="1" x14ac:dyDescent="0.15"/>
    <row r="2738" s="120" customFormat="1" x14ac:dyDescent="0.15"/>
    <row r="2739" s="120" customFormat="1" x14ac:dyDescent="0.15"/>
    <row r="2740" s="120" customFormat="1" x14ac:dyDescent="0.15"/>
    <row r="2741" s="120" customFormat="1" x14ac:dyDescent="0.15"/>
    <row r="2742" s="120" customFormat="1" x14ac:dyDescent="0.15"/>
    <row r="2743" s="120" customFormat="1" x14ac:dyDescent="0.15"/>
    <row r="2744" s="120" customFormat="1" x14ac:dyDescent="0.15"/>
    <row r="2745" s="120" customFormat="1" x14ac:dyDescent="0.15"/>
    <row r="2746" s="120" customFormat="1" x14ac:dyDescent="0.15"/>
    <row r="2747" s="120" customFormat="1" x14ac:dyDescent="0.15"/>
    <row r="2748" s="120" customFormat="1" x14ac:dyDescent="0.15"/>
    <row r="2749" s="120" customFormat="1" x14ac:dyDescent="0.15"/>
    <row r="2750" s="120" customFormat="1" x14ac:dyDescent="0.15"/>
    <row r="2751" s="120" customFormat="1" x14ac:dyDescent="0.15"/>
    <row r="2752" s="120" customFormat="1" x14ac:dyDescent="0.15"/>
    <row r="2753" s="120" customFormat="1" x14ac:dyDescent="0.15"/>
    <row r="2754" s="120" customFormat="1" x14ac:dyDescent="0.15"/>
    <row r="2755" s="120" customFormat="1" x14ac:dyDescent="0.15"/>
    <row r="2756" s="120" customFormat="1" x14ac:dyDescent="0.15"/>
    <row r="2757" s="120" customFormat="1" x14ac:dyDescent="0.15"/>
    <row r="2758" s="120" customFormat="1" x14ac:dyDescent="0.15"/>
    <row r="2759" s="120" customFormat="1" x14ac:dyDescent="0.15"/>
    <row r="2760" s="120" customFormat="1" x14ac:dyDescent="0.15"/>
    <row r="2761" s="120" customFormat="1" x14ac:dyDescent="0.15"/>
    <row r="2762" s="120" customFormat="1" x14ac:dyDescent="0.15"/>
    <row r="2763" s="120" customFormat="1" x14ac:dyDescent="0.15"/>
    <row r="2764" s="120" customFormat="1" x14ac:dyDescent="0.15"/>
    <row r="2765" s="120" customFormat="1" x14ac:dyDescent="0.15"/>
    <row r="2766" s="120" customFormat="1" x14ac:dyDescent="0.15"/>
    <row r="2767" s="120" customFormat="1" x14ac:dyDescent="0.15"/>
    <row r="2768" s="120" customFormat="1" x14ac:dyDescent="0.15"/>
    <row r="2769" s="120" customFormat="1" x14ac:dyDescent="0.15"/>
    <row r="2770" s="120" customFormat="1" x14ac:dyDescent="0.15"/>
    <row r="2771" s="120" customFormat="1" x14ac:dyDescent="0.15"/>
    <row r="2772" s="120" customFormat="1" x14ac:dyDescent="0.15"/>
    <row r="2773" s="120" customFormat="1" x14ac:dyDescent="0.15"/>
    <row r="2774" s="120" customFormat="1" x14ac:dyDescent="0.15"/>
    <row r="2775" s="120" customFormat="1" x14ac:dyDescent="0.15"/>
    <row r="2776" s="120" customFormat="1" x14ac:dyDescent="0.15"/>
    <row r="2777" s="120" customFormat="1" x14ac:dyDescent="0.15"/>
    <row r="2778" s="120" customFormat="1" x14ac:dyDescent="0.15"/>
    <row r="2779" s="120" customFormat="1" x14ac:dyDescent="0.15"/>
    <row r="2780" s="120" customFormat="1" x14ac:dyDescent="0.15"/>
    <row r="2781" s="120" customFormat="1" x14ac:dyDescent="0.15"/>
    <row r="2782" s="120" customFormat="1" x14ac:dyDescent="0.15"/>
    <row r="2783" s="120" customFormat="1" x14ac:dyDescent="0.15"/>
    <row r="2784" s="120" customFormat="1" x14ac:dyDescent="0.15"/>
    <row r="2785" s="120" customFormat="1" x14ac:dyDescent="0.15"/>
    <row r="2786" s="120" customFormat="1" x14ac:dyDescent="0.15"/>
    <row r="2787" s="120" customFormat="1" x14ac:dyDescent="0.15"/>
    <row r="2788" s="120" customFormat="1" x14ac:dyDescent="0.15"/>
    <row r="2789" s="120" customFormat="1" x14ac:dyDescent="0.15"/>
    <row r="2790" s="120" customFormat="1" x14ac:dyDescent="0.15"/>
    <row r="2791" s="120" customFormat="1" x14ac:dyDescent="0.15"/>
    <row r="2792" s="120" customFormat="1" x14ac:dyDescent="0.15"/>
    <row r="2793" s="120" customFormat="1" x14ac:dyDescent="0.15"/>
    <row r="2794" s="120" customFormat="1" x14ac:dyDescent="0.15"/>
    <row r="2795" s="120" customFormat="1" x14ac:dyDescent="0.15"/>
    <row r="2796" s="120" customFormat="1" x14ac:dyDescent="0.15"/>
    <row r="2797" s="120" customFormat="1" x14ac:dyDescent="0.15"/>
    <row r="2798" s="120" customFormat="1" x14ac:dyDescent="0.15"/>
    <row r="2799" s="120" customFormat="1" x14ac:dyDescent="0.15"/>
    <row r="2800" s="120" customFormat="1" x14ac:dyDescent="0.15"/>
    <row r="2801" s="120" customFormat="1" x14ac:dyDescent="0.15"/>
    <row r="2802" s="120" customFormat="1" x14ac:dyDescent="0.15"/>
    <row r="2803" s="120" customFormat="1" x14ac:dyDescent="0.15"/>
    <row r="2804" s="120" customFormat="1" x14ac:dyDescent="0.15"/>
    <row r="2805" s="120" customFormat="1" x14ac:dyDescent="0.15"/>
    <row r="2806" s="120" customFormat="1" x14ac:dyDescent="0.15"/>
    <row r="2807" s="120" customFormat="1" x14ac:dyDescent="0.15"/>
    <row r="2808" s="120" customFormat="1" x14ac:dyDescent="0.15"/>
    <row r="2809" s="120" customFormat="1" x14ac:dyDescent="0.15"/>
    <row r="2810" s="120" customFormat="1" x14ac:dyDescent="0.15"/>
    <row r="2811" s="120" customFormat="1" x14ac:dyDescent="0.15"/>
    <row r="2812" s="120" customFormat="1" x14ac:dyDescent="0.15"/>
    <row r="2813" s="120" customFormat="1" x14ac:dyDescent="0.15"/>
    <row r="2814" s="120" customFormat="1" x14ac:dyDescent="0.15"/>
    <row r="2815" s="120" customFormat="1" x14ac:dyDescent="0.15"/>
    <row r="2816" s="120" customFormat="1" x14ac:dyDescent="0.15"/>
    <row r="2817" s="120" customFormat="1" x14ac:dyDescent="0.15"/>
    <row r="2818" s="120" customFormat="1" x14ac:dyDescent="0.15"/>
    <row r="2819" s="120" customFormat="1" x14ac:dyDescent="0.15"/>
    <row r="2820" s="120" customFormat="1" x14ac:dyDescent="0.15"/>
    <row r="2821" s="120" customFormat="1" x14ac:dyDescent="0.15"/>
    <row r="2822" s="120" customFormat="1" x14ac:dyDescent="0.15"/>
    <row r="2823" s="120" customFormat="1" x14ac:dyDescent="0.15"/>
    <row r="2824" s="120" customFormat="1" x14ac:dyDescent="0.15"/>
  </sheetData>
  <mergeCells count="927">
    <mergeCell ref="A1:N1"/>
    <mergeCell ref="O1:Q4"/>
    <mergeCell ref="A2:N2"/>
    <mergeCell ref="A3:N3"/>
    <mergeCell ref="A4:N4"/>
    <mergeCell ref="A5:Q5"/>
    <mergeCell ref="I10:I11"/>
    <mergeCell ref="J10:J11"/>
    <mergeCell ref="L10:Q15"/>
    <mergeCell ref="B12:C12"/>
    <mergeCell ref="B13:C13"/>
    <mergeCell ref="A15:J15"/>
    <mergeCell ref="A6:Q6"/>
    <mergeCell ref="B7:Q7"/>
    <mergeCell ref="B8:N8"/>
    <mergeCell ref="P8:Q8"/>
    <mergeCell ref="A9:Q9"/>
    <mergeCell ref="A10:A11"/>
    <mergeCell ref="B10:C11"/>
    <mergeCell ref="D10:D11"/>
    <mergeCell ref="E10:G10"/>
    <mergeCell ref="H10:H11"/>
    <mergeCell ref="J19:J20"/>
    <mergeCell ref="L19:Q22"/>
    <mergeCell ref="B21:C21"/>
    <mergeCell ref="A22:J22"/>
    <mergeCell ref="A16:Q16"/>
    <mergeCell ref="B17:N17"/>
    <mergeCell ref="P17:Q17"/>
    <mergeCell ref="A18:Q18"/>
    <mergeCell ref="A19:A20"/>
    <mergeCell ref="B19:C20"/>
    <mergeCell ref="D19:D20"/>
    <mergeCell ref="E19:G19"/>
    <mergeCell ref="H19:H20"/>
    <mergeCell ref="I19:I20"/>
    <mergeCell ref="I26:I27"/>
    <mergeCell ref="J26:J27"/>
    <mergeCell ref="L26:Q30"/>
    <mergeCell ref="B28:C28"/>
    <mergeCell ref="A30:J30"/>
    <mergeCell ref="A31:Q31"/>
    <mergeCell ref="A23:Q23"/>
    <mergeCell ref="B24:N24"/>
    <mergeCell ref="P24:Q24"/>
    <mergeCell ref="A25:Q25"/>
    <mergeCell ref="A26:A27"/>
    <mergeCell ref="B26:C27"/>
    <mergeCell ref="D26:D27"/>
    <mergeCell ref="E26:G26"/>
    <mergeCell ref="H26:H27"/>
    <mergeCell ref="B32:N32"/>
    <mergeCell ref="P32:Q32"/>
    <mergeCell ref="A33:Q33"/>
    <mergeCell ref="A34:A35"/>
    <mergeCell ref="B34:C35"/>
    <mergeCell ref="D34:D35"/>
    <mergeCell ref="E34:G34"/>
    <mergeCell ref="H34:H35"/>
    <mergeCell ref="I34:I35"/>
    <mergeCell ref="J34:J35"/>
    <mergeCell ref="L34:Q37"/>
    <mergeCell ref="B36:C36"/>
    <mergeCell ref="A37:J37"/>
    <mergeCell ref="H41:H42"/>
    <mergeCell ref="I41:I42"/>
    <mergeCell ref="J41:J42"/>
    <mergeCell ref="L41:Q44"/>
    <mergeCell ref="A54:Q54"/>
    <mergeCell ref="A55:A56"/>
    <mergeCell ref="B55:C56"/>
    <mergeCell ref="D55:D56"/>
    <mergeCell ref="E55:G55"/>
    <mergeCell ref="H55:H56"/>
    <mergeCell ref="I55:I56"/>
    <mergeCell ref="J55:J56"/>
    <mergeCell ref="L55:Q59"/>
    <mergeCell ref="B57:C57"/>
    <mergeCell ref="A59:J59"/>
    <mergeCell ref="B43:C43"/>
    <mergeCell ref="A44:J44"/>
    <mergeCell ref="A45:Q45"/>
    <mergeCell ref="B46:N46"/>
    <mergeCell ref="P46:Q46"/>
    <mergeCell ref="A47:Q47"/>
    <mergeCell ref="B48:C49"/>
    <mergeCell ref="D48:D49"/>
    <mergeCell ref="E48:G48"/>
    <mergeCell ref="A69:Q69"/>
    <mergeCell ref="B70:N70"/>
    <mergeCell ref="P70:Q70"/>
    <mergeCell ref="A71:Q71"/>
    <mergeCell ref="A72:A73"/>
    <mergeCell ref="B72:C73"/>
    <mergeCell ref="D72:D73"/>
    <mergeCell ref="E72:G72"/>
    <mergeCell ref="H72:H73"/>
    <mergeCell ref="I72:I73"/>
    <mergeCell ref="J72:J73"/>
    <mergeCell ref="L72:Q75"/>
    <mergeCell ref="B74:C74"/>
    <mergeCell ref="A75:J75"/>
    <mergeCell ref="A106:Q106"/>
    <mergeCell ref="A79:A80"/>
    <mergeCell ref="B79:C80"/>
    <mergeCell ref="D79:D80"/>
    <mergeCell ref="E79:G79"/>
    <mergeCell ref="L109:Q115"/>
    <mergeCell ref="E110:F110"/>
    <mergeCell ref="B111:C111"/>
    <mergeCell ref="E111:F111"/>
    <mergeCell ref="B112:C112"/>
    <mergeCell ref="E112:F112"/>
    <mergeCell ref="A115:J115"/>
    <mergeCell ref="B107:N107"/>
    <mergeCell ref="P107:Q107"/>
    <mergeCell ref="A108:Q108"/>
    <mergeCell ref="A109:A110"/>
    <mergeCell ref="B109:C110"/>
    <mergeCell ref="D109:D110"/>
    <mergeCell ref="E109:G109"/>
    <mergeCell ref="H109:H110"/>
    <mergeCell ref="I109:I110"/>
    <mergeCell ref="J109:J110"/>
    <mergeCell ref="H79:H80"/>
    <mergeCell ref="I79:I80"/>
    <mergeCell ref="J119:J120"/>
    <mergeCell ref="B121:C121"/>
    <mergeCell ref="B122:C122"/>
    <mergeCell ref="B123:C123"/>
    <mergeCell ref="A126:J126"/>
    <mergeCell ref="A127:Q127"/>
    <mergeCell ref="A116:Q116"/>
    <mergeCell ref="B117:N117"/>
    <mergeCell ref="P117:Q117"/>
    <mergeCell ref="A118:Q118"/>
    <mergeCell ref="A119:A120"/>
    <mergeCell ref="B119:C120"/>
    <mergeCell ref="D119:D120"/>
    <mergeCell ref="E119:G119"/>
    <mergeCell ref="H119:H120"/>
    <mergeCell ref="I119:I120"/>
    <mergeCell ref="B125:C125"/>
    <mergeCell ref="B124:C124"/>
    <mergeCell ref="B132:C132"/>
    <mergeCell ref="B133:C133"/>
    <mergeCell ref="A134:J134"/>
    <mergeCell ref="A135:Q135"/>
    <mergeCell ref="B136:N136"/>
    <mergeCell ref="P136:Q136"/>
    <mergeCell ref="B128:N128"/>
    <mergeCell ref="P128:Q128"/>
    <mergeCell ref="A129:Q129"/>
    <mergeCell ref="A130:A131"/>
    <mergeCell ref="B130:C131"/>
    <mergeCell ref="D130:D131"/>
    <mergeCell ref="E130:G130"/>
    <mergeCell ref="H130:H131"/>
    <mergeCell ref="I130:I131"/>
    <mergeCell ref="J130:J131"/>
    <mergeCell ref="B142:C142"/>
    <mergeCell ref="B143:C143"/>
    <mergeCell ref="A145:K145"/>
    <mergeCell ref="A146:Q146"/>
    <mergeCell ref="B144:C144"/>
    <mergeCell ref="A137:Q137"/>
    <mergeCell ref="A138:A139"/>
    <mergeCell ref="B138:C139"/>
    <mergeCell ref="D138:G138"/>
    <mergeCell ref="H138:H139"/>
    <mergeCell ref="I138:I139"/>
    <mergeCell ref="J138:J139"/>
    <mergeCell ref="K138:K139"/>
    <mergeCell ref="M138:Q145"/>
    <mergeCell ref="B141:C141"/>
    <mergeCell ref="B140:C140"/>
    <mergeCell ref="L149:Q152"/>
    <mergeCell ref="B151:C151"/>
    <mergeCell ref="A152:J152"/>
    <mergeCell ref="A153:Q153"/>
    <mergeCell ref="B154:N154"/>
    <mergeCell ref="P154:Q154"/>
    <mergeCell ref="B147:N147"/>
    <mergeCell ref="P147:Q147"/>
    <mergeCell ref="A148:Q148"/>
    <mergeCell ref="A149:A150"/>
    <mergeCell ref="B149:C150"/>
    <mergeCell ref="D149:D150"/>
    <mergeCell ref="E149:G149"/>
    <mergeCell ref="H149:H150"/>
    <mergeCell ref="I149:I150"/>
    <mergeCell ref="J149:J150"/>
    <mergeCell ref="B158:C158"/>
    <mergeCell ref="B159:C159"/>
    <mergeCell ref="A161:J161"/>
    <mergeCell ref="A162:Q162"/>
    <mergeCell ref="B163:N163"/>
    <mergeCell ref="P163:Q163"/>
    <mergeCell ref="B160:C160"/>
    <mergeCell ref="A155:Q155"/>
    <mergeCell ref="A156:A157"/>
    <mergeCell ref="B156:C157"/>
    <mergeCell ref="D156:D157"/>
    <mergeCell ref="E156:G156"/>
    <mergeCell ref="H156:H157"/>
    <mergeCell ref="I156:I157"/>
    <mergeCell ref="J156:J157"/>
    <mergeCell ref="B167:C167"/>
    <mergeCell ref="A168:J168"/>
    <mergeCell ref="A169:Q169"/>
    <mergeCell ref="B170:N170"/>
    <mergeCell ref="P170:Q170"/>
    <mergeCell ref="A171:Q171"/>
    <mergeCell ref="A164:Q164"/>
    <mergeCell ref="A165:A166"/>
    <mergeCell ref="B165:C166"/>
    <mergeCell ref="D165:D166"/>
    <mergeCell ref="E165:G165"/>
    <mergeCell ref="H165:H166"/>
    <mergeCell ref="I165:I166"/>
    <mergeCell ref="J165:J166"/>
    <mergeCell ref="J172:J173"/>
    <mergeCell ref="B174:C174"/>
    <mergeCell ref="A175:J175"/>
    <mergeCell ref="A176:Q176"/>
    <mergeCell ref="B177:N177"/>
    <mergeCell ref="P177:Q177"/>
    <mergeCell ref="A172:A173"/>
    <mergeCell ref="B172:C173"/>
    <mergeCell ref="D172:D173"/>
    <mergeCell ref="E172:G172"/>
    <mergeCell ref="H172:H173"/>
    <mergeCell ref="I172:I173"/>
    <mergeCell ref="B181:C181"/>
    <mergeCell ref="A183:J183"/>
    <mergeCell ref="A184:Q184"/>
    <mergeCell ref="B185:N185"/>
    <mergeCell ref="P185:Q185"/>
    <mergeCell ref="A186:Q186"/>
    <mergeCell ref="B182:C182"/>
    <mergeCell ref="A178:Q178"/>
    <mergeCell ref="A179:A180"/>
    <mergeCell ref="B179:C180"/>
    <mergeCell ref="D179:D180"/>
    <mergeCell ref="E179:G179"/>
    <mergeCell ref="H179:H180"/>
    <mergeCell ref="I179:I180"/>
    <mergeCell ref="J179:J180"/>
    <mergeCell ref="J187:J188"/>
    <mergeCell ref="B189:C189"/>
    <mergeCell ref="A190:J190"/>
    <mergeCell ref="A191:Q191"/>
    <mergeCell ref="B192:N192"/>
    <mergeCell ref="P192:Q192"/>
    <mergeCell ref="A187:A188"/>
    <mergeCell ref="B187:C188"/>
    <mergeCell ref="D187:D188"/>
    <mergeCell ref="E187:G187"/>
    <mergeCell ref="H187:H188"/>
    <mergeCell ref="I187:I188"/>
    <mergeCell ref="B196:C196"/>
    <mergeCell ref="A197:J197"/>
    <mergeCell ref="A198:Q198"/>
    <mergeCell ref="B199:N199"/>
    <mergeCell ref="P199:Q199"/>
    <mergeCell ref="A200:Q200"/>
    <mergeCell ref="A193:Q193"/>
    <mergeCell ref="A194:A195"/>
    <mergeCell ref="B194:C195"/>
    <mergeCell ref="D194:D195"/>
    <mergeCell ref="E194:G194"/>
    <mergeCell ref="H194:H195"/>
    <mergeCell ref="I194:I195"/>
    <mergeCell ref="J194:J195"/>
    <mergeCell ref="J201:J202"/>
    <mergeCell ref="B203:C203"/>
    <mergeCell ref="A204:J204"/>
    <mergeCell ref="A205:Q205"/>
    <mergeCell ref="B206:N206"/>
    <mergeCell ref="P206:Q206"/>
    <mergeCell ref="A201:A202"/>
    <mergeCell ref="B201:C202"/>
    <mergeCell ref="D201:D202"/>
    <mergeCell ref="E201:G201"/>
    <mergeCell ref="H201:H202"/>
    <mergeCell ref="I201:I202"/>
    <mergeCell ref="A211:J211"/>
    <mergeCell ref="A212:Q212"/>
    <mergeCell ref="B213:N213"/>
    <mergeCell ref="P213:Q213"/>
    <mergeCell ref="A214:Q214"/>
    <mergeCell ref="A244:Q244"/>
    <mergeCell ref="B245:N245"/>
    <mergeCell ref="P245:Q245"/>
    <mergeCell ref="B215:C216"/>
    <mergeCell ref="B234:C234"/>
    <mergeCell ref="A228:Q228"/>
    <mergeCell ref="A207:Q207"/>
    <mergeCell ref="A208:A209"/>
    <mergeCell ref="B208:C209"/>
    <mergeCell ref="D208:D209"/>
    <mergeCell ref="E208:G208"/>
    <mergeCell ref="H208:H209"/>
    <mergeCell ref="I208:I209"/>
    <mergeCell ref="J208:J209"/>
    <mergeCell ref="B210:C210"/>
    <mergeCell ref="A229:A230"/>
    <mergeCell ref="B229:C230"/>
    <mergeCell ref="D229:D230"/>
    <mergeCell ref="E229:G229"/>
    <mergeCell ref="H229:H230"/>
    <mergeCell ref="I229:I230"/>
    <mergeCell ref="J229:J230"/>
    <mergeCell ref="A235:J235"/>
    <mergeCell ref="A251:Q251"/>
    <mergeCell ref="A247:A248"/>
    <mergeCell ref="B247:C248"/>
    <mergeCell ref="D247:D248"/>
    <mergeCell ref="E247:G247"/>
    <mergeCell ref="B252:N252"/>
    <mergeCell ref="P252:Q252"/>
    <mergeCell ref="A253:Q253"/>
    <mergeCell ref="A236:Q236"/>
    <mergeCell ref="B237:N237"/>
    <mergeCell ref="P237:Q237"/>
    <mergeCell ref="A238:Q238"/>
    <mergeCell ref="J239:J240"/>
    <mergeCell ref="B241:C241"/>
    <mergeCell ref="A243:J243"/>
    <mergeCell ref="B242:C242"/>
    <mergeCell ref="A239:A240"/>
    <mergeCell ref="B239:C240"/>
    <mergeCell ref="D239:D240"/>
    <mergeCell ref="E239:G239"/>
    <mergeCell ref="H239:H240"/>
    <mergeCell ref="I239:I240"/>
    <mergeCell ref="A246:Q246"/>
    <mergeCell ref="J247:J248"/>
    <mergeCell ref="B249:C249"/>
    <mergeCell ref="A250:J250"/>
    <mergeCell ref="H247:H248"/>
    <mergeCell ref="I247:I248"/>
    <mergeCell ref="J254:J255"/>
    <mergeCell ref="B256:C256"/>
    <mergeCell ref="A257:J257"/>
    <mergeCell ref="A258:Q258"/>
    <mergeCell ref="B259:N259"/>
    <mergeCell ref="P259:Q259"/>
    <mergeCell ref="A254:A255"/>
    <mergeCell ref="B254:C255"/>
    <mergeCell ref="D254:D255"/>
    <mergeCell ref="E254:G254"/>
    <mergeCell ref="H254:H255"/>
    <mergeCell ref="I254:I255"/>
    <mergeCell ref="B263:C263"/>
    <mergeCell ref="B264:C264"/>
    <mergeCell ref="B265:C265"/>
    <mergeCell ref="B266:C266"/>
    <mergeCell ref="A268:J268"/>
    <mergeCell ref="A269:Q269"/>
    <mergeCell ref="A260:Q260"/>
    <mergeCell ref="A261:A262"/>
    <mergeCell ref="B261:C262"/>
    <mergeCell ref="D261:D262"/>
    <mergeCell ref="E261:G261"/>
    <mergeCell ref="H261:H262"/>
    <mergeCell ref="I261:I262"/>
    <mergeCell ref="J261:J262"/>
    <mergeCell ref="B267:C267"/>
    <mergeCell ref="P277:Q277"/>
    <mergeCell ref="A278:Q278"/>
    <mergeCell ref="B270:N270"/>
    <mergeCell ref="P270:Q270"/>
    <mergeCell ref="A271:Q271"/>
    <mergeCell ref="A272:A273"/>
    <mergeCell ref="B272:C273"/>
    <mergeCell ref="D272:D273"/>
    <mergeCell ref="E272:G272"/>
    <mergeCell ref="H272:H273"/>
    <mergeCell ref="I272:I273"/>
    <mergeCell ref="J272:J273"/>
    <mergeCell ref="B274:C274"/>
    <mergeCell ref="A275:J275"/>
    <mergeCell ref="A276:Q276"/>
    <mergeCell ref="B277:N277"/>
    <mergeCell ref="B283:C283"/>
    <mergeCell ref="A284:J284"/>
    <mergeCell ref="A285:Q285"/>
    <mergeCell ref="B286:N286"/>
    <mergeCell ref="P286:Q286"/>
    <mergeCell ref="B282:C282"/>
    <mergeCell ref="A279:A280"/>
    <mergeCell ref="B279:C280"/>
    <mergeCell ref="D279:D280"/>
    <mergeCell ref="E279:G279"/>
    <mergeCell ref="H279:H280"/>
    <mergeCell ref="I279:I280"/>
    <mergeCell ref="B281:C281"/>
    <mergeCell ref="J279:J280"/>
    <mergeCell ref="B290:C290"/>
    <mergeCell ref="A291:J291"/>
    <mergeCell ref="A292:Q292"/>
    <mergeCell ref="B293:N293"/>
    <mergeCell ref="P293:Q293"/>
    <mergeCell ref="A294:Q294"/>
    <mergeCell ref="A287:Q287"/>
    <mergeCell ref="A288:A289"/>
    <mergeCell ref="B288:C289"/>
    <mergeCell ref="D288:D289"/>
    <mergeCell ref="E288:G288"/>
    <mergeCell ref="H288:H289"/>
    <mergeCell ref="I288:I289"/>
    <mergeCell ref="J288:J289"/>
    <mergeCell ref="J295:J296"/>
    <mergeCell ref="B297:C297"/>
    <mergeCell ref="A298:J298"/>
    <mergeCell ref="A299:Q299"/>
    <mergeCell ref="B300:N300"/>
    <mergeCell ref="P300:Q300"/>
    <mergeCell ref="A295:A296"/>
    <mergeCell ref="B295:C296"/>
    <mergeCell ref="D295:D296"/>
    <mergeCell ref="E295:G295"/>
    <mergeCell ref="H295:H296"/>
    <mergeCell ref="I295:I296"/>
    <mergeCell ref="B304:C304"/>
    <mergeCell ref="A305:J305"/>
    <mergeCell ref="A306:Q306"/>
    <mergeCell ref="B307:N307"/>
    <mergeCell ref="P307:Q307"/>
    <mergeCell ref="A301:Q301"/>
    <mergeCell ref="A302:A303"/>
    <mergeCell ref="B302:C303"/>
    <mergeCell ref="D302:D303"/>
    <mergeCell ref="E302:G302"/>
    <mergeCell ref="H302:H303"/>
    <mergeCell ref="I302:I303"/>
    <mergeCell ref="J302:J303"/>
    <mergeCell ref="B311:C311"/>
    <mergeCell ref="A312:J312"/>
    <mergeCell ref="A313:Q313"/>
    <mergeCell ref="B314:N314"/>
    <mergeCell ref="P314:Q314"/>
    <mergeCell ref="A315:Q315"/>
    <mergeCell ref="A308:Q308"/>
    <mergeCell ref="A309:A310"/>
    <mergeCell ref="B309:C310"/>
    <mergeCell ref="D309:D310"/>
    <mergeCell ref="E309:G309"/>
    <mergeCell ref="H309:H310"/>
    <mergeCell ref="I309:I310"/>
    <mergeCell ref="J309:J310"/>
    <mergeCell ref="J316:J317"/>
    <mergeCell ref="B318:C318"/>
    <mergeCell ref="B319:C319"/>
    <mergeCell ref="B320:C320"/>
    <mergeCell ref="B321:C321"/>
    <mergeCell ref="B322:C322"/>
    <mergeCell ref="A316:A317"/>
    <mergeCell ref="B316:C317"/>
    <mergeCell ref="D316:D317"/>
    <mergeCell ref="E316:G316"/>
    <mergeCell ref="H316:H317"/>
    <mergeCell ref="I316:I317"/>
    <mergeCell ref="I327:I328"/>
    <mergeCell ref="J327:J328"/>
    <mergeCell ref="B329:C329"/>
    <mergeCell ref="A330:J330"/>
    <mergeCell ref="A331:Q331"/>
    <mergeCell ref="B332:N332"/>
    <mergeCell ref="P332:Q332"/>
    <mergeCell ref="A323:J323"/>
    <mergeCell ref="A324:Q324"/>
    <mergeCell ref="B325:N325"/>
    <mergeCell ref="P325:Q325"/>
    <mergeCell ref="A326:Q326"/>
    <mergeCell ref="A327:A328"/>
    <mergeCell ref="B327:C328"/>
    <mergeCell ref="D327:D328"/>
    <mergeCell ref="E327:G327"/>
    <mergeCell ref="H327:H328"/>
    <mergeCell ref="B336:C336"/>
    <mergeCell ref="A337:J337"/>
    <mergeCell ref="A338:Q338"/>
    <mergeCell ref="B339:N339"/>
    <mergeCell ref="P339:Q339"/>
    <mergeCell ref="A340:Q340"/>
    <mergeCell ref="A333:Q333"/>
    <mergeCell ref="A334:A335"/>
    <mergeCell ref="B334:C335"/>
    <mergeCell ref="D334:D335"/>
    <mergeCell ref="E334:G334"/>
    <mergeCell ref="H334:H335"/>
    <mergeCell ref="I334:I335"/>
    <mergeCell ref="J334:J335"/>
    <mergeCell ref="J341:J342"/>
    <mergeCell ref="B343:C343"/>
    <mergeCell ref="A344:J344"/>
    <mergeCell ref="A345:Q345"/>
    <mergeCell ref="B346:N346"/>
    <mergeCell ref="P346:Q346"/>
    <mergeCell ref="A341:A342"/>
    <mergeCell ref="B341:C342"/>
    <mergeCell ref="D341:D342"/>
    <mergeCell ref="E341:G341"/>
    <mergeCell ref="H341:H342"/>
    <mergeCell ref="I341:I342"/>
    <mergeCell ref="B350:C350"/>
    <mergeCell ref="A351:J351"/>
    <mergeCell ref="A352:Q352"/>
    <mergeCell ref="B353:N353"/>
    <mergeCell ref="P353:Q353"/>
    <mergeCell ref="A354:Q354"/>
    <mergeCell ref="I362:I363"/>
    <mergeCell ref="A347:Q347"/>
    <mergeCell ref="A348:A349"/>
    <mergeCell ref="B348:C349"/>
    <mergeCell ref="D348:D349"/>
    <mergeCell ref="E348:G348"/>
    <mergeCell ref="H348:H349"/>
    <mergeCell ref="I348:I349"/>
    <mergeCell ref="J348:J349"/>
    <mergeCell ref="J355:J356"/>
    <mergeCell ref="B357:C357"/>
    <mergeCell ref="A358:J358"/>
    <mergeCell ref="A366:Q366"/>
    <mergeCell ref="B367:N367"/>
    <mergeCell ref="P367:Q367"/>
    <mergeCell ref="A359:Q359"/>
    <mergeCell ref="B360:N360"/>
    <mergeCell ref="P360:Q360"/>
    <mergeCell ref="A361:Q361"/>
    <mergeCell ref="A355:A356"/>
    <mergeCell ref="B355:C356"/>
    <mergeCell ref="D355:D356"/>
    <mergeCell ref="E355:G355"/>
    <mergeCell ref="H355:H356"/>
    <mergeCell ref="I355:I356"/>
    <mergeCell ref="J362:J363"/>
    <mergeCell ref="B364:C364"/>
    <mergeCell ref="A365:J365"/>
    <mergeCell ref="A362:A363"/>
    <mergeCell ref="B362:C363"/>
    <mergeCell ref="D362:D363"/>
    <mergeCell ref="E362:G362"/>
    <mergeCell ref="H362:H363"/>
    <mergeCell ref="J376:J377"/>
    <mergeCell ref="B378:C378"/>
    <mergeCell ref="A379:J379"/>
    <mergeCell ref="A380:Q380"/>
    <mergeCell ref="A368:Q368"/>
    <mergeCell ref="A369:A370"/>
    <mergeCell ref="B369:C370"/>
    <mergeCell ref="D369:D370"/>
    <mergeCell ref="E369:G369"/>
    <mergeCell ref="H369:H370"/>
    <mergeCell ref="I369:I370"/>
    <mergeCell ref="J369:J370"/>
    <mergeCell ref="A410:Q410"/>
    <mergeCell ref="B411:N411"/>
    <mergeCell ref="P411:Q411"/>
    <mergeCell ref="A398:Q398"/>
    <mergeCell ref="A399:A400"/>
    <mergeCell ref="B399:C400"/>
    <mergeCell ref="D399:D400"/>
    <mergeCell ref="A390:A391"/>
    <mergeCell ref="B390:C391"/>
    <mergeCell ref="D390:D391"/>
    <mergeCell ref="E390:G390"/>
    <mergeCell ref="H390:H391"/>
    <mergeCell ref="I390:I391"/>
    <mergeCell ref="A396:Q396"/>
    <mergeCell ref="B397:N397"/>
    <mergeCell ref="P397:Q397"/>
    <mergeCell ref="J406:J407"/>
    <mergeCell ref="B408:C408"/>
    <mergeCell ref="A409:J409"/>
    <mergeCell ref="A403:Q403"/>
    <mergeCell ref="B404:N404"/>
    <mergeCell ref="P404:Q404"/>
    <mergeCell ref="A405:Q405"/>
    <mergeCell ref="A406:A407"/>
    <mergeCell ref="B415:C415"/>
    <mergeCell ref="A416:J416"/>
    <mergeCell ref="A417:Q417"/>
    <mergeCell ref="B418:N418"/>
    <mergeCell ref="P418:Q418"/>
    <mergeCell ref="A419:Q419"/>
    <mergeCell ref="A412:Q412"/>
    <mergeCell ref="A413:A414"/>
    <mergeCell ref="B413:C414"/>
    <mergeCell ref="D413:D414"/>
    <mergeCell ref="E413:G413"/>
    <mergeCell ref="H413:H414"/>
    <mergeCell ref="I413:I414"/>
    <mergeCell ref="J413:J414"/>
    <mergeCell ref="A423:J423"/>
    <mergeCell ref="A424:Q424"/>
    <mergeCell ref="B425:N425"/>
    <mergeCell ref="P425:Q425"/>
    <mergeCell ref="A420:A421"/>
    <mergeCell ref="B420:C421"/>
    <mergeCell ref="D420:D421"/>
    <mergeCell ref="E420:G420"/>
    <mergeCell ref="H420:H421"/>
    <mergeCell ref="I420:I421"/>
    <mergeCell ref="J420:J421"/>
    <mergeCell ref="B422:C422"/>
    <mergeCell ref="A431:J431"/>
    <mergeCell ref="A432:Q432"/>
    <mergeCell ref="B433:N433"/>
    <mergeCell ref="P433:Q433"/>
    <mergeCell ref="A434:Q434"/>
    <mergeCell ref="A426:Q426"/>
    <mergeCell ref="A427:A428"/>
    <mergeCell ref="B427:C428"/>
    <mergeCell ref="D427:G427"/>
    <mergeCell ref="H427:H428"/>
    <mergeCell ref="I427:I428"/>
    <mergeCell ref="J427:J428"/>
    <mergeCell ref="B429:C429"/>
    <mergeCell ref="B430:C430"/>
    <mergeCell ref="A439:J439"/>
    <mergeCell ref="A440:Q440"/>
    <mergeCell ref="B441:N441"/>
    <mergeCell ref="P441:Q441"/>
    <mergeCell ref="A442:P442"/>
    <mergeCell ref="A435:A436"/>
    <mergeCell ref="B435:C436"/>
    <mergeCell ref="D435:G435"/>
    <mergeCell ref="H435:H436"/>
    <mergeCell ref="I435:I436"/>
    <mergeCell ref="J435:J436"/>
    <mergeCell ref="B437:C437"/>
    <mergeCell ref="B438:C438"/>
    <mergeCell ref="J443:J444"/>
    <mergeCell ref="B445:C445"/>
    <mergeCell ref="A446:J446"/>
    <mergeCell ref="A447:Q447"/>
    <mergeCell ref="B448:N448"/>
    <mergeCell ref="P448:Q448"/>
    <mergeCell ref="A443:A444"/>
    <mergeCell ref="B443:C444"/>
    <mergeCell ref="D443:D444"/>
    <mergeCell ref="E443:G443"/>
    <mergeCell ref="H443:H444"/>
    <mergeCell ref="I443:I444"/>
    <mergeCell ref="B452:C452"/>
    <mergeCell ref="A453:J453"/>
    <mergeCell ref="A454:Q454"/>
    <mergeCell ref="B455:N455"/>
    <mergeCell ref="P455:Q455"/>
    <mergeCell ref="A456:Q456"/>
    <mergeCell ref="A449:P449"/>
    <mergeCell ref="A450:A451"/>
    <mergeCell ref="B450:C451"/>
    <mergeCell ref="D450:D451"/>
    <mergeCell ref="E450:G450"/>
    <mergeCell ref="H450:H451"/>
    <mergeCell ref="I450:I451"/>
    <mergeCell ref="J450:J451"/>
    <mergeCell ref="A464:A465"/>
    <mergeCell ref="B464:C465"/>
    <mergeCell ref="D464:D465"/>
    <mergeCell ref="E464:G464"/>
    <mergeCell ref="H464:H465"/>
    <mergeCell ref="I464:I465"/>
    <mergeCell ref="J464:J465"/>
    <mergeCell ref="J457:J458"/>
    <mergeCell ref="B459:C459"/>
    <mergeCell ref="A460:J460"/>
    <mergeCell ref="A461:Q461"/>
    <mergeCell ref="B462:N462"/>
    <mergeCell ref="P462:Q462"/>
    <mergeCell ref="A457:A458"/>
    <mergeCell ref="B457:C458"/>
    <mergeCell ref="D457:D458"/>
    <mergeCell ref="E457:G457"/>
    <mergeCell ref="H457:H458"/>
    <mergeCell ref="I457:I458"/>
    <mergeCell ref="A463:Q463"/>
    <mergeCell ref="A484:Q484"/>
    <mergeCell ref="B485:N485"/>
    <mergeCell ref="P485:Q485"/>
    <mergeCell ref="A479:Q479"/>
    <mergeCell ref="A480:A481"/>
    <mergeCell ref="B480:C481"/>
    <mergeCell ref="D480:D481"/>
    <mergeCell ref="A471:A472"/>
    <mergeCell ref="B471:C472"/>
    <mergeCell ref="D471:D472"/>
    <mergeCell ref="E471:G471"/>
    <mergeCell ref="H471:H472"/>
    <mergeCell ref="I471:I472"/>
    <mergeCell ref="E480:G480"/>
    <mergeCell ref="H480:H481"/>
    <mergeCell ref="I480:I481"/>
    <mergeCell ref="J480:J481"/>
    <mergeCell ref="B482:C482"/>
    <mergeCell ref="A483:J483"/>
    <mergeCell ref="A477:Q477"/>
    <mergeCell ref="B478:N478"/>
    <mergeCell ref="P478:Q478"/>
    <mergeCell ref="B473:C473"/>
    <mergeCell ref="B474:C474"/>
    <mergeCell ref="H494:H495"/>
    <mergeCell ref="I494:I495"/>
    <mergeCell ref="B489:C489"/>
    <mergeCell ref="A490:J490"/>
    <mergeCell ref="A491:Q491"/>
    <mergeCell ref="B492:N492"/>
    <mergeCell ref="P492:Q492"/>
    <mergeCell ref="A493:Q493"/>
    <mergeCell ref="A486:Q486"/>
    <mergeCell ref="A487:A488"/>
    <mergeCell ref="B487:C488"/>
    <mergeCell ref="D487:D488"/>
    <mergeCell ref="E487:G487"/>
    <mergeCell ref="H487:H488"/>
    <mergeCell ref="I487:I488"/>
    <mergeCell ref="J487:J488"/>
    <mergeCell ref="A514:Q514"/>
    <mergeCell ref="B14:C14"/>
    <mergeCell ref="B29:C29"/>
    <mergeCell ref="A76:Q76"/>
    <mergeCell ref="B77:N77"/>
    <mergeCell ref="P77:Q77"/>
    <mergeCell ref="A78:Q78"/>
    <mergeCell ref="A510:A511"/>
    <mergeCell ref="B510:C511"/>
    <mergeCell ref="D510:D511"/>
    <mergeCell ref="E510:G510"/>
    <mergeCell ref="H510:H511"/>
    <mergeCell ref="I510:I511"/>
    <mergeCell ref="B505:C505"/>
    <mergeCell ref="A506:J506"/>
    <mergeCell ref="A507:Q507"/>
    <mergeCell ref="B508:N508"/>
    <mergeCell ref="P508:Q508"/>
    <mergeCell ref="A509:Q509"/>
    <mergeCell ref="A502:Q502"/>
    <mergeCell ref="A503:A504"/>
    <mergeCell ref="B503:C504"/>
    <mergeCell ref="D503:D504"/>
    <mergeCell ref="E503:G503"/>
    <mergeCell ref="J79:J80"/>
    <mergeCell ref="L79:Q82"/>
    <mergeCell ref="B81:C81"/>
    <mergeCell ref="A82:J82"/>
    <mergeCell ref="J510:J511"/>
    <mergeCell ref="B512:C512"/>
    <mergeCell ref="A513:J513"/>
    <mergeCell ref="H503:H504"/>
    <mergeCell ref="I503:I504"/>
    <mergeCell ref="J503:J504"/>
    <mergeCell ref="J494:J495"/>
    <mergeCell ref="B496:C496"/>
    <mergeCell ref="B498:C498"/>
    <mergeCell ref="A499:J499"/>
    <mergeCell ref="A500:Q500"/>
    <mergeCell ref="B501:N501"/>
    <mergeCell ref="P501:Q501"/>
    <mergeCell ref="B497:C497"/>
    <mergeCell ref="A494:A495"/>
    <mergeCell ref="B494:C495"/>
    <mergeCell ref="D494:D495"/>
    <mergeCell ref="E494:G494"/>
    <mergeCell ref="J86:J87"/>
    <mergeCell ref="L86:Q89"/>
    <mergeCell ref="B88:C88"/>
    <mergeCell ref="A89:J89"/>
    <mergeCell ref="A90:Q90"/>
    <mergeCell ref="A83:Q83"/>
    <mergeCell ref="B84:N84"/>
    <mergeCell ref="P84:Q84"/>
    <mergeCell ref="A85:Q85"/>
    <mergeCell ref="A86:A87"/>
    <mergeCell ref="B86:C87"/>
    <mergeCell ref="D86:D87"/>
    <mergeCell ref="E86:G86"/>
    <mergeCell ref="H86:H87"/>
    <mergeCell ref="I86:I87"/>
    <mergeCell ref="B95:C95"/>
    <mergeCell ref="A98:J98"/>
    <mergeCell ref="A99:Q99"/>
    <mergeCell ref="B100:N100"/>
    <mergeCell ref="P100:Q100"/>
    <mergeCell ref="A101:Q101"/>
    <mergeCell ref="B91:N91"/>
    <mergeCell ref="P91:Q91"/>
    <mergeCell ref="A92:Q92"/>
    <mergeCell ref="A93:A94"/>
    <mergeCell ref="B93:C94"/>
    <mergeCell ref="D93:D94"/>
    <mergeCell ref="E93:G93"/>
    <mergeCell ref="H93:H94"/>
    <mergeCell ref="I93:I94"/>
    <mergeCell ref="J93:J94"/>
    <mergeCell ref="A105:J105"/>
    <mergeCell ref="B96:C96"/>
    <mergeCell ref="B97:C97"/>
    <mergeCell ref="A102:A103"/>
    <mergeCell ref="B102:C103"/>
    <mergeCell ref="D102:D103"/>
    <mergeCell ref="E102:G102"/>
    <mergeCell ref="H102:H103"/>
    <mergeCell ref="I102:I103"/>
    <mergeCell ref="J102:J103"/>
    <mergeCell ref="B104:C104"/>
    <mergeCell ref="B114:C114"/>
    <mergeCell ref="E114:F114"/>
    <mergeCell ref="A38:Q38"/>
    <mergeCell ref="B39:N39"/>
    <mergeCell ref="P39:Q39"/>
    <mergeCell ref="A40:Q40"/>
    <mergeCell ref="A41:A42"/>
    <mergeCell ref="B41:C42"/>
    <mergeCell ref="D41:D42"/>
    <mergeCell ref="E41:G41"/>
    <mergeCell ref="J63:J64"/>
    <mergeCell ref="B65:C65"/>
    <mergeCell ref="B66:C66"/>
    <mergeCell ref="B67:C67"/>
    <mergeCell ref="A68:J68"/>
    <mergeCell ref="B113:C113"/>
    <mergeCell ref="E113:F113"/>
    <mergeCell ref="A60:Q60"/>
    <mergeCell ref="J48:J49"/>
    <mergeCell ref="L48:Q51"/>
    <mergeCell ref="B50:C50"/>
    <mergeCell ref="A51:J51"/>
    <mergeCell ref="B58:C58"/>
    <mergeCell ref="A48:A49"/>
    <mergeCell ref="H48:H49"/>
    <mergeCell ref="I48:I49"/>
    <mergeCell ref="B61:N61"/>
    <mergeCell ref="P61:Q61"/>
    <mergeCell ref="A62:Q62"/>
    <mergeCell ref="A63:A64"/>
    <mergeCell ref="B63:C64"/>
    <mergeCell ref="D63:D64"/>
    <mergeCell ref="E63:G63"/>
    <mergeCell ref="H63:H64"/>
    <mergeCell ref="I63:I64"/>
    <mergeCell ref="A52:Q52"/>
    <mergeCell ref="B53:N53"/>
    <mergeCell ref="P53:Q53"/>
    <mergeCell ref="A218:J218"/>
    <mergeCell ref="A226:Q226"/>
    <mergeCell ref="B227:N227"/>
    <mergeCell ref="P227:Q227"/>
    <mergeCell ref="E222:G222"/>
    <mergeCell ref="H222:H223"/>
    <mergeCell ref="I222:I223"/>
    <mergeCell ref="J222:J223"/>
    <mergeCell ref="A215:A216"/>
    <mergeCell ref="D215:D216"/>
    <mergeCell ref="E215:G215"/>
    <mergeCell ref="H215:H216"/>
    <mergeCell ref="I215:I216"/>
    <mergeCell ref="A221:Q221"/>
    <mergeCell ref="A222:A223"/>
    <mergeCell ref="B222:C223"/>
    <mergeCell ref="D222:D223"/>
    <mergeCell ref="J215:J216"/>
    <mergeCell ref="B217:C217"/>
    <mergeCell ref="B224:C224"/>
    <mergeCell ref="A225:J225"/>
    <mergeCell ref="A219:Q219"/>
    <mergeCell ref="B220:N220"/>
    <mergeCell ref="P220:Q220"/>
    <mergeCell ref="A395:J395"/>
    <mergeCell ref="B385:C385"/>
    <mergeCell ref="A386:J386"/>
    <mergeCell ref="A387:Q387"/>
    <mergeCell ref="B388:N388"/>
    <mergeCell ref="P388:Q388"/>
    <mergeCell ref="A389:Q389"/>
    <mergeCell ref="B233:C233"/>
    <mergeCell ref="B231:C231"/>
    <mergeCell ref="B232:C232"/>
    <mergeCell ref="B381:N381"/>
    <mergeCell ref="P381:Q381"/>
    <mergeCell ref="A376:A377"/>
    <mergeCell ref="B376:C377"/>
    <mergeCell ref="D376:D377"/>
    <mergeCell ref="E376:G376"/>
    <mergeCell ref="H376:H377"/>
    <mergeCell ref="I376:I377"/>
    <mergeCell ref="B371:C371"/>
    <mergeCell ref="A372:J372"/>
    <mergeCell ref="A373:Q373"/>
    <mergeCell ref="B374:N374"/>
    <mergeCell ref="P374:Q374"/>
    <mergeCell ref="A375:Q375"/>
    <mergeCell ref="A382:Q382"/>
    <mergeCell ref="A383:A384"/>
    <mergeCell ref="B383:C384"/>
    <mergeCell ref="B394:C394"/>
    <mergeCell ref="B392:C392"/>
    <mergeCell ref="D383:D384"/>
    <mergeCell ref="E383:G383"/>
    <mergeCell ref="H383:H384"/>
    <mergeCell ref="I383:I384"/>
    <mergeCell ref="J383:J384"/>
    <mergeCell ref="J390:J391"/>
    <mergeCell ref="B393:C393"/>
    <mergeCell ref="B406:C407"/>
    <mergeCell ref="D406:D407"/>
    <mergeCell ref="E406:G406"/>
    <mergeCell ref="H406:H407"/>
    <mergeCell ref="I406:I407"/>
    <mergeCell ref="E399:G399"/>
    <mergeCell ref="H399:H400"/>
    <mergeCell ref="I399:I400"/>
    <mergeCell ref="J399:J400"/>
    <mergeCell ref="B401:C401"/>
    <mergeCell ref="A402:J402"/>
    <mergeCell ref="B475:C475"/>
    <mergeCell ref="J471:J472"/>
    <mergeCell ref="A476:J476"/>
    <mergeCell ref="B466:C466"/>
    <mergeCell ref="A467:J467"/>
    <mergeCell ref="A468:Q468"/>
    <mergeCell ref="B469:N469"/>
    <mergeCell ref="P469:Q469"/>
    <mergeCell ref="A470:Q470"/>
  </mergeCells>
  <pageMargins left="0.39370078740157483" right="0.27559055118110237" top="0.6692913385826772" bottom="0.55118110236220474" header="0.31496062992125984" footer="0.31496062992125984"/>
  <pageSetup scale="7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M6800"/>
  <sheetViews>
    <sheetView view="pageBreakPreview" topLeftCell="A6733" zoomScale="130" zoomScaleNormal="100" zoomScaleSheetLayoutView="130" workbookViewId="0">
      <selection activeCell="I6768" sqref="I6768"/>
    </sheetView>
  </sheetViews>
  <sheetFormatPr baseColWidth="10" defaultRowHeight="13" x14ac:dyDescent="0.15"/>
  <cols>
    <col min="3" max="3" width="13.33203125" customWidth="1"/>
    <col min="6" max="6" width="12.6640625" customWidth="1"/>
    <col min="8" max="8" width="12.6640625" customWidth="1"/>
    <col min="9" max="9" width="17.1640625" customWidth="1"/>
    <col min="11" max="11" width="15.5" customWidth="1"/>
    <col min="12" max="12" width="12.83203125" hidden="1" customWidth="1"/>
    <col min="13" max="13" width="12.83203125" bestFit="1" customWidth="1"/>
    <col min="14" max="14" width="18.1640625" bestFit="1" customWidth="1"/>
    <col min="15" max="15" width="15.5" bestFit="1" customWidth="1"/>
    <col min="22" max="22" width="14.83203125" bestFit="1" customWidth="1"/>
  </cols>
  <sheetData>
    <row r="1" spans="2:9" s="90" customFormat="1" ht="21.75" customHeight="1" x14ac:dyDescent="0.2">
      <c r="B1" s="885" t="s">
        <v>874</v>
      </c>
      <c r="C1" s="886"/>
      <c r="D1" s="886"/>
      <c r="E1" s="886"/>
      <c r="F1" s="887"/>
      <c r="G1" s="89"/>
      <c r="H1" s="931" t="s">
        <v>20</v>
      </c>
      <c r="I1" s="932"/>
    </row>
    <row r="2" spans="2:9" s="90" customFormat="1" ht="21" customHeight="1" x14ac:dyDescent="0.2">
      <c r="B2" s="888" t="s">
        <v>875</v>
      </c>
      <c r="C2" s="889"/>
      <c r="D2" s="889"/>
      <c r="E2" s="889"/>
      <c r="F2" s="890"/>
      <c r="G2" s="91"/>
      <c r="H2" s="933"/>
      <c r="I2" s="934"/>
    </row>
    <row r="3" spans="2:9" s="90" customFormat="1" ht="15" customHeight="1" x14ac:dyDescent="0.2">
      <c r="B3" s="906" t="s">
        <v>876</v>
      </c>
      <c r="C3" s="907"/>
      <c r="D3" s="907"/>
      <c r="E3" s="907"/>
      <c r="F3" s="908"/>
      <c r="G3" s="91"/>
      <c r="H3" s="935" t="s">
        <v>169</v>
      </c>
      <c r="I3" s="939"/>
    </row>
    <row r="4" spans="2:9" s="90" customFormat="1" ht="15.75" customHeight="1" thickBot="1" x14ac:dyDescent="0.25">
      <c r="B4" s="909"/>
      <c r="C4" s="910"/>
      <c r="D4" s="910"/>
      <c r="E4" s="910"/>
      <c r="F4" s="911"/>
      <c r="G4" s="89"/>
      <c r="H4" s="935"/>
      <c r="I4" s="939"/>
    </row>
    <row r="5" spans="2:9" ht="15.75" customHeight="1" thickBot="1" x14ac:dyDescent="0.2">
      <c r="B5" s="15"/>
      <c r="C5" s="16"/>
      <c r="D5" s="1"/>
      <c r="E5" s="1"/>
      <c r="F5" s="1"/>
      <c r="G5" s="1"/>
      <c r="H5" s="935"/>
      <c r="I5" s="939"/>
    </row>
    <row r="6" spans="2:9" ht="15.75" customHeight="1" x14ac:dyDescent="0.15">
      <c r="B6" s="922" t="s">
        <v>836</v>
      </c>
      <c r="C6" s="923"/>
      <c r="D6" s="923"/>
      <c r="E6" s="923"/>
      <c r="F6" s="924"/>
      <c r="G6" s="1"/>
      <c r="H6" s="935"/>
      <c r="I6" s="939"/>
    </row>
    <row r="7" spans="2:9" ht="15.75" customHeight="1" x14ac:dyDescent="0.15">
      <c r="B7" s="925"/>
      <c r="C7" s="926"/>
      <c r="D7" s="926"/>
      <c r="E7" s="926"/>
      <c r="F7" s="927"/>
      <c r="H7" s="935"/>
      <c r="I7" s="939"/>
    </row>
    <row r="8" spans="2:9" ht="12.75" customHeight="1" x14ac:dyDescent="0.15">
      <c r="B8" s="925"/>
      <c r="C8" s="926"/>
      <c r="D8" s="926"/>
      <c r="E8" s="926"/>
      <c r="F8" s="927"/>
      <c r="G8" s="11"/>
      <c r="H8" s="935"/>
      <c r="I8" s="939"/>
    </row>
    <row r="9" spans="2:9" ht="13.5" customHeight="1" thickBot="1" x14ac:dyDescent="0.2">
      <c r="B9" s="928"/>
      <c r="C9" s="929"/>
      <c r="D9" s="929"/>
      <c r="E9" s="929"/>
      <c r="F9" s="930"/>
      <c r="H9" s="64" t="s">
        <v>45</v>
      </c>
      <c r="I9" s="17" t="s">
        <v>5</v>
      </c>
    </row>
    <row r="10" spans="2:9" x14ac:dyDescent="0.15">
      <c r="B10" s="18"/>
      <c r="C10" s="18"/>
      <c r="D10" s="1"/>
      <c r="E10" s="18"/>
      <c r="F10" s="18"/>
      <c r="G10" s="18"/>
      <c r="H10" s="18"/>
      <c r="I10" s="1"/>
    </row>
    <row r="11" spans="2:9" ht="14" thickBot="1" x14ac:dyDescent="0.2">
      <c r="B11" s="12" t="s">
        <v>21</v>
      </c>
      <c r="C11" s="12"/>
      <c r="D11" s="1"/>
      <c r="E11" s="1"/>
      <c r="F11" s="1"/>
      <c r="G11" s="1"/>
      <c r="H11" s="1"/>
      <c r="I11" s="1"/>
    </row>
    <row r="12" spans="2:9" x14ac:dyDescent="0.15">
      <c r="B12" s="903" t="s">
        <v>22</v>
      </c>
      <c r="C12" s="904"/>
      <c r="D12" s="905"/>
      <c r="E12" s="209" t="s">
        <v>23</v>
      </c>
      <c r="F12" s="19" t="s">
        <v>108</v>
      </c>
      <c r="G12" s="209" t="s">
        <v>24</v>
      </c>
      <c r="H12" s="208" t="s">
        <v>25</v>
      </c>
      <c r="I12" s="222"/>
    </row>
    <row r="13" spans="2:9" ht="15" customHeight="1" x14ac:dyDescent="0.15">
      <c r="B13" s="940" t="s">
        <v>48</v>
      </c>
      <c r="C13" s="941"/>
      <c r="D13" s="942"/>
      <c r="E13" s="3"/>
      <c r="F13" s="166">
        <f>'HERRAMIENTAS Y EQUIPOS'!C10</f>
        <v>75000</v>
      </c>
      <c r="G13" s="20">
        <v>300</v>
      </c>
      <c r="H13" s="165">
        <f>F13/G13</f>
        <v>250</v>
      </c>
      <c r="I13" s="191"/>
    </row>
    <row r="14" spans="2:9" x14ac:dyDescent="0.15">
      <c r="B14" s="897" t="s">
        <v>56</v>
      </c>
      <c r="C14" s="898"/>
      <c r="D14" s="899"/>
      <c r="E14" s="5"/>
      <c r="F14" s="164"/>
      <c r="G14" s="20"/>
      <c r="H14" s="165">
        <f>I35*0.05</f>
        <v>61.930458333333334</v>
      </c>
      <c r="I14" s="191"/>
    </row>
    <row r="15" spans="2:9" ht="14" thickBot="1" x14ac:dyDescent="0.2">
      <c r="B15" s="900"/>
      <c r="C15" s="901"/>
      <c r="D15" s="902"/>
      <c r="E15" s="21"/>
      <c r="F15" s="22"/>
      <c r="G15" s="23"/>
      <c r="H15" s="223"/>
      <c r="I15" s="177"/>
    </row>
    <row r="16" spans="2:9" ht="14" thickBot="1" x14ac:dyDescent="0.2">
      <c r="B16" s="1"/>
      <c r="C16" s="1"/>
      <c r="D16" s="1"/>
      <c r="E16" s="1"/>
      <c r="F16" s="1"/>
      <c r="G16" s="1"/>
      <c r="H16" s="224" t="s">
        <v>26</v>
      </c>
      <c r="I16" s="163">
        <f>SUM(H13:H15)</f>
        <v>311.93045833333332</v>
      </c>
    </row>
    <row r="17" spans="2:12" ht="14" thickBot="1" x14ac:dyDescent="0.2">
      <c r="B17" s="12" t="s">
        <v>27</v>
      </c>
      <c r="C17" s="12"/>
      <c r="D17" s="1"/>
      <c r="E17" s="1"/>
      <c r="F17" s="1"/>
      <c r="G17" s="1"/>
      <c r="H17" s="225"/>
      <c r="I17" s="225"/>
    </row>
    <row r="18" spans="2:12" x14ac:dyDescent="0.15">
      <c r="B18" s="903" t="s">
        <v>22</v>
      </c>
      <c r="C18" s="904"/>
      <c r="D18" s="905"/>
      <c r="E18" s="209" t="s">
        <v>28</v>
      </c>
      <c r="F18" s="209" t="s">
        <v>29</v>
      </c>
      <c r="G18" s="209" t="s">
        <v>30</v>
      </c>
      <c r="H18" s="226" t="s">
        <v>25</v>
      </c>
      <c r="I18" s="222"/>
    </row>
    <row r="19" spans="2:12" x14ac:dyDescent="0.15">
      <c r="B19" s="4" t="s">
        <v>50</v>
      </c>
      <c r="C19" s="24"/>
      <c r="D19" s="6"/>
      <c r="E19" s="3" t="s">
        <v>51</v>
      </c>
      <c r="F19" s="166">
        <f>MATERIALES!F8</f>
        <v>7500</v>
      </c>
      <c r="G19" s="50">
        <v>2.5000000000000001E-2</v>
      </c>
      <c r="H19" s="165">
        <f>F19*G19</f>
        <v>187.5</v>
      </c>
      <c r="I19" s="191"/>
    </row>
    <row r="20" spans="2:12" x14ac:dyDescent="0.15">
      <c r="B20" s="4" t="s">
        <v>273</v>
      </c>
      <c r="C20" s="24"/>
      <c r="D20" s="6"/>
      <c r="E20" s="3" t="s">
        <v>52</v>
      </c>
      <c r="F20" s="166">
        <f>MATERIALES!F20</f>
        <v>2100</v>
      </c>
      <c r="G20" s="50">
        <f>G19</f>
        <v>2.5000000000000001E-2</v>
      </c>
      <c r="H20" s="165">
        <f>F20*G20</f>
        <v>52.5</v>
      </c>
      <c r="I20" s="191"/>
    </row>
    <row r="21" spans="2:12" x14ac:dyDescent="0.15">
      <c r="B21" s="4" t="s">
        <v>53</v>
      </c>
      <c r="C21" s="24"/>
      <c r="D21" s="6"/>
      <c r="E21" s="5" t="s">
        <v>478</v>
      </c>
      <c r="F21" s="166">
        <f>MATERIALES!F24</f>
        <v>17500</v>
      </c>
      <c r="G21" s="50">
        <f>G19</f>
        <v>2.5000000000000001E-2</v>
      </c>
      <c r="H21" s="186">
        <f>F21*G21</f>
        <v>437.5</v>
      </c>
      <c r="I21" s="191"/>
    </row>
    <row r="22" spans="2:12" ht="14" thickBot="1" x14ac:dyDescent="0.2">
      <c r="B22" s="25"/>
      <c r="C22" s="26"/>
      <c r="D22" s="27"/>
      <c r="E22" s="21"/>
      <c r="F22" s="22"/>
      <c r="G22" s="23"/>
      <c r="H22" s="223"/>
      <c r="I22" s="177"/>
    </row>
    <row r="23" spans="2:12" ht="14" thickBot="1" x14ac:dyDescent="0.2">
      <c r="B23" s="1"/>
      <c r="C23" s="1"/>
      <c r="D23" s="1"/>
      <c r="E23" s="1"/>
      <c r="F23" s="1"/>
      <c r="G23" s="1"/>
      <c r="H23" s="224" t="s">
        <v>26</v>
      </c>
      <c r="I23" s="163">
        <f>SUM(H19:H22)</f>
        <v>677.5</v>
      </c>
    </row>
    <row r="24" spans="2:12" ht="14" thickBot="1" x14ac:dyDescent="0.2">
      <c r="B24" s="28" t="s">
        <v>31</v>
      </c>
      <c r="C24" s="28"/>
      <c r="D24" s="26"/>
      <c r="E24" s="1"/>
      <c r="F24" s="1"/>
      <c r="G24" s="1"/>
      <c r="H24" s="225"/>
      <c r="I24" s="225"/>
    </row>
    <row r="25" spans="2:12" x14ac:dyDescent="0.15">
      <c r="B25" s="51" t="s">
        <v>32</v>
      </c>
      <c r="C25" s="86"/>
      <c r="D25" s="97" t="s">
        <v>33</v>
      </c>
      <c r="E25" s="209" t="s">
        <v>34</v>
      </c>
      <c r="F25" s="209" t="s">
        <v>35</v>
      </c>
      <c r="G25" s="209" t="s">
        <v>36</v>
      </c>
      <c r="H25" s="227" t="s">
        <v>25</v>
      </c>
      <c r="I25" s="222"/>
    </row>
    <row r="26" spans="2:12" x14ac:dyDescent="0.15">
      <c r="B26" s="4" t="s">
        <v>111</v>
      </c>
      <c r="C26" s="6"/>
      <c r="D26" s="53">
        <v>3.5000000000000003E-2</v>
      </c>
      <c r="E26" s="2">
        <v>15</v>
      </c>
      <c r="F26" s="2">
        <f>E26*D26</f>
        <v>0.52500000000000002</v>
      </c>
      <c r="G26" s="162">
        <v>1100</v>
      </c>
      <c r="H26" s="20">
        <f>G26*F26</f>
        <v>577.5</v>
      </c>
      <c r="I26" s="191"/>
    </row>
    <row r="27" spans="2:12" ht="14" thickBot="1" x14ac:dyDescent="0.2">
      <c r="B27" s="33"/>
      <c r="C27" s="34"/>
      <c r="D27" s="98"/>
      <c r="E27" s="21"/>
      <c r="F27" s="99"/>
      <c r="G27" s="23"/>
      <c r="H27" s="167"/>
      <c r="I27" s="177"/>
    </row>
    <row r="28" spans="2:12" ht="14" thickBot="1" x14ac:dyDescent="0.2">
      <c r="B28" s="1"/>
      <c r="C28" s="1"/>
      <c r="D28" s="1"/>
      <c r="E28" s="1"/>
      <c r="F28" s="1"/>
      <c r="G28" s="1"/>
      <c r="H28" s="224" t="s">
        <v>26</v>
      </c>
      <c r="I28" s="177">
        <f>SUM(H26:H27)</f>
        <v>577.5</v>
      </c>
    </row>
    <row r="29" spans="2:12" ht="14" thickBot="1" x14ac:dyDescent="0.2">
      <c r="B29" s="28" t="s">
        <v>37</v>
      </c>
      <c r="C29" s="28"/>
      <c r="D29" s="1"/>
      <c r="E29" s="1"/>
      <c r="F29" s="1"/>
      <c r="G29" s="1"/>
      <c r="H29" s="225"/>
      <c r="I29" s="225"/>
    </row>
    <row r="30" spans="2:12" x14ac:dyDescent="0.15">
      <c r="B30" s="29" t="s">
        <v>38</v>
      </c>
      <c r="C30" s="30"/>
      <c r="D30" s="31" t="s">
        <v>39</v>
      </c>
      <c r="E30" s="209" t="s">
        <v>40</v>
      </c>
      <c r="F30" s="19" t="s">
        <v>41</v>
      </c>
      <c r="G30" s="31" t="s">
        <v>24</v>
      </c>
      <c r="H30" s="226" t="s">
        <v>25</v>
      </c>
      <c r="I30" s="222"/>
    </row>
    <row r="31" spans="2:12" x14ac:dyDescent="0.15">
      <c r="B31" s="4" t="s">
        <v>54</v>
      </c>
      <c r="C31" s="24"/>
      <c r="D31" s="32">
        <f>'MANO DE OBRA'!E19</f>
        <v>108333</v>
      </c>
      <c r="E31" s="168">
        <v>1.75</v>
      </c>
      <c r="F31" s="20">
        <f>+E31*D31</f>
        <v>189582.75</v>
      </c>
      <c r="G31" s="20">
        <f>G13</f>
        <v>300</v>
      </c>
      <c r="H31" s="169">
        <f>+F31/G31</f>
        <v>631.9425</v>
      </c>
      <c r="I31" s="191"/>
    </row>
    <row r="32" spans="2:12" x14ac:dyDescent="0.15">
      <c r="B32" s="4" t="s">
        <v>181</v>
      </c>
      <c r="C32" s="24"/>
      <c r="D32" s="32">
        <f>'MANO DE OBRA'!E20</f>
        <v>52000</v>
      </c>
      <c r="E32" s="168">
        <v>1.75</v>
      </c>
      <c r="F32" s="20">
        <f>+E32*D32</f>
        <v>91000</v>
      </c>
      <c r="G32" s="20">
        <f>G13</f>
        <v>300</v>
      </c>
      <c r="H32" s="169">
        <f>+F32/G32</f>
        <v>303.33333333333331</v>
      </c>
      <c r="I32" s="191"/>
      <c r="L32" s="106"/>
    </row>
    <row r="33" spans="2:9" x14ac:dyDescent="0.15">
      <c r="B33" s="4" t="s">
        <v>109</v>
      </c>
      <c r="C33" s="24"/>
      <c r="D33" s="32">
        <f>'MANO DE OBRA'!E14</f>
        <v>52000</v>
      </c>
      <c r="E33" s="168">
        <v>1.75</v>
      </c>
      <c r="F33" s="20">
        <f>+E33*D33</f>
        <v>91000</v>
      </c>
      <c r="G33" s="20">
        <f>G13</f>
        <v>300</v>
      </c>
      <c r="H33" s="169">
        <f>+F33/G33</f>
        <v>303.33333333333331</v>
      </c>
      <c r="I33" s="191"/>
    </row>
    <row r="34" spans="2:9" ht="14" thickBot="1" x14ac:dyDescent="0.2">
      <c r="B34" s="33"/>
      <c r="C34" s="34"/>
      <c r="D34" s="22"/>
      <c r="E34" s="27"/>
      <c r="F34" s="27"/>
      <c r="G34" s="27"/>
      <c r="H34" s="228"/>
      <c r="I34" s="177"/>
    </row>
    <row r="35" spans="2:9" ht="14" thickBot="1" x14ac:dyDescent="0.2">
      <c r="B35" s="1"/>
      <c r="C35" s="1"/>
      <c r="D35" s="1"/>
      <c r="E35" s="1"/>
      <c r="F35" s="1"/>
      <c r="G35" s="1"/>
      <c r="H35" s="224" t="s">
        <v>26</v>
      </c>
      <c r="I35" s="163">
        <f>SUM(H31:H34)</f>
        <v>1238.6091666666666</v>
      </c>
    </row>
    <row r="36" spans="2:9" ht="14" thickBot="1" x14ac:dyDescent="0.2">
      <c r="B36" s="1"/>
      <c r="C36" s="1"/>
      <c r="D36" s="1"/>
      <c r="E36" s="1"/>
      <c r="F36" s="1"/>
      <c r="G36" s="1"/>
      <c r="H36" s="229"/>
      <c r="I36" s="172"/>
    </row>
    <row r="37" spans="2:9" ht="15" thickBot="1" x14ac:dyDescent="0.2">
      <c r="B37" s="1"/>
      <c r="C37" s="1"/>
      <c r="D37" s="1"/>
      <c r="E37" s="1"/>
      <c r="F37" s="35" t="s">
        <v>43</v>
      </c>
      <c r="G37" s="36"/>
      <c r="H37" s="187"/>
      <c r="I37" s="232">
        <f>ROUND((I16+I23+I28+I35),0)</f>
        <v>2806</v>
      </c>
    </row>
    <row r="38" spans="2:9" x14ac:dyDescent="0.15">
      <c r="B38" s="12"/>
      <c r="C38" s="12"/>
      <c r="D38" s="1"/>
      <c r="E38" s="1"/>
      <c r="F38" s="1"/>
      <c r="G38" s="1"/>
      <c r="H38" s="172"/>
      <c r="I38" s="172"/>
    </row>
    <row r="39" spans="2:9" x14ac:dyDescent="0.15">
      <c r="B39" s="16"/>
      <c r="C39" s="16"/>
      <c r="D39" s="16"/>
      <c r="E39" s="16"/>
      <c r="F39" s="16"/>
      <c r="G39" s="61"/>
      <c r="H39" s="173"/>
      <c r="I39" s="172"/>
    </row>
    <row r="40" spans="2:9" x14ac:dyDescent="0.15">
      <c r="B40" s="1"/>
      <c r="C40" s="1"/>
      <c r="D40" s="1"/>
      <c r="E40" s="1"/>
      <c r="F40" s="1"/>
      <c r="G40" s="161"/>
      <c r="H40" s="172"/>
      <c r="I40" s="172"/>
    </row>
    <row r="41" spans="2:9" x14ac:dyDescent="0.15">
      <c r="B41" s="1"/>
      <c r="C41" s="1"/>
      <c r="D41" s="1"/>
      <c r="E41" s="1"/>
      <c r="F41" s="1"/>
      <c r="G41" s="161"/>
      <c r="H41" s="172"/>
      <c r="I41" s="172"/>
    </row>
    <row r="42" spans="2:9" x14ac:dyDescent="0.15">
      <c r="B42" s="1"/>
      <c r="C42" s="1"/>
      <c r="D42" s="1"/>
      <c r="E42" s="1"/>
      <c r="F42" s="1"/>
      <c r="G42" s="161"/>
      <c r="H42" s="172"/>
      <c r="I42" s="172"/>
    </row>
    <row r="43" spans="2:9" x14ac:dyDescent="0.15">
      <c r="B43" s="1"/>
      <c r="C43" s="1"/>
      <c r="D43" s="1"/>
      <c r="E43" s="1"/>
      <c r="F43" s="1"/>
      <c r="G43" s="1"/>
      <c r="H43" s="37"/>
      <c r="I43" s="172"/>
    </row>
    <row r="44" spans="2:9" ht="14" x14ac:dyDescent="0.15">
      <c r="B44" s="102"/>
      <c r="C44" s="1"/>
      <c r="D44" s="1"/>
      <c r="E44" s="1"/>
      <c r="F44" s="1"/>
      <c r="G44" s="1"/>
      <c r="H44" s="1"/>
      <c r="I44" s="172"/>
    </row>
    <row r="45" spans="2:9" ht="14" x14ac:dyDescent="0.15">
      <c r="B45" s="83"/>
      <c r="C45" s="11"/>
      <c r="D45" s="1"/>
      <c r="E45" s="916"/>
      <c r="F45" s="916"/>
      <c r="G45" s="916"/>
      <c r="H45" s="916"/>
      <c r="I45" s="171"/>
    </row>
    <row r="46" spans="2:9" ht="14" x14ac:dyDescent="0.15">
      <c r="B46" s="102"/>
      <c r="C46" s="11"/>
      <c r="D46" s="11"/>
      <c r="E46" s="11"/>
      <c r="F46" s="11"/>
      <c r="G46" s="11"/>
      <c r="H46" s="11"/>
      <c r="I46" s="11"/>
    </row>
    <row r="47" spans="2:9" ht="14" x14ac:dyDescent="0.15">
      <c r="B47" s="83"/>
      <c r="C47" s="11"/>
      <c r="D47" s="11"/>
      <c r="E47" s="11"/>
      <c r="F47" s="11"/>
      <c r="G47" s="11"/>
      <c r="H47" s="11"/>
      <c r="I47" s="11"/>
    </row>
    <row r="48" spans="2:9" ht="14" x14ac:dyDescent="0.15">
      <c r="B48" s="83"/>
    </row>
    <row r="49" spans="2:10" ht="14" x14ac:dyDescent="0.15">
      <c r="B49" s="83"/>
    </row>
    <row r="50" spans="2:10" ht="14" x14ac:dyDescent="0.15">
      <c r="B50" s="83"/>
    </row>
    <row r="51" spans="2:10" ht="14" x14ac:dyDescent="0.15">
      <c r="B51" s="102"/>
      <c r="C51" s="83"/>
      <c r="D51" s="84"/>
      <c r="E51" s="83"/>
      <c r="F51" s="83"/>
      <c r="G51" s="103"/>
      <c r="H51" s="83"/>
      <c r="I51" s="85"/>
      <c r="J51" s="85"/>
    </row>
    <row r="52" spans="2:10" ht="14" x14ac:dyDescent="0.15">
      <c r="B52" s="83"/>
      <c r="C52" s="83"/>
      <c r="D52" s="84"/>
      <c r="E52" s="83"/>
      <c r="F52" s="83"/>
      <c r="G52" s="104"/>
      <c r="H52" s="83"/>
      <c r="I52" s="85"/>
      <c r="J52" s="85"/>
    </row>
    <row r="54" spans="2:10" ht="14" thickBot="1" x14ac:dyDescent="0.2"/>
    <row r="55" spans="2:10" s="90" customFormat="1" ht="21.75" customHeight="1" x14ac:dyDescent="0.2">
      <c r="B55" s="885" t="s">
        <v>874</v>
      </c>
      <c r="C55" s="886"/>
      <c r="D55" s="886"/>
      <c r="E55" s="886"/>
      <c r="F55" s="887"/>
      <c r="G55" s="89"/>
      <c r="H55" s="931" t="s">
        <v>20</v>
      </c>
      <c r="I55" s="932"/>
    </row>
    <row r="56" spans="2:10" s="90" customFormat="1" ht="21" customHeight="1" x14ac:dyDescent="0.2">
      <c r="B56" s="888" t="s">
        <v>875</v>
      </c>
      <c r="C56" s="889"/>
      <c r="D56" s="889"/>
      <c r="E56" s="889"/>
      <c r="F56" s="890"/>
      <c r="G56" s="91"/>
      <c r="H56" s="933"/>
      <c r="I56" s="934"/>
    </row>
    <row r="57" spans="2:10" s="90" customFormat="1" ht="15" customHeight="1" x14ac:dyDescent="0.2">
      <c r="B57" s="906" t="s">
        <v>876</v>
      </c>
      <c r="C57" s="907"/>
      <c r="D57" s="907"/>
      <c r="E57" s="907"/>
      <c r="F57" s="908"/>
      <c r="G57" s="91"/>
      <c r="H57" s="935" t="s">
        <v>877</v>
      </c>
      <c r="I57" s="939"/>
    </row>
    <row r="58" spans="2:10" s="90" customFormat="1" ht="15.75" customHeight="1" thickBot="1" x14ac:dyDescent="0.25">
      <c r="B58" s="909"/>
      <c r="C58" s="910"/>
      <c r="D58" s="910"/>
      <c r="E58" s="910"/>
      <c r="F58" s="911"/>
      <c r="G58" s="89"/>
      <c r="H58" s="935"/>
      <c r="I58" s="939"/>
    </row>
    <row r="59" spans="2:10" ht="15.75" customHeight="1" thickBot="1" x14ac:dyDescent="0.2">
      <c r="B59" s="15"/>
      <c r="C59" s="16"/>
      <c r="D59" s="1"/>
      <c r="E59" s="1"/>
      <c r="F59" s="1"/>
      <c r="G59" s="1"/>
      <c r="H59" s="935"/>
      <c r="I59" s="939"/>
    </row>
    <row r="60" spans="2:10" ht="15.75" customHeight="1" x14ac:dyDescent="0.15">
      <c r="B60" s="922" t="s">
        <v>836</v>
      </c>
      <c r="C60" s="923"/>
      <c r="D60" s="923"/>
      <c r="E60" s="923"/>
      <c r="F60" s="924"/>
      <c r="G60" s="1"/>
      <c r="H60" s="935"/>
      <c r="I60" s="939"/>
    </row>
    <row r="61" spans="2:10" ht="15" customHeight="1" x14ac:dyDescent="0.15">
      <c r="B61" s="925"/>
      <c r="C61" s="926"/>
      <c r="D61" s="926"/>
      <c r="E61" s="926"/>
      <c r="F61" s="927"/>
      <c r="H61" s="935"/>
      <c r="I61" s="939"/>
    </row>
    <row r="62" spans="2:10" ht="15" customHeight="1" x14ac:dyDescent="0.15">
      <c r="B62" s="925"/>
      <c r="C62" s="926"/>
      <c r="D62" s="926"/>
      <c r="E62" s="926"/>
      <c r="F62" s="927"/>
      <c r="G62" s="11"/>
      <c r="H62" s="935"/>
      <c r="I62" s="939"/>
    </row>
    <row r="63" spans="2:10" ht="13.5" customHeight="1" thickBot="1" x14ac:dyDescent="0.2">
      <c r="B63" s="928"/>
      <c r="C63" s="929"/>
      <c r="D63" s="929"/>
      <c r="E63" s="929"/>
      <c r="F63" s="930"/>
      <c r="H63" s="64" t="s">
        <v>45</v>
      </c>
      <c r="I63" s="17" t="s">
        <v>5</v>
      </c>
    </row>
    <row r="64" spans="2:10" x14ac:dyDescent="0.15">
      <c r="B64" s="18"/>
      <c r="C64" s="18"/>
      <c r="D64" s="1"/>
      <c r="E64" s="18"/>
      <c r="F64" s="18"/>
      <c r="G64" s="18"/>
      <c r="H64" s="18"/>
      <c r="I64" s="1"/>
    </row>
    <row r="65" spans="2:9" ht="14" thickBot="1" x14ac:dyDescent="0.2">
      <c r="B65" s="12" t="s">
        <v>21</v>
      </c>
      <c r="C65" s="12"/>
      <c r="D65" s="1"/>
      <c r="E65" s="1"/>
      <c r="F65" s="1"/>
      <c r="G65" s="1"/>
      <c r="H65" s="1"/>
      <c r="I65" s="1"/>
    </row>
    <row r="66" spans="2:9" x14ac:dyDescent="0.15">
      <c r="B66" s="903" t="s">
        <v>22</v>
      </c>
      <c r="C66" s="904"/>
      <c r="D66" s="905"/>
      <c r="E66" s="209" t="s">
        <v>23</v>
      </c>
      <c r="F66" s="19" t="s">
        <v>623</v>
      </c>
      <c r="G66" s="209" t="s">
        <v>24</v>
      </c>
      <c r="H66" s="208" t="s">
        <v>25</v>
      </c>
      <c r="I66" s="222"/>
    </row>
    <row r="67" spans="2:9" ht="15" customHeight="1" x14ac:dyDescent="0.15">
      <c r="B67" s="897" t="s">
        <v>56</v>
      </c>
      <c r="C67" s="898"/>
      <c r="D67" s="899"/>
      <c r="E67" s="5"/>
      <c r="F67" s="164"/>
      <c r="G67" s="20"/>
      <c r="H67" s="165">
        <f>I85*0.05</f>
        <v>780</v>
      </c>
      <c r="I67" s="191"/>
    </row>
    <row r="68" spans="2:9" ht="14" thickBot="1" x14ac:dyDescent="0.2">
      <c r="B68" s="900"/>
      <c r="C68" s="901"/>
      <c r="D68" s="902"/>
      <c r="E68" s="21"/>
      <c r="F68" s="22"/>
      <c r="G68" s="23"/>
      <c r="H68" s="223"/>
      <c r="I68" s="177"/>
    </row>
    <row r="69" spans="2:9" ht="14" thickBot="1" x14ac:dyDescent="0.2">
      <c r="B69" s="1"/>
      <c r="C69" s="1"/>
      <c r="D69" s="1"/>
      <c r="E69" s="1"/>
      <c r="F69" s="1"/>
      <c r="G69" s="1"/>
      <c r="H69" s="224" t="s">
        <v>26</v>
      </c>
      <c r="I69" s="163">
        <f>SUM(H67:H67)</f>
        <v>780</v>
      </c>
    </row>
    <row r="70" spans="2:9" ht="14" thickBot="1" x14ac:dyDescent="0.2">
      <c r="B70" s="12" t="s">
        <v>27</v>
      </c>
      <c r="C70" s="12"/>
      <c r="D70" s="1"/>
      <c r="E70" s="1"/>
      <c r="F70" s="1"/>
      <c r="G70" s="1"/>
      <c r="H70" s="225"/>
      <c r="I70" s="225"/>
    </row>
    <row r="71" spans="2:9" x14ac:dyDescent="0.15">
      <c r="B71" s="903" t="s">
        <v>22</v>
      </c>
      <c r="C71" s="904"/>
      <c r="D71" s="905"/>
      <c r="E71" s="209" t="s">
        <v>28</v>
      </c>
      <c r="F71" s="209" t="s">
        <v>29</v>
      </c>
      <c r="G71" s="209" t="s">
        <v>30</v>
      </c>
      <c r="H71" s="226" t="s">
        <v>25</v>
      </c>
      <c r="I71" s="222"/>
    </row>
    <row r="72" spans="2:9" x14ac:dyDescent="0.15">
      <c r="B72" s="4"/>
      <c r="C72" s="24"/>
      <c r="D72" s="6"/>
      <c r="E72" s="3"/>
      <c r="F72" s="164"/>
      <c r="G72" s="50"/>
      <c r="H72" s="165"/>
      <c r="I72" s="191"/>
    </row>
    <row r="73" spans="2:9" x14ac:dyDescent="0.15">
      <c r="B73" s="4"/>
      <c r="C73" s="24"/>
      <c r="D73" s="6"/>
      <c r="E73" s="5"/>
      <c r="F73" s="164"/>
      <c r="G73" s="182"/>
      <c r="H73" s="186"/>
      <c r="I73" s="191"/>
    </row>
    <row r="74" spans="2:9" ht="14" thickBot="1" x14ac:dyDescent="0.2">
      <c r="B74" s="25"/>
      <c r="C74" s="26"/>
      <c r="D74" s="27"/>
      <c r="E74" s="21"/>
      <c r="F74" s="22"/>
      <c r="G74" s="23"/>
      <c r="H74" s="223"/>
      <c r="I74" s="177"/>
    </row>
    <row r="75" spans="2:9" ht="14" thickBot="1" x14ac:dyDescent="0.2">
      <c r="B75" s="1"/>
      <c r="C75" s="1"/>
      <c r="D75" s="1"/>
      <c r="E75" s="1"/>
      <c r="F75" s="1"/>
      <c r="G75" s="1"/>
      <c r="H75" s="224" t="s">
        <v>26</v>
      </c>
      <c r="I75" s="163">
        <f>SUM(H72:H74)</f>
        <v>0</v>
      </c>
    </row>
    <row r="76" spans="2:9" ht="14" thickBot="1" x14ac:dyDescent="0.2">
      <c r="B76" s="28" t="s">
        <v>31</v>
      </c>
      <c r="C76" s="28"/>
      <c r="D76" s="26"/>
      <c r="E76" s="1"/>
      <c r="F76" s="1"/>
      <c r="G76" s="1"/>
      <c r="H76" s="225"/>
      <c r="I76" s="225"/>
    </row>
    <row r="77" spans="2:9" x14ac:dyDescent="0.15">
      <c r="B77" s="51" t="s">
        <v>32</v>
      </c>
      <c r="C77" s="86"/>
      <c r="D77" s="97" t="s">
        <v>33</v>
      </c>
      <c r="E77" s="209" t="s">
        <v>34</v>
      </c>
      <c r="F77" s="209" t="s">
        <v>35</v>
      </c>
      <c r="G77" s="209" t="s">
        <v>36</v>
      </c>
      <c r="H77" s="227" t="s">
        <v>25</v>
      </c>
      <c r="I77" s="222"/>
    </row>
    <row r="78" spans="2:9" x14ac:dyDescent="0.15">
      <c r="B78" s="4"/>
      <c r="C78" s="6"/>
      <c r="D78" s="53"/>
      <c r="E78" s="2"/>
      <c r="F78" s="2"/>
      <c r="G78" s="162"/>
      <c r="H78" s="20"/>
      <c r="I78" s="191"/>
    </row>
    <row r="79" spans="2:9" ht="14" thickBot="1" x14ac:dyDescent="0.2">
      <c r="B79" s="33"/>
      <c r="C79" s="34"/>
      <c r="D79" s="98"/>
      <c r="E79" s="21"/>
      <c r="F79" s="99"/>
      <c r="G79" s="23"/>
      <c r="H79" s="167"/>
      <c r="I79" s="177"/>
    </row>
    <row r="80" spans="2:9" ht="14" thickBot="1" x14ac:dyDescent="0.2">
      <c r="B80" s="1"/>
      <c r="C80" s="1"/>
      <c r="D80" s="1"/>
      <c r="E80" s="1"/>
      <c r="F80" s="1"/>
      <c r="G80" s="1"/>
      <c r="H80" s="224" t="s">
        <v>26</v>
      </c>
      <c r="I80" s="177">
        <f>SUM(H78:H78)</f>
        <v>0</v>
      </c>
    </row>
    <row r="81" spans="2:10" ht="14" thickBot="1" x14ac:dyDescent="0.2">
      <c r="B81" s="28" t="s">
        <v>37</v>
      </c>
      <c r="C81" s="28"/>
      <c r="D81" s="1"/>
      <c r="E81" s="1"/>
      <c r="F81" s="1"/>
      <c r="G81" s="1"/>
      <c r="H81" s="225"/>
      <c r="I81" s="225"/>
    </row>
    <row r="82" spans="2:10" x14ac:dyDescent="0.15">
      <c r="B82" s="29" t="s">
        <v>38</v>
      </c>
      <c r="C82" s="30"/>
      <c r="D82" s="31" t="s">
        <v>39</v>
      </c>
      <c r="E82" s="209" t="s">
        <v>40</v>
      </c>
      <c r="F82" s="19" t="s">
        <v>41</v>
      </c>
      <c r="G82" s="31" t="s">
        <v>24</v>
      </c>
      <c r="H82" s="226" t="s">
        <v>25</v>
      </c>
      <c r="I82" s="222"/>
    </row>
    <row r="83" spans="2:10" x14ac:dyDescent="0.15">
      <c r="B83" s="4" t="s">
        <v>94</v>
      </c>
      <c r="C83" s="24"/>
      <c r="D83" s="32">
        <f>'MANO DE OBRA'!E14*6</f>
        <v>312000</v>
      </c>
      <c r="E83" s="168">
        <v>1.75</v>
      </c>
      <c r="F83" s="20">
        <f>+E83*D83</f>
        <v>546000</v>
      </c>
      <c r="G83" s="20">
        <v>35</v>
      </c>
      <c r="H83" s="169">
        <f>+F83/G83</f>
        <v>15600</v>
      </c>
      <c r="I83" s="191"/>
    </row>
    <row r="84" spans="2:10" ht="14" thickBot="1" x14ac:dyDescent="0.2">
      <c r="B84" s="33"/>
      <c r="C84" s="34"/>
      <c r="D84" s="22"/>
      <c r="E84" s="27"/>
      <c r="F84" s="27"/>
      <c r="G84" s="27"/>
      <c r="H84" s="228"/>
      <c r="I84" s="177"/>
    </row>
    <row r="85" spans="2:10" ht="14" thickBot="1" x14ac:dyDescent="0.2">
      <c r="B85" s="1"/>
      <c r="C85" s="1"/>
      <c r="D85" s="1"/>
      <c r="E85" s="1"/>
      <c r="F85" s="1"/>
      <c r="G85" s="1"/>
      <c r="H85" s="224" t="s">
        <v>26</v>
      </c>
      <c r="I85" s="163">
        <f>SUM(H83:H84)</f>
        <v>15600</v>
      </c>
    </row>
    <row r="86" spans="2:10" ht="14" thickBot="1" x14ac:dyDescent="0.2">
      <c r="B86" s="1"/>
      <c r="C86" s="1"/>
      <c r="D86" s="1"/>
      <c r="E86" s="1"/>
      <c r="F86" s="1"/>
      <c r="G86" s="1"/>
      <c r="H86" s="229"/>
      <c r="I86" s="172"/>
    </row>
    <row r="87" spans="2:10" ht="15" thickBot="1" x14ac:dyDescent="0.2">
      <c r="B87" s="1"/>
      <c r="C87" s="1"/>
      <c r="D87" s="1"/>
      <c r="E87" s="1"/>
      <c r="F87" s="35" t="s">
        <v>43</v>
      </c>
      <c r="G87" s="36"/>
      <c r="H87" s="187"/>
      <c r="I87" s="232">
        <f>ROUND((I69+I75+I80+I85),0)</f>
        <v>16380</v>
      </c>
    </row>
    <row r="88" spans="2:10" x14ac:dyDescent="0.15">
      <c r="B88" s="12"/>
      <c r="C88" s="12"/>
      <c r="D88" s="1"/>
      <c r="E88" s="1"/>
      <c r="F88" s="1"/>
      <c r="G88" s="1"/>
      <c r="H88" s="172"/>
      <c r="I88" s="172"/>
    </row>
    <row r="89" spans="2:10" x14ac:dyDescent="0.15">
      <c r="B89" s="16"/>
      <c r="C89" s="16"/>
      <c r="D89" s="16"/>
      <c r="E89" s="16"/>
      <c r="F89" s="16"/>
      <c r="G89" s="61"/>
      <c r="H89" s="173"/>
      <c r="I89" s="172"/>
    </row>
    <row r="90" spans="2:10" x14ac:dyDescent="0.15">
      <c r="B90" s="1"/>
      <c r="C90" s="1"/>
      <c r="D90" s="1"/>
      <c r="E90" s="1"/>
      <c r="F90" s="1"/>
      <c r="G90" s="161"/>
      <c r="H90" s="172"/>
      <c r="I90" s="172"/>
    </row>
    <row r="91" spans="2:10" x14ac:dyDescent="0.15">
      <c r="B91" s="1"/>
      <c r="C91" s="1"/>
      <c r="D91" s="1"/>
      <c r="E91" s="1"/>
      <c r="F91" s="1"/>
      <c r="G91" s="161"/>
      <c r="H91" s="172"/>
      <c r="I91" s="172"/>
    </row>
    <row r="92" spans="2:10" x14ac:dyDescent="0.15">
      <c r="B92" s="1"/>
      <c r="C92" s="1"/>
      <c r="D92" s="1"/>
      <c r="E92" s="1"/>
      <c r="F92" s="1"/>
      <c r="G92" s="161"/>
      <c r="H92" s="172"/>
      <c r="I92" s="172"/>
    </row>
    <row r="93" spans="2:10" x14ac:dyDescent="0.15">
      <c r="B93" s="1"/>
      <c r="C93" s="1"/>
      <c r="D93" s="1"/>
      <c r="E93" s="1"/>
      <c r="F93" s="1"/>
      <c r="G93" s="1"/>
      <c r="H93" s="37"/>
      <c r="I93" s="172"/>
    </row>
    <row r="94" spans="2:10" ht="14" x14ac:dyDescent="0.15">
      <c r="B94" s="102"/>
      <c r="C94" s="1"/>
      <c r="D94" s="1"/>
      <c r="E94" s="1"/>
      <c r="F94" s="1"/>
      <c r="G94" s="1"/>
      <c r="H94" s="1"/>
      <c r="I94" s="172"/>
    </row>
    <row r="95" spans="2:10" ht="14" x14ac:dyDescent="0.15">
      <c r="B95" s="83"/>
      <c r="C95" s="11"/>
      <c r="D95" s="1"/>
      <c r="E95" s="916"/>
      <c r="F95" s="916"/>
      <c r="G95" s="916"/>
      <c r="H95" s="916"/>
      <c r="I95" s="171"/>
    </row>
    <row r="96" spans="2:10" ht="14" x14ac:dyDescent="0.15">
      <c r="B96" s="102"/>
      <c r="C96" s="83"/>
      <c r="D96" s="84"/>
      <c r="E96" s="83"/>
      <c r="F96" s="83"/>
      <c r="G96" s="102"/>
      <c r="H96" s="83"/>
      <c r="I96" s="85"/>
      <c r="J96" s="85"/>
    </row>
    <row r="97" spans="2:10" ht="14" x14ac:dyDescent="0.15">
      <c r="B97" s="83"/>
      <c r="C97" s="83"/>
      <c r="D97" s="84"/>
      <c r="E97" s="83"/>
      <c r="F97" s="83"/>
      <c r="G97" s="119"/>
      <c r="H97" s="83"/>
      <c r="I97" s="85"/>
      <c r="J97" s="85"/>
    </row>
    <row r="98" spans="2:10" x14ac:dyDescent="0.15">
      <c r="B98" s="11"/>
      <c r="C98" s="11"/>
      <c r="D98" s="11"/>
      <c r="E98" s="11"/>
      <c r="F98" s="11"/>
      <c r="G98" s="11"/>
      <c r="H98" s="11"/>
      <c r="I98" s="11"/>
    </row>
    <row r="99" spans="2:10" x14ac:dyDescent="0.15">
      <c r="B99" s="11"/>
      <c r="C99" s="11"/>
      <c r="D99" s="11"/>
      <c r="E99" s="11"/>
      <c r="F99" s="11"/>
      <c r="G99" s="11"/>
      <c r="H99" s="11"/>
      <c r="I99" s="11"/>
    </row>
    <row r="105" spans="2:10" ht="14" x14ac:dyDescent="0.15">
      <c r="B105" s="102"/>
      <c r="C105" s="83"/>
      <c r="D105" s="84"/>
      <c r="E105" s="83"/>
      <c r="F105" s="83"/>
      <c r="G105" s="103"/>
      <c r="H105" s="83"/>
      <c r="I105" s="85"/>
      <c r="J105" s="85"/>
    </row>
    <row r="106" spans="2:10" ht="14" x14ac:dyDescent="0.15">
      <c r="B106" s="102"/>
      <c r="C106" s="83"/>
      <c r="D106" s="84"/>
      <c r="E106" s="83"/>
      <c r="F106" s="83"/>
      <c r="G106" s="103"/>
      <c r="H106" s="83"/>
      <c r="I106" s="85"/>
      <c r="J106" s="85"/>
    </row>
    <row r="107" spans="2:10" ht="14" x14ac:dyDescent="0.15">
      <c r="B107" s="83"/>
      <c r="C107" s="83"/>
      <c r="D107" s="84"/>
      <c r="E107" s="83"/>
      <c r="F107" s="83"/>
      <c r="G107" s="104"/>
      <c r="H107" s="83"/>
      <c r="I107" s="85"/>
      <c r="J107" s="85"/>
    </row>
    <row r="108" spans="2:10" ht="14" x14ac:dyDescent="0.15">
      <c r="B108" s="83"/>
      <c r="C108" s="83"/>
      <c r="D108" s="84"/>
      <c r="E108" s="83"/>
      <c r="F108" s="83"/>
      <c r="G108" s="104"/>
      <c r="H108" s="83"/>
      <c r="I108" s="85"/>
      <c r="J108" s="85"/>
    </row>
    <row r="109" spans="2:10" ht="15" thickBot="1" x14ac:dyDescent="0.2">
      <c r="B109" s="83"/>
    </row>
    <row r="110" spans="2:10" s="90" customFormat="1" ht="21.75" customHeight="1" x14ac:dyDescent="0.2">
      <c r="B110" s="885" t="s">
        <v>874</v>
      </c>
      <c r="C110" s="886"/>
      <c r="D110" s="886"/>
      <c r="E110" s="886"/>
      <c r="F110" s="887"/>
      <c r="G110" s="89"/>
      <c r="H110" s="931" t="s">
        <v>20</v>
      </c>
      <c r="I110" s="932"/>
    </row>
    <row r="111" spans="2:10" s="90" customFormat="1" ht="21" customHeight="1" x14ac:dyDescent="0.2">
      <c r="B111" s="888" t="s">
        <v>875</v>
      </c>
      <c r="C111" s="889"/>
      <c r="D111" s="889"/>
      <c r="E111" s="889"/>
      <c r="F111" s="890"/>
      <c r="G111" s="91"/>
      <c r="H111" s="933"/>
      <c r="I111" s="934"/>
    </row>
    <row r="112" spans="2:10" s="90" customFormat="1" ht="15" customHeight="1" x14ac:dyDescent="0.2">
      <c r="B112" s="906" t="s">
        <v>876</v>
      </c>
      <c r="C112" s="907"/>
      <c r="D112" s="907"/>
      <c r="E112" s="907"/>
      <c r="F112" s="908"/>
      <c r="G112" s="91"/>
      <c r="H112" s="935" t="s">
        <v>879</v>
      </c>
      <c r="I112" s="939"/>
    </row>
    <row r="113" spans="2:9" s="90" customFormat="1" ht="15.75" customHeight="1" thickBot="1" x14ac:dyDescent="0.25">
      <c r="B113" s="909"/>
      <c r="C113" s="910"/>
      <c r="D113" s="910"/>
      <c r="E113" s="910"/>
      <c r="F113" s="911"/>
      <c r="G113" s="89"/>
      <c r="H113" s="935"/>
      <c r="I113" s="939"/>
    </row>
    <row r="114" spans="2:9" ht="15.75" customHeight="1" thickBot="1" x14ac:dyDescent="0.2">
      <c r="B114" s="15"/>
      <c r="C114" s="16"/>
      <c r="D114" s="1"/>
      <c r="E114" s="1"/>
      <c r="F114" s="1"/>
      <c r="G114" s="1"/>
      <c r="H114" s="935"/>
      <c r="I114" s="939"/>
    </row>
    <row r="115" spans="2:9" ht="15.75" customHeight="1" x14ac:dyDescent="0.15">
      <c r="B115" s="922" t="s">
        <v>836</v>
      </c>
      <c r="C115" s="923"/>
      <c r="D115" s="923"/>
      <c r="E115" s="923"/>
      <c r="F115" s="924"/>
      <c r="G115" s="1"/>
      <c r="H115" s="935"/>
      <c r="I115" s="939"/>
    </row>
    <row r="116" spans="2:9" ht="15" customHeight="1" x14ac:dyDescent="0.15">
      <c r="B116" s="925"/>
      <c r="C116" s="926"/>
      <c r="D116" s="926"/>
      <c r="E116" s="926"/>
      <c r="F116" s="927"/>
      <c r="H116" s="935"/>
      <c r="I116" s="939"/>
    </row>
    <row r="117" spans="2:9" ht="15" customHeight="1" x14ac:dyDescent="0.15">
      <c r="B117" s="925"/>
      <c r="C117" s="926"/>
      <c r="D117" s="926"/>
      <c r="E117" s="926"/>
      <c r="F117" s="927"/>
      <c r="G117" s="11"/>
      <c r="H117" s="935"/>
      <c r="I117" s="939"/>
    </row>
    <row r="118" spans="2:9" ht="13.5" customHeight="1" thickBot="1" x14ac:dyDescent="0.2">
      <c r="B118" s="928"/>
      <c r="C118" s="929"/>
      <c r="D118" s="929"/>
      <c r="E118" s="929"/>
      <c r="F118" s="930"/>
      <c r="H118" s="64" t="s">
        <v>45</v>
      </c>
      <c r="I118" s="17" t="s">
        <v>5</v>
      </c>
    </row>
    <row r="119" spans="2:9" x14ac:dyDescent="0.15">
      <c r="B119" s="18"/>
      <c r="C119" s="18"/>
      <c r="D119" s="1"/>
      <c r="E119" s="18"/>
      <c r="F119" s="18"/>
      <c r="G119" s="18"/>
      <c r="H119" s="18"/>
      <c r="I119" s="1"/>
    </row>
    <row r="120" spans="2:9" ht="14" thickBot="1" x14ac:dyDescent="0.2">
      <c r="B120" s="12" t="s">
        <v>21</v>
      </c>
      <c r="C120" s="12"/>
      <c r="D120" s="1"/>
      <c r="E120" s="1"/>
      <c r="F120" s="1"/>
      <c r="G120" s="1"/>
      <c r="H120" s="1"/>
      <c r="I120" s="1"/>
    </row>
    <row r="121" spans="2:9" x14ac:dyDescent="0.15">
      <c r="B121" s="903" t="s">
        <v>22</v>
      </c>
      <c r="C121" s="904"/>
      <c r="D121" s="905"/>
      <c r="E121" s="209" t="s">
        <v>23</v>
      </c>
      <c r="F121" s="19" t="s">
        <v>623</v>
      </c>
      <c r="G121" s="209" t="s">
        <v>24</v>
      </c>
      <c r="H121" s="208" t="s">
        <v>25</v>
      </c>
      <c r="I121" s="222"/>
    </row>
    <row r="122" spans="2:9" ht="15" customHeight="1" x14ac:dyDescent="0.15">
      <c r="B122" s="897" t="s">
        <v>56</v>
      </c>
      <c r="C122" s="898"/>
      <c r="D122" s="899"/>
      <c r="E122" s="5"/>
      <c r="F122" s="164"/>
      <c r="G122" s="20"/>
      <c r="H122" s="165">
        <f>I140*0.05</f>
        <v>606.66666666666674</v>
      </c>
      <c r="I122" s="191"/>
    </row>
    <row r="123" spans="2:9" ht="14" thickBot="1" x14ac:dyDescent="0.2">
      <c r="B123" s="900"/>
      <c r="C123" s="901"/>
      <c r="D123" s="902"/>
      <c r="E123" s="21"/>
      <c r="F123" s="22"/>
      <c r="G123" s="23"/>
      <c r="H123" s="223"/>
      <c r="I123" s="177"/>
    </row>
    <row r="124" spans="2:9" ht="14" thickBot="1" x14ac:dyDescent="0.2">
      <c r="B124" s="1"/>
      <c r="C124" s="1"/>
      <c r="D124" s="1"/>
      <c r="E124" s="1"/>
      <c r="F124" s="1"/>
      <c r="G124" s="1"/>
      <c r="H124" s="224" t="s">
        <v>26</v>
      </c>
      <c r="I124" s="163">
        <f>SUM(H122:H122)</f>
        <v>606.66666666666674</v>
      </c>
    </row>
    <row r="125" spans="2:9" ht="14" thickBot="1" x14ac:dyDescent="0.2">
      <c r="B125" s="12" t="s">
        <v>27</v>
      </c>
      <c r="C125" s="12"/>
      <c r="D125" s="1"/>
      <c r="E125" s="1"/>
      <c r="F125" s="1"/>
      <c r="G125" s="1"/>
      <c r="H125" s="225"/>
      <c r="I125" s="225"/>
    </row>
    <row r="126" spans="2:9" x14ac:dyDescent="0.15">
      <c r="B126" s="903" t="s">
        <v>22</v>
      </c>
      <c r="C126" s="904"/>
      <c r="D126" s="905"/>
      <c r="E126" s="209" t="s">
        <v>28</v>
      </c>
      <c r="F126" s="209" t="s">
        <v>29</v>
      </c>
      <c r="G126" s="209" t="s">
        <v>30</v>
      </c>
      <c r="H126" s="226" t="s">
        <v>25</v>
      </c>
      <c r="I126" s="222"/>
    </row>
    <row r="127" spans="2:9" x14ac:dyDescent="0.15">
      <c r="B127" s="4"/>
      <c r="C127" s="24"/>
      <c r="D127" s="6"/>
      <c r="E127" s="3"/>
      <c r="F127" s="164"/>
      <c r="G127" s="50"/>
      <c r="H127" s="165"/>
      <c r="I127" s="191"/>
    </row>
    <row r="128" spans="2:9" x14ac:dyDescent="0.15">
      <c r="B128" s="4"/>
      <c r="C128" s="24"/>
      <c r="D128" s="6"/>
      <c r="E128" s="5"/>
      <c r="F128" s="164"/>
      <c r="G128" s="182"/>
      <c r="H128" s="186"/>
      <c r="I128" s="191"/>
    </row>
    <row r="129" spans="2:9" ht="14" thickBot="1" x14ac:dyDescent="0.2">
      <c r="B129" s="25"/>
      <c r="C129" s="26"/>
      <c r="D129" s="27"/>
      <c r="E129" s="21"/>
      <c r="F129" s="22"/>
      <c r="G129" s="23"/>
      <c r="H129" s="223"/>
      <c r="I129" s="177"/>
    </row>
    <row r="130" spans="2:9" ht="14" thickBot="1" x14ac:dyDescent="0.2">
      <c r="B130" s="1"/>
      <c r="C130" s="1"/>
      <c r="D130" s="1"/>
      <c r="E130" s="1"/>
      <c r="F130" s="1"/>
      <c r="G130" s="1"/>
      <c r="H130" s="224" t="s">
        <v>26</v>
      </c>
      <c r="I130" s="163">
        <f>SUM(H127:H129)</f>
        <v>0</v>
      </c>
    </row>
    <row r="131" spans="2:9" ht="14" thickBot="1" x14ac:dyDescent="0.2">
      <c r="B131" s="28" t="s">
        <v>31</v>
      </c>
      <c r="C131" s="28"/>
      <c r="D131" s="26"/>
      <c r="E131" s="1"/>
      <c r="F131" s="1"/>
      <c r="G131" s="1"/>
      <c r="H131" s="225"/>
      <c r="I131" s="225"/>
    </row>
    <row r="132" spans="2:9" x14ac:dyDescent="0.15">
      <c r="B132" s="51" t="s">
        <v>32</v>
      </c>
      <c r="C132" s="86"/>
      <c r="D132" s="97" t="s">
        <v>33</v>
      </c>
      <c r="E132" s="209" t="s">
        <v>34</v>
      </c>
      <c r="F132" s="209" t="s">
        <v>35</v>
      </c>
      <c r="G132" s="209" t="s">
        <v>36</v>
      </c>
      <c r="H132" s="227" t="s">
        <v>25</v>
      </c>
      <c r="I132" s="222"/>
    </row>
    <row r="133" spans="2:9" x14ac:dyDescent="0.15">
      <c r="B133" s="4"/>
      <c r="C133" s="6"/>
      <c r="D133" s="53"/>
      <c r="E133" s="2"/>
      <c r="F133" s="2"/>
      <c r="G133" s="162"/>
      <c r="H133" s="20"/>
      <c r="I133" s="191"/>
    </row>
    <row r="134" spans="2:9" ht="14" thickBot="1" x14ac:dyDescent="0.2">
      <c r="B134" s="33"/>
      <c r="C134" s="34"/>
      <c r="D134" s="98"/>
      <c r="E134" s="21"/>
      <c r="F134" s="99"/>
      <c r="G134" s="23"/>
      <c r="H134" s="167"/>
      <c r="I134" s="177"/>
    </row>
    <row r="135" spans="2:9" ht="14" thickBot="1" x14ac:dyDescent="0.2">
      <c r="B135" s="1"/>
      <c r="C135" s="1"/>
      <c r="D135" s="1"/>
      <c r="E135" s="1"/>
      <c r="F135" s="1"/>
      <c r="G135" s="1"/>
      <c r="H135" s="224" t="s">
        <v>26</v>
      </c>
      <c r="I135" s="177">
        <f>SUM(H133:H133)</f>
        <v>0</v>
      </c>
    </row>
    <row r="136" spans="2:9" ht="14" thickBot="1" x14ac:dyDescent="0.2">
      <c r="B136" s="28" t="s">
        <v>37</v>
      </c>
      <c r="C136" s="28"/>
      <c r="D136" s="1"/>
      <c r="E136" s="1"/>
      <c r="F136" s="1"/>
      <c r="G136" s="1"/>
      <c r="H136" s="225"/>
      <c r="I136" s="225"/>
    </row>
    <row r="137" spans="2:9" x14ac:dyDescent="0.15">
      <c r="B137" s="29" t="s">
        <v>38</v>
      </c>
      <c r="C137" s="30"/>
      <c r="D137" s="31" t="s">
        <v>39</v>
      </c>
      <c r="E137" s="209" t="s">
        <v>40</v>
      </c>
      <c r="F137" s="19" t="s">
        <v>41</v>
      </c>
      <c r="G137" s="31" t="s">
        <v>24</v>
      </c>
      <c r="H137" s="226" t="s">
        <v>25</v>
      </c>
      <c r="I137" s="222"/>
    </row>
    <row r="138" spans="2:9" x14ac:dyDescent="0.15">
      <c r="B138" s="4" t="s">
        <v>94</v>
      </c>
      <c r="C138" s="24"/>
      <c r="D138" s="32">
        <f>'MANO DE OBRA'!E14*6</f>
        <v>312000</v>
      </c>
      <c r="E138" s="168">
        <v>1.75</v>
      </c>
      <c r="F138" s="20">
        <f>+E138*D138</f>
        <v>546000</v>
      </c>
      <c r="G138" s="20">
        <v>45</v>
      </c>
      <c r="H138" s="169">
        <f>+F138/G138</f>
        <v>12133.333333333334</v>
      </c>
      <c r="I138" s="191"/>
    </row>
    <row r="139" spans="2:9" ht="14" thickBot="1" x14ac:dyDescent="0.2">
      <c r="B139" s="33"/>
      <c r="C139" s="34"/>
      <c r="D139" s="22"/>
      <c r="E139" s="27"/>
      <c r="F139" s="27"/>
      <c r="G139" s="27"/>
      <c r="H139" s="228"/>
      <c r="I139" s="177"/>
    </row>
    <row r="140" spans="2:9" ht="14" thickBot="1" x14ac:dyDescent="0.2">
      <c r="B140" s="1"/>
      <c r="C140" s="1"/>
      <c r="D140" s="1"/>
      <c r="E140" s="1"/>
      <c r="F140" s="1"/>
      <c r="G140" s="1"/>
      <c r="H140" s="224" t="s">
        <v>26</v>
      </c>
      <c r="I140" s="163">
        <f>SUM(H138:H139)</f>
        <v>12133.333333333334</v>
      </c>
    </row>
    <row r="141" spans="2:9" ht="14" thickBot="1" x14ac:dyDescent="0.2">
      <c r="B141" s="1"/>
      <c r="C141" s="1"/>
      <c r="D141" s="1"/>
      <c r="E141" s="1"/>
      <c r="F141" s="1"/>
      <c r="G141" s="1"/>
      <c r="H141" s="229"/>
      <c r="I141" s="172"/>
    </row>
    <row r="142" spans="2:9" ht="15" thickBot="1" x14ac:dyDescent="0.2">
      <c r="B142" s="1"/>
      <c r="C142" s="1"/>
      <c r="D142" s="1"/>
      <c r="E142" s="1"/>
      <c r="F142" s="35" t="s">
        <v>43</v>
      </c>
      <c r="G142" s="36"/>
      <c r="H142" s="187"/>
      <c r="I142" s="232">
        <f>ROUND((I124+I130+I135+I140),0)</f>
        <v>12740</v>
      </c>
    </row>
    <row r="143" spans="2:9" x14ac:dyDescent="0.15">
      <c r="B143" s="12"/>
      <c r="C143" s="12"/>
      <c r="D143" s="1"/>
      <c r="E143" s="1"/>
      <c r="F143" s="1"/>
      <c r="G143" s="1"/>
      <c r="H143" s="172"/>
      <c r="I143" s="172"/>
    </row>
    <row r="144" spans="2:9" x14ac:dyDescent="0.15">
      <c r="B144" s="16"/>
      <c r="C144" s="16"/>
      <c r="D144" s="16"/>
      <c r="E144" s="16"/>
      <c r="F144" s="16"/>
      <c r="G144" s="61"/>
      <c r="H144" s="173"/>
      <c r="I144" s="172"/>
    </row>
    <row r="145" spans="2:10" x14ac:dyDescent="0.15">
      <c r="B145" s="1"/>
      <c r="C145" s="1"/>
      <c r="D145" s="1"/>
      <c r="E145" s="1"/>
      <c r="F145" s="1"/>
      <c r="G145" s="161"/>
      <c r="H145" s="172"/>
      <c r="I145" s="172"/>
    </row>
    <row r="146" spans="2:10" x14ac:dyDescent="0.15">
      <c r="B146" s="1"/>
      <c r="C146" s="1"/>
      <c r="D146" s="1"/>
      <c r="E146" s="1"/>
      <c r="F146" s="1"/>
      <c r="G146" s="161"/>
      <c r="H146" s="172"/>
      <c r="I146" s="172"/>
    </row>
    <row r="147" spans="2:10" x14ac:dyDescent="0.15">
      <c r="B147" s="1"/>
      <c r="C147" s="1"/>
      <c r="D147" s="1"/>
      <c r="E147" s="1"/>
      <c r="F147" s="1"/>
      <c r="G147" s="161"/>
      <c r="H147" s="172"/>
      <c r="I147" s="172"/>
    </row>
    <row r="148" spans="2:10" x14ac:dyDescent="0.15">
      <c r="B148" s="1"/>
      <c r="C148" s="1"/>
      <c r="D148" s="1"/>
      <c r="E148" s="1"/>
      <c r="F148" s="1"/>
      <c r="G148" s="1"/>
      <c r="H148" s="37"/>
      <c r="I148" s="172"/>
    </row>
    <row r="149" spans="2:10" ht="14" x14ac:dyDescent="0.15">
      <c r="B149" s="102"/>
      <c r="C149" s="1"/>
      <c r="D149" s="1"/>
      <c r="E149" s="1"/>
      <c r="F149" s="1"/>
      <c r="G149" s="1"/>
      <c r="H149" s="1"/>
      <c r="I149" s="172"/>
    </row>
    <row r="150" spans="2:10" ht="14" x14ac:dyDescent="0.15">
      <c r="B150" s="83"/>
      <c r="C150" s="11"/>
      <c r="D150" s="1"/>
      <c r="E150" s="916"/>
      <c r="F150" s="916"/>
      <c r="G150" s="916"/>
      <c r="H150" s="916"/>
      <c r="I150" s="171"/>
    </row>
    <row r="151" spans="2:10" ht="14" x14ac:dyDescent="0.15">
      <c r="B151" s="102"/>
      <c r="C151" s="83"/>
      <c r="D151" s="84"/>
      <c r="E151" s="83"/>
      <c r="F151" s="83"/>
      <c r="G151" s="102"/>
      <c r="H151" s="83"/>
      <c r="I151" s="85"/>
      <c r="J151" s="85"/>
    </row>
    <row r="152" spans="2:10" ht="14" x14ac:dyDescent="0.15">
      <c r="B152" s="83"/>
      <c r="C152" s="83"/>
      <c r="D152" s="84"/>
      <c r="E152" s="83"/>
      <c r="F152" s="83"/>
      <c r="G152" s="119"/>
      <c r="H152" s="83"/>
      <c r="I152" s="85"/>
      <c r="J152" s="85"/>
    </row>
    <row r="153" spans="2:10" x14ac:dyDescent="0.15">
      <c r="B153" s="11"/>
      <c r="C153" s="11"/>
      <c r="D153" s="11"/>
      <c r="E153" s="11"/>
      <c r="F153" s="11"/>
      <c r="G153" s="11"/>
      <c r="H153" s="11"/>
      <c r="I153" s="11"/>
    </row>
    <row r="154" spans="2:10" x14ac:dyDescent="0.15">
      <c r="B154" s="11"/>
      <c r="C154" s="11"/>
      <c r="D154" s="11"/>
      <c r="E154" s="11"/>
      <c r="F154" s="11"/>
      <c r="G154" s="11"/>
      <c r="H154" s="11"/>
      <c r="I154" s="11"/>
    </row>
    <row r="160" spans="2:10" ht="14" x14ac:dyDescent="0.15">
      <c r="B160" s="102"/>
      <c r="C160" s="83"/>
      <c r="D160" s="84"/>
      <c r="E160" s="83"/>
      <c r="F160" s="83"/>
      <c r="G160" s="103"/>
      <c r="H160" s="83"/>
      <c r="I160" s="85"/>
      <c r="J160" s="85"/>
    </row>
    <row r="161" spans="2:10" ht="14" x14ac:dyDescent="0.15">
      <c r="B161" s="102"/>
      <c r="C161" s="83"/>
      <c r="D161" s="84"/>
      <c r="E161" s="83"/>
      <c r="F161" s="83"/>
      <c r="G161" s="103"/>
      <c r="H161" s="83"/>
      <c r="I161" s="85"/>
      <c r="J161" s="85"/>
    </row>
    <row r="162" spans="2:10" ht="14" x14ac:dyDescent="0.15">
      <c r="B162" s="83"/>
      <c r="C162" s="83"/>
      <c r="D162" s="84"/>
      <c r="E162" s="83"/>
      <c r="F162" s="83"/>
      <c r="G162" s="104"/>
      <c r="H162" s="83"/>
      <c r="I162" s="85"/>
      <c r="J162" s="85"/>
    </row>
    <row r="163" spans="2:10" ht="14" x14ac:dyDescent="0.15">
      <c r="B163" s="83"/>
      <c r="C163" s="83"/>
      <c r="D163" s="84"/>
      <c r="E163" s="83"/>
      <c r="F163" s="83"/>
      <c r="G163" s="104"/>
      <c r="H163" s="83"/>
      <c r="I163" s="85"/>
      <c r="J163" s="85"/>
    </row>
    <row r="164" spans="2:10" ht="15" thickBot="1" x14ac:dyDescent="0.2">
      <c r="B164" s="83"/>
    </row>
    <row r="165" spans="2:10" s="90" customFormat="1" ht="21.75" customHeight="1" x14ac:dyDescent="0.2">
      <c r="B165" s="885" t="s">
        <v>874</v>
      </c>
      <c r="C165" s="886"/>
      <c r="D165" s="886"/>
      <c r="E165" s="886"/>
      <c r="F165" s="887"/>
      <c r="G165" s="89"/>
      <c r="H165" s="931" t="s">
        <v>20</v>
      </c>
      <c r="I165" s="932"/>
    </row>
    <row r="166" spans="2:10" s="90" customFormat="1" ht="21" customHeight="1" x14ac:dyDescent="0.2">
      <c r="B166" s="888" t="s">
        <v>875</v>
      </c>
      <c r="C166" s="889"/>
      <c r="D166" s="889"/>
      <c r="E166" s="889"/>
      <c r="F166" s="890"/>
      <c r="G166" s="91"/>
      <c r="H166" s="933"/>
      <c r="I166" s="934"/>
    </row>
    <row r="167" spans="2:10" s="90" customFormat="1" ht="15" customHeight="1" x14ac:dyDescent="0.2">
      <c r="B167" s="906" t="s">
        <v>876</v>
      </c>
      <c r="C167" s="907"/>
      <c r="D167" s="907"/>
      <c r="E167" s="907"/>
      <c r="F167" s="908"/>
      <c r="G167" s="91"/>
      <c r="H167" s="935" t="s">
        <v>880</v>
      </c>
      <c r="I167" s="939"/>
    </row>
    <row r="168" spans="2:10" s="90" customFormat="1" ht="15.75" customHeight="1" thickBot="1" x14ac:dyDescent="0.25">
      <c r="B168" s="909"/>
      <c r="C168" s="910"/>
      <c r="D168" s="910"/>
      <c r="E168" s="910"/>
      <c r="F168" s="911"/>
      <c r="G168" s="89"/>
      <c r="H168" s="935"/>
      <c r="I168" s="939"/>
    </row>
    <row r="169" spans="2:10" ht="15.75" customHeight="1" thickBot="1" x14ac:dyDescent="0.2">
      <c r="B169" s="15"/>
      <c r="C169" s="16"/>
      <c r="D169" s="1"/>
      <c r="E169" s="1"/>
      <c r="F169" s="1"/>
      <c r="G169" s="1"/>
      <c r="H169" s="935"/>
      <c r="I169" s="939"/>
    </row>
    <row r="170" spans="2:10" ht="15.75" customHeight="1" x14ac:dyDescent="0.15">
      <c r="B170" s="922" t="s">
        <v>836</v>
      </c>
      <c r="C170" s="923"/>
      <c r="D170" s="923"/>
      <c r="E170" s="923"/>
      <c r="F170" s="924"/>
      <c r="G170" s="1"/>
      <c r="H170" s="935"/>
      <c r="I170" s="939"/>
    </row>
    <row r="171" spans="2:10" ht="15" customHeight="1" x14ac:dyDescent="0.15">
      <c r="B171" s="925"/>
      <c r="C171" s="926"/>
      <c r="D171" s="926"/>
      <c r="E171" s="926"/>
      <c r="F171" s="927"/>
      <c r="H171" s="935"/>
      <c r="I171" s="939"/>
    </row>
    <row r="172" spans="2:10" ht="15" customHeight="1" x14ac:dyDescent="0.15">
      <c r="B172" s="925"/>
      <c r="C172" s="926"/>
      <c r="D172" s="926"/>
      <c r="E172" s="926"/>
      <c r="F172" s="927"/>
      <c r="G172" s="11"/>
      <c r="H172" s="935"/>
      <c r="I172" s="939"/>
    </row>
    <row r="173" spans="2:10" ht="13.5" customHeight="1" thickBot="1" x14ac:dyDescent="0.2">
      <c r="B173" s="928"/>
      <c r="C173" s="929"/>
      <c r="D173" s="929"/>
      <c r="E173" s="929"/>
      <c r="F173" s="930"/>
      <c r="H173" s="64" t="s">
        <v>45</v>
      </c>
      <c r="I173" s="17" t="s">
        <v>7</v>
      </c>
    </row>
    <row r="174" spans="2:10" x14ac:dyDescent="0.15">
      <c r="B174" s="18"/>
      <c r="C174" s="18"/>
      <c r="D174" s="1"/>
      <c r="E174" s="18"/>
      <c r="F174" s="18"/>
      <c r="G174" s="18"/>
      <c r="H174" s="18"/>
      <c r="I174" s="1"/>
    </row>
    <row r="175" spans="2:10" ht="14" thickBot="1" x14ac:dyDescent="0.2">
      <c r="B175" s="12" t="s">
        <v>21</v>
      </c>
      <c r="C175" s="12"/>
      <c r="D175" s="1"/>
      <c r="E175" s="1"/>
      <c r="F175" s="1"/>
      <c r="G175" s="1"/>
      <c r="H175" s="1"/>
      <c r="I175" s="1"/>
    </row>
    <row r="176" spans="2:10" x14ac:dyDescent="0.15">
      <c r="B176" s="903" t="s">
        <v>22</v>
      </c>
      <c r="C176" s="904"/>
      <c r="D176" s="905"/>
      <c r="E176" s="209" t="s">
        <v>23</v>
      </c>
      <c r="F176" s="19" t="s">
        <v>623</v>
      </c>
      <c r="G176" s="209" t="s">
        <v>24</v>
      </c>
      <c r="H176" s="208" t="s">
        <v>25</v>
      </c>
      <c r="I176" s="222"/>
    </row>
    <row r="177" spans="2:9" ht="15" customHeight="1" x14ac:dyDescent="0.15">
      <c r="B177" s="897" t="s">
        <v>56</v>
      </c>
      <c r="C177" s="898"/>
      <c r="D177" s="899"/>
      <c r="E177" s="5"/>
      <c r="F177" s="164"/>
      <c r="G177" s="20"/>
      <c r="H177" s="165">
        <f>I195*0.05</f>
        <v>546</v>
      </c>
      <c r="I177" s="191"/>
    </row>
    <row r="178" spans="2:9" ht="14" thickBot="1" x14ac:dyDescent="0.2">
      <c r="B178" s="900"/>
      <c r="C178" s="901"/>
      <c r="D178" s="902"/>
      <c r="E178" s="21"/>
      <c r="F178" s="22"/>
      <c r="G178" s="23"/>
      <c r="H178" s="223"/>
      <c r="I178" s="177"/>
    </row>
    <row r="179" spans="2:9" ht="14" thickBot="1" x14ac:dyDescent="0.2">
      <c r="B179" s="1"/>
      <c r="C179" s="1"/>
      <c r="D179" s="1"/>
      <c r="E179" s="1"/>
      <c r="F179" s="1"/>
      <c r="G179" s="1"/>
      <c r="H179" s="224" t="s">
        <v>26</v>
      </c>
      <c r="I179" s="163">
        <f>SUM(H177:H177)</f>
        <v>546</v>
      </c>
    </row>
    <row r="180" spans="2:9" ht="14" thickBot="1" x14ac:dyDescent="0.2">
      <c r="B180" s="12" t="s">
        <v>27</v>
      </c>
      <c r="C180" s="12"/>
      <c r="D180" s="1"/>
      <c r="E180" s="1"/>
      <c r="F180" s="1"/>
      <c r="G180" s="1"/>
      <c r="H180" s="225"/>
      <c r="I180" s="225"/>
    </row>
    <row r="181" spans="2:9" x14ac:dyDescent="0.15">
      <c r="B181" s="903" t="s">
        <v>22</v>
      </c>
      <c r="C181" s="904"/>
      <c r="D181" s="905"/>
      <c r="E181" s="209" t="s">
        <v>28</v>
      </c>
      <c r="F181" s="209" t="s">
        <v>29</v>
      </c>
      <c r="G181" s="209" t="s">
        <v>30</v>
      </c>
      <c r="H181" s="226" t="s">
        <v>25</v>
      </c>
      <c r="I181" s="222"/>
    </row>
    <row r="182" spans="2:9" x14ac:dyDescent="0.15">
      <c r="B182" s="4"/>
      <c r="C182" s="24"/>
      <c r="D182" s="6"/>
      <c r="E182" s="3"/>
      <c r="F182" s="164"/>
      <c r="G182" s="50"/>
      <c r="H182" s="165"/>
      <c r="I182" s="191"/>
    </row>
    <row r="183" spans="2:9" x14ac:dyDescent="0.15">
      <c r="B183" s="4"/>
      <c r="C183" s="24"/>
      <c r="D183" s="6"/>
      <c r="E183" s="5"/>
      <c r="F183" s="164"/>
      <c r="G183" s="182"/>
      <c r="H183" s="186"/>
      <c r="I183" s="191"/>
    </row>
    <row r="184" spans="2:9" ht="14" thickBot="1" x14ac:dyDescent="0.2">
      <c r="B184" s="25"/>
      <c r="C184" s="26"/>
      <c r="D184" s="27"/>
      <c r="E184" s="21"/>
      <c r="F184" s="22"/>
      <c r="G184" s="23"/>
      <c r="H184" s="223"/>
      <c r="I184" s="177"/>
    </row>
    <row r="185" spans="2:9" ht="14" thickBot="1" x14ac:dyDescent="0.2">
      <c r="B185" s="1"/>
      <c r="C185" s="1"/>
      <c r="D185" s="1"/>
      <c r="E185" s="1"/>
      <c r="F185" s="1"/>
      <c r="G185" s="1"/>
      <c r="H185" s="224" t="s">
        <v>26</v>
      </c>
      <c r="I185" s="163">
        <f>SUM(H182:H184)</f>
        <v>0</v>
      </c>
    </row>
    <row r="186" spans="2:9" ht="14" thickBot="1" x14ac:dyDescent="0.2">
      <c r="B186" s="28" t="s">
        <v>31</v>
      </c>
      <c r="C186" s="28"/>
      <c r="D186" s="26"/>
      <c r="E186" s="1"/>
      <c r="F186" s="1"/>
      <c r="G186" s="1"/>
      <c r="H186" s="225"/>
      <c r="I186" s="225"/>
    </row>
    <row r="187" spans="2:9" x14ac:dyDescent="0.15">
      <c r="B187" s="51" t="s">
        <v>32</v>
      </c>
      <c r="C187" s="86"/>
      <c r="D187" s="97" t="s">
        <v>33</v>
      </c>
      <c r="E187" s="209" t="s">
        <v>34</v>
      </c>
      <c r="F187" s="209" t="s">
        <v>35</v>
      </c>
      <c r="G187" s="209" t="s">
        <v>36</v>
      </c>
      <c r="H187" s="227" t="s">
        <v>25</v>
      </c>
      <c r="I187" s="222"/>
    </row>
    <row r="188" spans="2:9" x14ac:dyDescent="0.15">
      <c r="B188" s="4"/>
      <c r="C188" s="6"/>
      <c r="D188" s="53"/>
      <c r="E188" s="2"/>
      <c r="F188" s="2"/>
      <c r="G188" s="162"/>
      <c r="H188" s="20"/>
      <c r="I188" s="191"/>
    </row>
    <row r="189" spans="2:9" ht="14" thickBot="1" x14ac:dyDescent="0.2">
      <c r="B189" s="33"/>
      <c r="C189" s="34"/>
      <c r="D189" s="98"/>
      <c r="E189" s="21"/>
      <c r="F189" s="99"/>
      <c r="G189" s="23"/>
      <c r="H189" s="167"/>
      <c r="I189" s="177"/>
    </row>
    <row r="190" spans="2:9" ht="14" thickBot="1" x14ac:dyDescent="0.2">
      <c r="B190" s="1"/>
      <c r="C190" s="1"/>
      <c r="D190" s="1"/>
      <c r="E190" s="1"/>
      <c r="F190" s="1"/>
      <c r="G190" s="1"/>
      <c r="H190" s="224" t="s">
        <v>26</v>
      </c>
      <c r="I190" s="177">
        <f>SUM(H188:H188)</f>
        <v>0</v>
      </c>
    </row>
    <row r="191" spans="2:9" ht="14" thickBot="1" x14ac:dyDescent="0.2">
      <c r="B191" s="28" t="s">
        <v>37</v>
      </c>
      <c r="C191" s="28"/>
      <c r="D191" s="1"/>
      <c r="E191" s="1"/>
      <c r="F191" s="1"/>
      <c r="G191" s="1"/>
      <c r="H191" s="225"/>
      <c r="I191" s="225"/>
    </row>
    <row r="192" spans="2:9" x14ac:dyDescent="0.15">
      <c r="B192" s="29" t="s">
        <v>38</v>
      </c>
      <c r="C192" s="30"/>
      <c r="D192" s="31" t="s">
        <v>39</v>
      </c>
      <c r="E192" s="209" t="s">
        <v>40</v>
      </c>
      <c r="F192" s="19" t="s">
        <v>41</v>
      </c>
      <c r="G192" s="31" t="s">
        <v>24</v>
      </c>
      <c r="H192" s="226" t="s">
        <v>25</v>
      </c>
      <c r="I192" s="222"/>
    </row>
    <row r="193" spans="2:10" x14ac:dyDescent="0.15">
      <c r="B193" s="4" t="s">
        <v>94</v>
      </c>
      <c r="C193" s="24"/>
      <c r="D193" s="32">
        <f>'MANO DE OBRA'!E14*6</f>
        <v>312000</v>
      </c>
      <c r="E193" s="168">
        <v>1.75</v>
      </c>
      <c r="F193" s="20">
        <f>+E193*D193</f>
        <v>546000</v>
      </c>
      <c r="G193" s="20">
        <v>50</v>
      </c>
      <c r="H193" s="169">
        <f>+F193/G193</f>
        <v>10920</v>
      </c>
      <c r="I193" s="191"/>
    </row>
    <row r="194" spans="2:10" ht="14" thickBot="1" x14ac:dyDescent="0.2">
      <c r="B194" s="33"/>
      <c r="C194" s="34"/>
      <c r="D194" s="22"/>
      <c r="E194" s="27"/>
      <c r="F194" s="27"/>
      <c r="G194" s="27"/>
      <c r="H194" s="228"/>
      <c r="I194" s="177"/>
    </row>
    <row r="195" spans="2:10" ht="14" thickBot="1" x14ac:dyDescent="0.2">
      <c r="B195" s="1"/>
      <c r="C195" s="1"/>
      <c r="D195" s="1"/>
      <c r="E195" s="1"/>
      <c r="F195" s="1"/>
      <c r="G195" s="1"/>
      <c r="H195" s="224" t="s">
        <v>26</v>
      </c>
      <c r="I195" s="163">
        <f>SUM(H193:H194)</f>
        <v>10920</v>
      </c>
    </row>
    <row r="196" spans="2:10" ht="14" thickBot="1" x14ac:dyDescent="0.2">
      <c r="B196" s="1"/>
      <c r="C196" s="1"/>
      <c r="D196" s="1"/>
      <c r="E196" s="1"/>
      <c r="F196" s="1"/>
      <c r="G196" s="1"/>
      <c r="H196" s="229"/>
      <c r="I196" s="172"/>
    </row>
    <row r="197" spans="2:10" ht="15" thickBot="1" x14ac:dyDescent="0.2">
      <c r="B197" s="1"/>
      <c r="C197" s="1"/>
      <c r="D197" s="1"/>
      <c r="E197" s="1"/>
      <c r="F197" s="35" t="s">
        <v>43</v>
      </c>
      <c r="G197" s="36"/>
      <c r="H197" s="187"/>
      <c r="I197" s="232">
        <f>ROUND((I179+I185+I190+I195),0)</f>
        <v>11466</v>
      </c>
    </row>
    <row r="198" spans="2:10" x14ac:dyDescent="0.15">
      <c r="B198" s="12"/>
      <c r="C198" s="12"/>
      <c r="D198" s="1"/>
      <c r="E198" s="1"/>
      <c r="F198" s="1"/>
      <c r="G198" s="1"/>
      <c r="H198" s="172"/>
      <c r="I198" s="172"/>
    </row>
    <row r="199" spans="2:10" x14ac:dyDescent="0.15">
      <c r="B199" s="16"/>
      <c r="C199" s="16"/>
      <c r="D199" s="16"/>
      <c r="E199" s="16"/>
      <c r="F199" s="16"/>
      <c r="G199" s="61"/>
      <c r="H199" s="173"/>
      <c r="I199" s="172"/>
    </row>
    <row r="200" spans="2:10" x14ac:dyDescent="0.15">
      <c r="B200" s="1"/>
      <c r="C200" s="1"/>
      <c r="D200" s="1"/>
      <c r="E200" s="1"/>
      <c r="F200" s="1"/>
      <c r="G200" s="161"/>
      <c r="H200" s="172"/>
      <c r="I200" s="172"/>
    </row>
    <row r="201" spans="2:10" x14ac:dyDescent="0.15">
      <c r="B201" s="1"/>
      <c r="C201" s="1"/>
      <c r="D201" s="1"/>
      <c r="E201" s="1"/>
      <c r="F201" s="1"/>
      <c r="G201" s="161"/>
      <c r="H201" s="172"/>
      <c r="I201" s="172"/>
    </row>
    <row r="202" spans="2:10" x14ac:dyDescent="0.15">
      <c r="B202" s="1"/>
      <c r="C202" s="1"/>
      <c r="D202" s="1"/>
      <c r="E202" s="1"/>
      <c r="F202" s="1"/>
      <c r="G202" s="161"/>
      <c r="H202" s="172"/>
      <c r="I202" s="172"/>
    </row>
    <row r="203" spans="2:10" x14ac:dyDescent="0.15">
      <c r="B203" s="1"/>
      <c r="C203" s="1"/>
      <c r="D203" s="1"/>
      <c r="E203" s="1"/>
      <c r="F203" s="1"/>
      <c r="G203" s="1"/>
      <c r="H203" s="37"/>
      <c r="I203" s="172"/>
    </row>
    <row r="204" spans="2:10" ht="14" x14ac:dyDescent="0.15">
      <c r="B204" s="102"/>
      <c r="C204" s="1"/>
      <c r="D204" s="1"/>
      <c r="E204" s="1"/>
      <c r="F204" s="1"/>
      <c r="G204" s="1"/>
      <c r="H204" s="1"/>
      <c r="I204" s="172"/>
    </row>
    <row r="205" spans="2:10" ht="14" x14ac:dyDescent="0.15">
      <c r="B205" s="83"/>
      <c r="C205" s="11"/>
      <c r="D205" s="1"/>
      <c r="E205" s="916"/>
      <c r="F205" s="916"/>
      <c r="G205" s="916"/>
      <c r="H205" s="916"/>
      <c r="I205" s="171"/>
    </row>
    <row r="206" spans="2:10" ht="14" x14ac:dyDescent="0.15">
      <c r="B206" s="102"/>
      <c r="C206" s="83"/>
      <c r="D206" s="84"/>
      <c r="E206" s="83"/>
      <c r="F206" s="83"/>
      <c r="G206" s="102"/>
      <c r="H206" s="83"/>
      <c r="I206" s="85"/>
      <c r="J206" s="85"/>
    </row>
    <row r="207" spans="2:10" ht="14" x14ac:dyDescent="0.15">
      <c r="B207" s="83"/>
      <c r="C207" s="83"/>
      <c r="D207" s="84"/>
      <c r="E207" s="83"/>
      <c r="F207" s="83"/>
      <c r="G207" s="119"/>
      <c r="H207" s="83"/>
      <c r="I207" s="85"/>
      <c r="J207" s="85"/>
    </row>
    <row r="208" spans="2:10" x14ac:dyDescent="0.15">
      <c r="B208" s="11"/>
      <c r="C208" s="11"/>
      <c r="D208" s="11"/>
      <c r="E208" s="11"/>
      <c r="F208" s="11"/>
      <c r="G208" s="11"/>
      <c r="H208" s="11"/>
      <c r="I208" s="11"/>
    </row>
    <row r="209" spans="2:10" x14ac:dyDescent="0.15">
      <c r="B209" s="11"/>
      <c r="C209" s="11"/>
      <c r="D209" s="11"/>
      <c r="E209" s="11"/>
      <c r="F209" s="11"/>
      <c r="G209" s="11"/>
      <c r="H209" s="11"/>
      <c r="I209" s="11"/>
    </row>
    <row r="215" spans="2:10" ht="14" x14ac:dyDescent="0.15">
      <c r="B215" s="102"/>
      <c r="C215" s="83"/>
      <c r="D215" s="84"/>
      <c r="E215" s="83"/>
      <c r="F215" s="83"/>
      <c r="G215" s="103"/>
      <c r="H215" s="83"/>
      <c r="I215" s="85"/>
      <c r="J215" s="85"/>
    </row>
    <row r="216" spans="2:10" ht="14" x14ac:dyDescent="0.15">
      <c r="B216" s="102"/>
      <c r="C216" s="83"/>
      <c r="D216" s="84"/>
      <c r="E216" s="83"/>
      <c r="F216" s="83"/>
      <c r="G216" s="103"/>
      <c r="H216" s="83"/>
      <c r="I216" s="85"/>
      <c r="J216" s="85"/>
    </row>
    <row r="217" spans="2:10" ht="14" x14ac:dyDescent="0.15">
      <c r="B217" s="83"/>
      <c r="C217" s="83"/>
      <c r="D217" s="84"/>
      <c r="E217" s="83"/>
      <c r="F217" s="83"/>
      <c r="G217" s="104"/>
      <c r="H217" s="83"/>
      <c r="I217" s="85"/>
      <c r="J217" s="85"/>
    </row>
    <row r="218" spans="2:10" ht="14" x14ac:dyDescent="0.15">
      <c r="B218" s="83"/>
      <c r="C218" s="83"/>
      <c r="D218" s="84"/>
      <c r="E218" s="83"/>
      <c r="F218" s="83"/>
      <c r="G218" s="104"/>
      <c r="H218" s="83"/>
      <c r="I218" s="85"/>
      <c r="J218" s="85"/>
    </row>
    <row r="219" spans="2:10" ht="15" thickBot="1" x14ac:dyDescent="0.2">
      <c r="B219" s="83"/>
    </row>
    <row r="220" spans="2:10" s="90" customFormat="1" ht="21.75" customHeight="1" x14ac:dyDescent="0.2">
      <c r="B220" s="885" t="s">
        <v>874</v>
      </c>
      <c r="C220" s="886"/>
      <c r="D220" s="886"/>
      <c r="E220" s="886"/>
      <c r="F220" s="887"/>
      <c r="G220" s="89"/>
      <c r="H220" s="931" t="s">
        <v>20</v>
      </c>
      <c r="I220" s="932"/>
    </row>
    <row r="221" spans="2:10" s="90" customFormat="1" ht="21" customHeight="1" x14ac:dyDescent="0.2">
      <c r="B221" s="888" t="s">
        <v>875</v>
      </c>
      <c r="C221" s="889"/>
      <c r="D221" s="889"/>
      <c r="E221" s="889"/>
      <c r="F221" s="890"/>
      <c r="G221" s="91"/>
      <c r="H221" s="933"/>
      <c r="I221" s="934"/>
    </row>
    <row r="222" spans="2:10" s="90" customFormat="1" ht="15" customHeight="1" x14ac:dyDescent="0.2">
      <c r="B222" s="906" t="s">
        <v>876</v>
      </c>
      <c r="C222" s="907"/>
      <c r="D222" s="907"/>
      <c r="E222" s="907"/>
      <c r="F222" s="908"/>
      <c r="G222" s="91"/>
      <c r="H222" s="935" t="s">
        <v>881</v>
      </c>
      <c r="I222" s="939"/>
    </row>
    <row r="223" spans="2:10" s="90" customFormat="1" ht="15.75" customHeight="1" thickBot="1" x14ac:dyDescent="0.25">
      <c r="B223" s="909"/>
      <c r="C223" s="910"/>
      <c r="D223" s="910"/>
      <c r="E223" s="910"/>
      <c r="F223" s="911"/>
      <c r="G223" s="89"/>
      <c r="H223" s="935"/>
      <c r="I223" s="939"/>
    </row>
    <row r="224" spans="2:10" ht="15.75" customHeight="1" thickBot="1" x14ac:dyDescent="0.2">
      <c r="B224" s="15"/>
      <c r="C224" s="16"/>
      <c r="D224" s="1"/>
      <c r="E224" s="1"/>
      <c r="F224" s="1"/>
      <c r="G224" s="1"/>
      <c r="H224" s="935"/>
      <c r="I224" s="939"/>
    </row>
    <row r="225" spans="2:9" ht="15.75" customHeight="1" x14ac:dyDescent="0.15">
      <c r="B225" s="922" t="s">
        <v>836</v>
      </c>
      <c r="C225" s="923"/>
      <c r="D225" s="923"/>
      <c r="E225" s="923"/>
      <c r="F225" s="924"/>
      <c r="G225" s="1"/>
      <c r="H225" s="935"/>
      <c r="I225" s="939"/>
    </row>
    <row r="226" spans="2:9" ht="15" customHeight="1" x14ac:dyDescent="0.15">
      <c r="B226" s="925"/>
      <c r="C226" s="926"/>
      <c r="D226" s="926"/>
      <c r="E226" s="926"/>
      <c r="F226" s="927"/>
      <c r="H226" s="935"/>
      <c r="I226" s="939"/>
    </row>
    <row r="227" spans="2:9" ht="15" customHeight="1" x14ac:dyDescent="0.15">
      <c r="B227" s="925"/>
      <c r="C227" s="926"/>
      <c r="D227" s="926"/>
      <c r="E227" s="926"/>
      <c r="F227" s="927"/>
      <c r="G227" s="11"/>
      <c r="H227" s="935"/>
      <c r="I227" s="939"/>
    </row>
    <row r="228" spans="2:9" ht="13.5" customHeight="1" thickBot="1" x14ac:dyDescent="0.2">
      <c r="B228" s="928"/>
      <c r="C228" s="929"/>
      <c r="D228" s="929"/>
      <c r="E228" s="929"/>
      <c r="F228" s="930"/>
      <c r="H228" s="64" t="s">
        <v>45</v>
      </c>
      <c r="I228" s="17" t="s">
        <v>19</v>
      </c>
    </row>
    <row r="229" spans="2:9" x14ac:dyDescent="0.15">
      <c r="B229" s="18"/>
      <c r="C229" s="18"/>
      <c r="D229" s="1"/>
      <c r="E229" s="18"/>
      <c r="F229" s="18"/>
      <c r="G229" s="18"/>
      <c r="H229" s="18"/>
      <c r="I229" s="1"/>
    </row>
    <row r="230" spans="2:9" ht="14" thickBot="1" x14ac:dyDescent="0.2">
      <c r="B230" s="12" t="s">
        <v>21</v>
      </c>
      <c r="C230" s="12"/>
      <c r="D230" s="1"/>
      <c r="E230" s="1"/>
      <c r="F230" s="1"/>
      <c r="G230" s="1"/>
      <c r="H230" s="1"/>
      <c r="I230" s="1"/>
    </row>
    <row r="231" spans="2:9" x14ac:dyDescent="0.15">
      <c r="B231" s="903" t="s">
        <v>22</v>
      </c>
      <c r="C231" s="904"/>
      <c r="D231" s="905"/>
      <c r="E231" s="209" t="s">
        <v>23</v>
      </c>
      <c r="F231" s="19" t="s">
        <v>623</v>
      </c>
      <c r="G231" s="209" t="s">
        <v>24</v>
      </c>
      <c r="H231" s="208" t="s">
        <v>25</v>
      </c>
      <c r="I231" s="222"/>
    </row>
    <row r="232" spans="2:9" ht="15" customHeight="1" x14ac:dyDescent="0.15">
      <c r="B232" s="897" t="s">
        <v>56</v>
      </c>
      <c r="C232" s="898"/>
      <c r="D232" s="899"/>
      <c r="E232" s="5"/>
      <c r="F232" s="164"/>
      <c r="G232" s="20"/>
      <c r="H232" s="165">
        <f>I251*0.05</f>
        <v>29322.183333333334</v>
      </c>
      <c r="I232" s="191"/>
    </row>
    <row r="233" spans="2:9" ht="14" thickBot="1" x14ac:dyDescent="0.2">
      <c r="B233" s="900"/>
      <c r="C233" s="901"/>
      <c r="D233" s="902"/>
      <c r="E233" s="21"/>
      <c r="F233" s="22"/>
      <c r="G233" s="23"/>
      <c r="H233" s="223"/>
      <c r="I233" s="177"/>
    </row>
    <row r="234" spans="2:9" ht="14" thickBot="1" x14ac:dyDescent="0.2">
      <c r="B234" s="1"/>
      <c r="C234" s="1"/>
      <c r="D234" s="1"/>
      <c r="E234" s="1"/>
      <c r="F234" s="1"/>
      <c r="G234" s="1"/>
      <c r="H234" s="224" t="s">
        <v>26</v>
      </c>
      <c r="I234" s="163">
        <f>SUM(H232:H232)</f>
        <v>29322.183333333334</v>
      </c>
    </row>
    <row r="235" spans="2:9" ht="14" thickBot="1" x14ac:dyDescent="0.2">
      <c r="B235" s="12" t="s">
        <v>27</v>
      </c>
      <c r="C235" s="12"/>
      <c r="D235" s="1"/>
      <c r="E235" s="1"/>
      <c r="F235" s="1"/>
      <c r="G235" s="1"/>
      <c r="H235" s="225"/>
      <c r="I235" s="225"/>
    </row>
    <row r="236" spans="2:9" x14ac:dyDescent="0.15">
      <c r="B236" s="903" t="s">
        <v>22</v>
      </c>
      <c r="C236" s="904"/>
      <c r="D236" s="905"/>
      <c r="E236" s="209" t="s">
        <v>28</v>
      </c>
      <c r="F236" s="209" t="s">
        <v>29</v>
      </c>
      <c r="G236" s="209" t="s">
        <v>30</v>
      </c>
      <c r="H236" s="226" t="s">
        <v>25</v>
      </c>
      <c r="I236" s="222"/>
    </row>
    <row r="237" spans="2:9" x14ac:dyDescent="0.15">
      <c r="B237" s="4"/>
      <c r="C237" s="24"/>
      <c r="D237" s="6"/>
      <c r="E237" s="3"/>
      <c r="F237" s="164"/>
      <c r="G237" s="50"/>
      <c r="H237" s="165"/>
      <c r="I237" s="191"/>
    </row>
    <row r="238" spans="2:9" x14ac:dyDescent="0.15">
      <c r="B238" s="4"/>
      <c r="C238" s="24"/>
      <c r="D238" s="6"/>
      <c r="E238" s="5"/>
      <c r="F238" s="164"/>
      <c r="G238" s="182"/>
      <c r="H238" s="186"/>
      <c r="I238" s="191"/>
    </row>
    <row r="239" spans="2:9" ht="14" thickBot="1" x14ac:dyDescent="0.2">
      <c r="B239" s="25"/>
      <c r="C239" s="26"/>
      <c r="D239" s="27"/>
      <c r="E239" s="21"/>
      <c r="F239" s="22"/>
      <c r="G239" s="23"/>
      <c r="H239" s="223"/>
      <c r="I239" s="177"/>
    </row>
    <row r="240" spans="2:9" ht="14" thickBot="1" x14ac:dyDescent="0.2">
      <c r="B240" s="1"/>
      <c r="C240" s="1"/>
      <c r="D240" s="1"/>
      <c r="E240" s="1"/>
      <c r="F240" s="1"/>
      <c r="G240" s="1"/>
      <c r="H240" s="224" t="s">
        <v>26</v>
      </c>
      <c r="I240" s="163">
        <f>SUM(H237:H239)</f>
        <v>0</v>
      </c>
    </row>
    <row r="241" spans="2:9" ht="14" thickBot="1" x14ac:dyDescent="0.2">
      <c r="B241" s="28" t="s">
        <v>31</v>
      </c>
      <c r="C241" s="28"/>
      <c r="D241" s="26"/>
      <c r="E241" s="1"/>
      <c r="F241" s="1"/>
      <c r="G241" s="1"/>
      <c r="H241" s="225"/>
      <c r="I241" s="225"/>
    </row>
    <row r="242" spans="2:9" x14ac:dyDescent="0.15">
      <c r="B242" s="51" t="s">
        <v>32</v>
      </c>
      <c r="C242" s="86"/>
      <c r="D242" s="97" t="s">
        <v>33</v>
      </c>
      <c r="E242" s="209" t="s">
        <v>34</v>
      </c>
      <c r="F242" s="209" t="s">
        <v>35</v>
      </c>
      <c r="G242" s="209" t="s">
        <v>36</v>
      </c>
      <c r="H242" s="227" t="s">
        <v>25</v>
      </c>
      <c r="I242" s="222"/>
    </row>
    <row r="243" spans="2:9" x14ac:dyDescent="0.15">
      <c r="B243" s="4"/>
      <c r="C243" s="6"/>
      <c r="D243" s="53"/>
      <c r="E243" s="2"/>
      <c r="F243" s="2"/>
      <c r="G243" s="162"/>
      <c r="H243" s="20"/>
      <c r="I243" s="191"/>
    </row>
    <row r="244" spans="2:9" ht="14" thickBot="1" x14ac:dyDescent="0.2">
      <c r="B244" s="33"/>
      <c r="C244" s="34"/>
      <c r="D244" s="98"/>
      <c r="E244" s="21"/>
      <c r="F244" s="99"/>
      <c r="G244" s="23"/>
      <c r="H244" s="167"/>
      <c r="I244" s="177"/>
    </row>
    <row r="245" spans="2:9" ht="14" thickBot="1" x14ac:dyDescent="0.2">
      <c r="B245" s="1"/>
      <c r="C245" s="1"/>
      <c r="D245" s="1"/>
      <c r="E245" s="1"/>
      <c r="F245" s="1"/>
      <c r="G245" s="1"/>
      <c r="H245" s="224" t="s">
        <v>26</v>
      </c>
      <c r="I245" s="177">
        <f>SUM(H243:H243)</f>
        <v>0</v>
      </c>
    </row>
    <row r="246" spans="2:9" ht="14" thickBot="1" x14ac:dyDescent="0.2">
      <c r="B246" s="28" t="s">
        <v>37</v>
      </c>
      <c r="C246" s="28"/>
      <c r="D246" s="1"/>
      <c r="E246" s="1"/>
      <c r="F246" s="1"/>
      <c r="G246" s="1"/>
      <c r="H246" s="225"/>
      <c r="I246" s="225"/>
    </row>
    <row r="247" spans="2:9" x14ac:dyDescent="0.15">
      <c r="B247" s="29" t="s">
        <v>38</v>
      </c>
      <c r="C247" s="30"/>
      <c r="D247" s="31" t="s">
        <v>39</v>
      </c>
      <c r="E247" s="209" t="s">
        <v>40</v>
      </c>
      <c r="F247" s="19" t="s">
        <v>41</v>
      </c>
      <c r="G247" s="31" t="s">
        <v>24</v>
      </c>
      <c r="H247" s="226" t="s">
        <v>25</v>
      </c>
      <c r="I247" s="222"/>
    </row>
    <row r="248" spans="2:9" x14ac:dyDescent="0.15">
      <c r="B248" s="4" t="s">
        <v>882</v>
      </c>
      <c r="C248" s="24"/>
      <c r="D248" s="32">
        <f>'MANO DE OBRA'!E16</f>
        <v>95333</v>
      </c>
      <c r="E248" s="168">
        <v>1.75</v>
      </c>
      <c r="F248" s="20">
        <f>+E248*D248</f>
        <v>166832.75</v>
      </c>
      <c r="G248" s="20">
        <v>0.75</v>
      </c>
      <c r="H248" s="169">
        <f>+F248/G248</f>
        <v>222443.66666666666</v>
      </c>
      <c r="I248" s="191"/>
    </row>
    <row r="249" spans="2:9" x14ac:dyDescent="0.15">
      <c r="B249" s="4" t="s">
        <v>64</v>
      </c>
      <c r="C249" s="24"/>
      <c r="D249" s="32">
        <f>'MANO DE OBRA'!E14*3</f>
        <v>156000</v>
      </c>
      <c r="E249" s="168">
        <v>1.75</v>
      </c>
      <c r="F249" s="20">
        <f>+E249*D249</f>
        <v>273000</v>
      </c>
      <c r="G249" s="20">
        <v>0.75</v>
      </c>
      <c r="H249" s="169">
        <f>+F249/G249</f>
        <v>364000</v>
      </c>
      <c r="I249" s="191"/>
    </row>
    <row r="250" spans="2:9" ht="14" thickBot="1" x14ac:dyDescent="0.2">
      <c r="B250" s="33"/>
      <c r="C250" s="34"/>
      <c r="D250" s="22"/>
      <c r="E250" s="27"/>
      <c r="F250" s="27"/>
      <c r="G250" s="27"/>
      <c r="H250" s="228"/>
      <c r="I250" s="177"/>
    </row>
    <row r="251" spans="2:9" ht="14" thickBot="1" x14ac:dyDescent="0.2">
      <c r="B251" s="1"/>
      <c r="C251" s="1"/>
      <c r="D251" s="1"/>
      <c r="E251" s="1"/>
      <c r="F251" s="1"/>
      <c r="G251" s="1"/>
      <c r="H251" s="224" t="s">
        <v>26</v>
      </c>
      <c r="I251" s="163">
        <f>SUM(H248:H250)</f>
        <v>586443.66666666663</v>
      </c>
    </row>
    <row r="252" spans="2:9" ht="14" thickBot="1" x14ac:dyDescent="0.2">
      <c r="B252" s="1"/>
      <c r="C252" s="1"/>
      <c r="D252" s="1"/>
      <c r="E252" s="1"/>
      <c r="F252" s="1"/>
      <c r="G252" s="1"/>
      <c r="H252" s="229"/>
      <c r="I252" s="172"/>
    </row>
    <row r="253" spans="2:9" ht="15" thickBot="1" x14ac:dyDescent="0.2">
      <c r="B253" s="1"/>
      <c r="C253" s="1"/>
      <c r="D253" s="1"/>
      <c r="E253" s="1"/>
      <c r="F253" s="35" t="s">
        <v>43</v>
      </c>
      <c r="G253" s="36"/>
      <c r="H253" s="187"/>
      <c r="I253" s="232">
        <f>ROUND((I234+I240+I245+I251),0)</f>
        <v>615766</v>
      </c>
    </row>
    <row r="254" spans="2:9" x14ac:dyDescent="0.15">
      <c r="B254" s="12"/>
      <c r="C254" s="12"/>
      <c r="D254" s="1"/>
      <c r="E254" s="1"/>
      <c r="F254" s="1"/>
      <c r="G254" s="1"/>
      <c r="H254" s="172"/>
      <c r="I254" s="172"/>
    </row>
    <row r="255" spans="2:9" x14ac:dyDescent="0.15">
      <c r="B255" s="16"/>
      <c r="C255" s="16"/>
      <c r="D255" s="16"/>
      <c r="E255" s="16"/>
      <c r="F255" s="16"/>
      <c r="G255" s="61"/>
      <c r="H255" s="173"/>
      <c r="I255" s="172"/>
    </row>
    <row r="256" spans="2:9" x14ac:dyDescent="0.15">
      <c r="B256" s="1"/>
      <c r="C256" s="1"/>
      <c r="D256" s="1"/>
      <c r="E256" s="1"/>
      <c r="F256" s="1"/>
      <c r="G256" s="161"/>
      <c r="H256" s="172"/>
      <c r="I256" s="172"/>
    </row>
    <row r="257" spans="2:10" x14ac:dyDescent="0.15">
      <c r="B257" s="1"/>
      <c r="C257" s="1"/>
      <c r="D257" s="1"/>
      <c r="E257" s="1"/>
      <c r="F257" s="1"/>
      <c r="G257" s="161"/>
      <c r="H257" s="172"/>
      <c r="I257" s="172"/>
    </row>
    <row r="258" spans="2:10" x14ac:dyDescent="0.15">
      <c r="B258" s="1"/>
      <c r="C258" s="1"/>
      <c r="D258" s="1"/>
      <c r="E258" s="1"/>
      <c r="F258" s="1"/>
      <c r="G258" s="161"/>
      <c r="H258" s="172"/>
      <c r="I258" s="172"/>
    </row>
    <row r="259" spans="2:10" ht="14" x14ac:dyDescent="0.15">
      <c r="B259" s="102"/>
      <c r="C259" s="1"/>
      <c r="D259" s="1"/>
      <c r="E259" s="1"/>
      <c r="F259" s="1"/>
      <c r="G259" s="1"/>
      <c r="H259" s="1"/>
      <c r="I259" s="172"/>
    </row>
    <row r="260" spans="2:10" ht="14" x14ac:dyDescent="0.15">
      <c r="B260" s="83"/>
      <c r="C260" s="11"/>
      <c r="D260" s="1"/>
      <c r="E260" s="916"/>
      <c r="F260" s="916"/>
      <c r="G260" s="916"/>
      <c r="H260" s="916"/>
      <c r="I260" s="171"/>
    </row>
    <row r="261" spans="2:10" ht="14" x14ac:dyDescent="0.15">
      <c r="B261" s="102"/>
      <c r="C261" s="83"/>
      <c r="D261" s="84"/>
      <c r="E261" s="83"/>
      <c r="F261" s="83"/>
      <c r="G261" s="102"/>
      <c r="H261" s="83"/>
      <c r="I261" s="85"/>
      <c r="J261" s="85"/>
    </row>
    <row r="262" spans="2:10" ht="14" x14ac:dyDescent="0.15">
      <c r="B262" s="83"/>
      <c r="C262" s="83"/>
      <c r="D262" s="84"/>
      <c r="E262" s="83"/>
      <c r="F262" s="83"/>
      <c r="G262" s="119"/>
      <c r="H262" s="83"/>
      <c r="I262" s="85"/>
      <c r="J262" s="85"/>
    </row>
    <row r="263" spans="2:10" x14ac:dyDescent="0.15">
      <c r="B263" s="11"/>
      <c r="C263" s="11"/>
      <c r="D263" s="11"/>
      <c r="E263" s="11"/>
      <c r="F263" s="11"/>
      <c r="G263" s="11"/>
      <c r="H263" s="11"/>
      <c r="I263" s="11"/>
    </row>
    <row r="264" spans="2:10" x14ac:dyDescent="0.15">
      <c r="B264" s="11"/>
      <c r="C264" s="11"/>
      <c r="D264" s="11"/>
      <c r="E264" s="11"/>
      <c r="F264" s="11"/>
      <c r="G264" s="11"/>
      <c r="H264" s="11"/>
      <c r="I264" s="11"/>
    </row>
    <row r="270" spans="2:10" ht="14" x14ac:dyDescent="0.15">
      <c r="B270" s="102"/>
      <c r="C270" s="83"/>
      <c r="D270" s="84"/>
      <c r="E270" s="83"/>
      <c r="F270" s="83"/>
      <c r="G270" s="103"/>
      <c r="H270" s="83"/>
      <c r="I270" s="85"/>
      <c r="J270" s="85"/>
    </row>
    <row r="271" spans="2:10" ht="14" x14ac:dyDescent="0.15">
      <c r="B271" s="102"/>
      <c r="C271" s="83"/>
      <c r="D271" s="84"/>
      <c r="E271" s="83"/>
      <c r="F271" s="83"/>
      <c r="G271" s="103"/>
      <c r="H271" s="83"/>
      <c r="I271" s="85"/>
      <c r="J271" s="85"/>
    </row>
    <row r="272" spans="2:10" ht="14" x14ac:dyDescent="0.15">
      <c r="B272" s="83"/>
      <c r="C272" s="83"/>
      <c r="D272" s="84"/>
      <c r="E272" s="83"/>
      <c r="F272" s="83"/>
      <c r="G272" s="104"/>
      <c r="H272" s="83"/>
      <c r="I272" s="85"/>
      <c r="J272" s="85"/>
    </row>
    <row r="273" spans="2:10" ht="14" x14ac:dyDescent="0.15">
      <c r="B273" s="83"/>
      <c r="C273" s="83"/>
      <c r="D273" s="84"/>
      <c r="E273" s="83"/>
      <c r="F273" s="83"/>
      <c r="G273" s="104"/>
      <c r="H273" s="83"/>
      <c r="I273" s="85"/>
      <c r="J273" s="85"/>
    </row>
    <row r="274" spans="2:10" ht="15" thickBot="1" x14ac:dyDescent="0.2">
      <c r="B274" s="83"/>
    </row>
    <row r="275" spans="2:10" s="90" customFormat="1" ht="21.75" customHeight="1" x14ac:dyDescent="0.2">
      <c r="B275" s="885" t="s">
        <v>874</v>
      </c>
      <c r="C275" s="886"/>
      <c r="D275" s="886"/>
      <c r="E275" s="886"/>
      <c r="F275" s="887"/>
      <c r="G275" s="89"/>
      <c r="H275" s="931" t="s">
        <v>20</v>
      </c>
      <c r="I275" s="932"/>
    </row>
    <row r="276" spans="2:10" s="90" customFormat="1" ht="21" customHeight="1" x14ac:dyDescent="0.2">
      <c r="B276" s="888" t="s">
        <v>875</v>
      </c>
      <c r="C276" s="889"/>
      <c r="D276" s="889"/>
      <c r="E276" s="889"/>
      <c r="F276" s="890"/>
      <c r="G276" s="91"/>
      <c r="H276" s="933"/>
      <c r="I276" s="934"/>
    </row>
    <row r="277" spans="2:10" s="90" customFormat="1" ht="15" customHeight="1" x14ac:dyDescent="0.2">
      <c r="B277" s="906" t="s">
        <v>876</v>
      </c>
      <c r="C277" s="907"/>
      <c r="D277" s="907"/>
      <c r="E277" s="907"/>
      <c r="F277" s="908"/>
      <c r="G277" s="91"/>
      <c r="H277" s="935" t="s">
        <v>883</v>
      </c>
      <c r="I277" s="939"/>
    </row>
    <row r="278" spans="2:10" s="90" customFormat="1" ht="15.75" customHeight="1" thickBot="1" x14ac:dyDescent="0.25">
      <c r="B278" s="909"/>
      <c r="C278" s="910"/>
      <c r="D278" s="910"/>
      <c r="E278" s="910"/>
      <c r="F278" s="911"/>
      <c r="G278" s="89"/>
      <c r="H278" s="935"/>
      <c r="I278" s="939"/>
    </row>
    <row r="279" spans="2:10" ht="15.75" customHeight="1" thickBot="1" x14ac:dyDescent="0.2">
      <c r="B279" s="15"/>
      <c r="C279" s="16"/>
      <c r="D279" s="1"/>
      <c r="E279" s="1"/>
      <c r="F279" s="1"/>
      <c r="G279" s="1"/>
      <c r="H279" s="935"/>
      <c r="I279" s="939"/>
    </row>
    <row r="280" spans="2:10" ht="15.75" customHeight="1" x14ac:dyDescent="0.15">
      <c r="B280" s="922" t="s">
        <v>836</v>
      </c>
      <c r="C280" s="923"/>
      <c r="D280" s="923"/>
      <c r="E280" s="923"/>
      <c r="F280" s="924"/>
      <c r="G280" s="1"/>
      <c r="H280" s="935"/>
      <c r="I280" s="939"/>
    </row>
    <row r="281" spans="2:10" ht="15" customHeight="1" x14ac:dyDescent="0.15">
      <c r="B281" s="925"/>
      <c r="C281" s="926"/>
      <c r="D281" s="926"/>
      <c r="E281" s="926"/>
      <c r="F281" s="927"/>
      <c r="H281" s="935"/>
      <c r="I281" s="939"/>
    </row>
    <row r="282" spans="2:10" ht="15" customHeight="1" x14ac:dyDescent="0.15">
      <c r="B282" s="925"/>
      <c r="C282" s="926"/>
      <c r="D282" s="926"/>
      <c r="E282" s="926"/>
      <c r="F282" s="927"/>
      <c r="G282" s="11"/>
      <c r="H282" s="935"/>
      <c r="I282" s="939"/>
    </row>
    <row r="283" spans="2:10" ht="13.5" customHeight="1" thickBot="1" x14ac:dyDescent="0.2">
      <c r="B283" s="928"/>
      <c r="C283" s="929"/>
      <c r="D283" s="929"/>
      <c r="E283" s="929"/>
      <c r="F283" s="930"/>
      <c r="H283" s="64" t="s">
        <v>45</v>
      </c>
      <c r="I283" s="17" t="s">
        <v>319</v>
      </c>
    </row>
    <row r="284" spans="2:10" x14ac:dyDescent="0.15">
      <c r="B284" s="18"/>
      <c r="C284" s="18"/>
      <c r="D284" s="1"/>
      <c r="E284" s="18"/>
      <c r="F284" s="18"/>
      <c r="G284" s="18"/>
      <c r="H284" s="18"/>
      <c r="I284" s="1"/>
    </row>
    <row r="285" spans="2:10" ht="14" thickBot="1" x14ac:dyDescent="0.2">
      <c r="B285" s="12" t="s">
        <v>21</v>
      </c>
      <c r="C285" s="12"/>
      <c r="D285" s="1"/>
      <c r="E285" s="1"/>
      <c r="F285" s="1"/>
      <c r="G285" s="1"/>
      <c r="H285" s="1"/>
      <c r="I285" s="1"/>
    </row>
    <row r="286" spans="2:10" x14ac:dyDescent="0.15">
      <c r="B286" s="903" t="s">
        <v>22</v>
      </c>
      <c r="C286" s="904"/>
      <c r="D286" s="905"/>
      <c r="E286" s="209" t="s">
        <v>23</v>
      </c>
      <c r="F286" s="19" t="s">
        <v>623</v>
      </c>
      <c r="G286" s="209" t="s">
        <v>24</v>
      </c>
      <c r="H286" s="208" t="s">
        <v>25</v>
      </c>
      <c r="I286" s="222"/>
    </row>
    <row r="287" spans="2:10" ht="15" customHeight="1" x14ac:dyDescent="0.15">
      <c r="B287" s="897" t="s">
        <v>56</v>
      </c>
      <c r="C287" s="898"/>
      <c r="D287" s="899"/>
      <c r="E287" s="5"/>
      <c r="F287" s="164"/>
      <c r="G287" s="20"/>
      <c r="H287" s="165">
        <f>I306*0.05</f>
        <v>1611.4546875000001</v>
      </c>
      <c r="I287" s="191"/>
    </row>
    <row r="288" spans="2:10" ht="14" thickBot="1" x14ac:dyDescent="0.2">
      <c r="B288" s="900"/>
      <c r="C288" s="901"/>
      <c r="D288" s="902"/>
      <c r="E288" s="21"/>
      <c r="F288" s="22"/>
      <c r="G288" s="23"/>
      <c r="H288" s="223"/>
      <c r="I288" s="177"/>
    </row>
    <row r="289" spans="2:9" ht="14" thickBot="1" x14ac:dyDescent="0.2">
      <c r="B289" s="1"/>
      <c r="C289" s="1"/>
      <c r="D289" s="1"/>
      <c r="E289" s="1"/>
      <c r="F289" s="1"/>
      <c r="G289" s="1"/>
      <c r="H289" s="224" t="s">
        <v>26</v>
      </c>
      <c r="I289" s="163">
        <f>SUM(H287:H287)</f>
        <v>1611.4546875000001</v>
      </c>
    </row>
    <row r="290" spans="2:9" ht="14" thickBot="1" x14ac:dyDescent="0.2">
      <c r="B290" s="12" t="s">
        <v>27</v>
      </c>
      <c r="C290" s="12"/>
      <c r="D290" s="1"/>
      <c r="E290" s="1"/>
      <c r="F290" s="1"/>
      <c r="G290" s="1"/>
      <c r="H290" s="225"/>
      <c r="I290" s="225"/>
    </row>
    <row r="291" spans="2:9" x14ac:dyDescent="0.15">
      <c r="B291" s="903" t="s">
        <v>22</v>
      </c>
      <c r="C291" s="904"/>
      <c r="D291" s="905"/>
      <c r="E291" s="209" t="s">
        <v>28</v>
      </c>
      <c r="F291" s="209" t="s">
        <v>29</v>
      </c>
      <c r="G291" s="209" t="s">
        <v>30</v>
      </c>
      <c r="H291" s="226" t="s">
        <v>25</v>
      </c>
      <c r="I291" s="222"/>
    </row>
    <row r="292" spans="2:9" x14ac:dyDescent="0.15">
      <c r="B292" s="4"/>
      <c r="C292" s="24"/>
      <c r="D292" s="6"/>
      <c r="E292" s="3"/>
      <c r="F292" s="164"/>
      <c r="G292" s="50"/>
      <c r="H292" s="165"/>
      <c r="I292" s="191"/>
    </row>
    <row r="293" spans="2:9" x14ac:dyDescent="0.15">
      <c r="B293" s="4"/>
      <c r="C293" s="24"/>
      <c r="D293" s="6"/>
      <c r="E293" s="5"/>
      <c r="F293" s="164"/>
      <c r="G293" s="182"/>
      <c r="H293" s="186"/>
      <c r="I293" s="191"/>
    </row>
    <row r="294" spans="2:9" ht="14" thickBot="1" x14ac:dyDescent="0.2">
      <c r="B294" s="25"/>
      <c r="C294" s="26"/>
      <c r="D294" s="27"/>
      <c r="E294" s="21"/>
      <c r="F294" s="22"/>
      <c r="G294" s="23"/>
      <c r="H294" s="223"/>
      <c r="I294" s="177"/>
    </row>
    <row r="295" spans="2:9" ht="14" thickBot="1" x14ac:dyDescent="0.2">
      <c r="B295" s="1"/>
      <c r="C295" s="1"/>
      <c r="D295" s="1"/>
      <c r="E295" s="1"/>
      <c r="F295" s="1"/>
      <c r="G295" s="1"/>
      <c r="H295" s="224" t="s">
        <v>26</v>
      </c>
      <c r="I295" s="163">
        <f>SUM(H292:H294)</f>
        <v>0</v>
      </c>
    </row>
    <row r="296" spans="2:9" ht="14" thickBot="1" x14ac:dyDescent="0.2">
      <c r="B296" s="28" t="s">
        <v>31</v>
      </c>
      <c r="C296" s="28"/>
      <c r="D296" s="26"/>
      <c r="E296" s="1"/>
      <c r="F296" s="1"/>
      <c r="G296" s="1"/>
      <c r="H296" s="225"/>
      <c r="I296" s="225"/>
    </row>
    <row r="297" spans="2:9" x14ac:dyDescent="0.15">
      <c r="B297" s="51" t="s">
        <v>32</v>
      </c>
      <c r="C297" s="86"/>
      <c r="D297" s="97" t="s">
        <v>33</v>
      </c>
      <c r="E297" s="209" t="s">
        <v>34</v>
      </c>
      <c r="F297" s="209" t="s">
        <v>35</v>
      </c>
      <c r="G297" s="209" t="s">
        <v>36</v>
      </c>
      <c r="H297" s="227" t="s">
        <v>25</v>
      </c>
      <c r="I297" s="222"/>
    </row>
    <row r="298" spans="2:9" x14ac:dyDescent="0.15">
      <c r="B298" s="4"/>
      <c r="C298" s="6"/>
      <c r="D298" s="53"/>
      <c r="E298" s="2"/>
      <c r="F298" s="2"/>
      <c r="G298" s="162"/>
      <c r="H298" s="20"/>
      <c r="I298" s="191"/>
    </row>
    <row r="299" spans="2:9" ht="14" thickBot="1" x14ac:dyDescent="0.2">
      <c r="B299" s="33"/>
      <c r="C299" s="34"/>
      <c r="D299" s="98"/>
      <c r="E299" s="21"/>
      <c r="F299" s="99"/>
      <c r="G299" s="23"/>
      <c r="H299" s="167"/>
      <c r="I299" s="177"/>
    </row>
    <row r="300" spans="2:9" ht="14" thickBot="1" x14ac:dyDescent="0.2">
      <c r="B300" s="1"/>
      <c r="C300" s="1"/>
      <c r="D300" s="1"/>
      <c r="E300" s="1"/>
      <c r="F300" s="1"/>
      <c r="G300" s="1"/>
      <c r="H300" s="224" t="s">
        <v>26</v>
      </c>
      <c r="I300" s="177">
        <f>SUM(H298:H298)</f>
        <v>0</v>
      </c>
    </row>
    <row r="301" spans="2:9" ht="14" thickBot="1" x14ac:dyDescent="0.2">
      <c r="B301" s="28" t="s">
        <v>37</v>
      </c>
      <c r="C301" s="28"/>
      <c r="D301" s="1"/>
      <c r="E301" s="1"/>
      <c r="F301" s="1"/>
      <c r="G301" s="1"/>
      <c r="H301" s="225"/>
      <c r="I301" s="225"/>
    </row>
    <row r="302" spans="2:9" x14ac:dyDescent="0.15">
      <c r="B302" s="29" t="s">
        <v>38</v>
      </c>
      <c r="C302" s="30"/>
      <c r="D302" s="31" t="s">
        <v>39</v>
      </c>
      <c r="E302" s="209" t="s">
        <v>40</v>
      </c>
      <c r="F302" s="19" t="s">
        <v>41</v>
      </c>
      <c r="G302" s="31" t="s">
        <v>24</v>
      </c>
      <c r="H302" s="226" t="s">
        <v>25</v>
      </c>
      <c r="I302" s="222"/>
    </row>
    <row r="303" spans="2:9" x14ac:dyDescent="0.15">
      <c r="B303" s="4" t="s">
        <v>512</v>
      </c>
      <c r="C303" s="24"/>
      <c r="D303" s="32">
        <f>'MANO DE OBRA'!E15</f>
        <v>95333</v>
      </c>
      <c r="E303" s="168">
        <v>1.75</v>
      </c>
      <c r="F303" s="20">
        <f>+E303*D303</f>
        <v>166832.75</v>
      </c>
      <c r="G303" s="20">
        <v>8</v>
      </c>
      <c r="H303" s="169">
        <f>+F303/G303</f>
        <v>20854.09375</v>
      </c>
      <c r="I303" s="191"/>
    </row>
    <row r="304" spans="2:9" x14ac:dyDescent="0.15">
      <c r="B304" s="4" t="s">
        <v>72</v>
      </c>
      <c r="C304" s="24"/>
      <c r="D304" s="32">
        <f>'MANO DE OBRA'!E14</f>
        <v>52000</v>
      </c>
      <c r="E304" s="168">
        <v>1.75</v>
      </c>
      <c r="F304" s="20">
        <f>+E304*D304</f>
        <v>91000</v>
      </c>
      <c r="G304" s="20">
        <v>8</v>
      </c>
      <c r="H304" s="169">
        <f>+F304/G304</f>
        <v>11375</v>
      </c>
      <c r="I304" s="191"/>
    </row>
    <row r="305" spans="2:10" ht="14" thickBot="1" x14ac:dyDescent="0.2">
      <c r="B305" s="33"/>
      <c r="C305" s="34"/>
      <c r="D305" s="22"/>
      <c r="E305" s="27"/>
      <c r="F305" s="27"/>
      <c r="G305" s="27"/>
      <c r="H305" s="228"/>
      <c r="I305" s="177"/>
    </row>
    <row r="306" spans="2:10" ht="14" thickBot="1" x14ac:dyDescent="0.2">
      <c r="B306" s="1"/>
      <c r="C306" s="1"/>
      <c r="D306" s="1"/>
      <c r="E306" s="1"/>
      <c r="F306" s="1"/>
      <c r="G306" s="1"/>
      <c r="H306" s="224" t="s">
        <v>26</v>
      </c>
      <c r="I306" s="163">
        <f>SUM(H303:H305)</f>
        <v>32229.09375</v>
      </c>
    </row>
    <row r="307" spans="2:10" ht="14" thickBot="1" x14ac:dyDescent="0.2">
      <c r="B307" s="1"/>
      <c r="C307" s="1"/>
      <c r="D307" s="1"/>
      <c r="E307" s="1"/>
      <c r="F307" s="1"/>
      <c r="G307" s="1"/>
      <c r="H307" s="229"/>
      <c r="I307" s="172"/>
    </row>
    <row r="308" spans="2:10" ht="15" thickBot="1" x14ac:dyDescent="0.2">
      <c r="B308" s="1"/>
      <c r="C308" s="1"/>
      <c r="D308" s="1"/>
      <c r="E308" s="1"/>
      <c r="F308" s="35" t="s">
        <v>43</v>
      </c>
      <c r="G308" s="36"/>
      <c r="H308" s="187"/>
      <c r="I308" s="232">
        <f>ROUND((I289+I295+I300+I306),0)</f>
        <v>33841</v>
      </c>
    </row>
    <row r="309" spans="2:10" x14ac:dyDescent="0.15">
      <c r="B309" s="12"/>
      <c r="C309" s="12"/>
      <c r="D309" s="1"/>
      <c r="E309" s="1"/>
      <c r="F309" s="1"/>
      <c r="G309" s="1"/>
      <c r="H309" s="172"/>
      <c r="I309" s="172"/>
    </row>
    <row r="310" spans="2:10" x14ac:dyDescent="0.15">
      <c r="B310" s="16"/>
      <c r="C310" s="16"/>
      <c r="D310" s="16"/>
      <c r="E310" s="16"/>
      <c r="F310" s="16"/>
      <c r="G310" s="61"/>
      <c r="H310" s="173"/>
      <c r="I310" s="172"/>
    </row>
    <row r="311" spans="2:10" x14ac:dyDescent="0.15">
      <c r="B311" s="1"/>
      <c r="C311" s="1"/>
      <c r="D311" s="1"/>
      <c r="E311" s="1"/>
      <c r="F311" s="1"/>
      <c r="G311" s="161"/>
      <c r="H311" s="172"/>
      <c r="I311" s="172"/>
    </row>
    <row r="312" spans="2:10" x14ac:dyDescent="0.15">
      <c r="B312" s="1"/>
      <c r="C312" s="1"/>
      <c r="D312" s="1"/>
      <c r="E312" s="1"/>
      <c r="F312" s="1"/>
      <c r="G312" s="161"/>
      <c r="H312" s="172"/>
      <c r="I312" s="172"/>
    </row>
    <row r="313" spans="2:10" x14ac:dyDescent="0.15">
      <c r="B313" s="1"/>
      <c r="C313" s="1"/>
      <c r="D313" s="1"/>
      <c r="E313" s="1"/>
      <c r="F313" s="1"/>
      <c r="G313" s="161"/>
      <c r="H313" s="172"/>
      <c r="I313" s="172"/>
    </row>
    <row r="314" spans="2:10" ht="14" x14ac:dyDescent="0.15">
      <c r="B314" s="102"/>
      <c r="C314" s="1"/>
      <c r="D314" s="1"/>
      <c r="E314" s="1"/>
      <c r="F314" s="1"/>
      <c r="G314" s="1"/>
      <c r="H314" s="1"/>
      <c r="I314" s="172"/>
    </row>
    <row r="315" spans="2:10" ht="14" x14ac:dyDescent="0.15">
      <c r="B315" s="83"/>
      <c r="C315" s="11"/>
      <c r="D315" s="1"/>
      <c r="E315" s="916"/>
      <c r="F315" s="916"/>
      <c r="G315" s="916"/>
      <c r="H315" s="916"/>
      <c r="I315" s="171"/>
    </row>
    <row r="316" spans="2:10" ht="14" x14ac:dyDescent="0.15">
      <c r="B316" s="102"/>
      <c r="C316" s="83"/>
      <c r="D316" s="84"/>
      <c r="E316" s="83"/>
      <c r="F316" s="83"/>
      <c r="G316" s="102"/>
      <c r="H316" s="83"/>
      <c r="I316" s="85"/>
      <c r="J316" s="85"/>
    </row>
    <row r="317" spans="2:10" ht="14" x14ac:dyDescent="0.15">
      <c r="B317" s="83"/>
      <c r="C317" s="83"/>
      <c r="D317" s="84"/>
      <c r="E317" s="83"/>
      <c r="F317" s="83"/>
      <c r="G317" s="119"/>
      <c r="H317" s="83"/>
      <c r="I317" s="85"/>
      <c r="J317" s="85"/>
    </row>
    <row r="318" spans="2:10" x14ac:dyDescent="0.15">
      <c r="B318" s="11"/>
      <c r="C318" s="11"/>
      <c r="D318" s="11"/>
      <c r="E318" s="11"/>
      <c r="F318" s="11"/>
      <c r="G318" s="11"/>
      <c r="H318" s="11"/>
      <c r="I318" s="11"/>
    </row>
    <row r="319" spans="2:10" x14ac:dyDescent="0.15">
      <c r="B319" s="11"/>
      <c r="C319" s="11"/>
      <c r="D319" s="11"/>
      <c r="E319" s="11"/>
      <c r="F319" s="11"/>
      <c r="G319" s="11"/>
      <c r="H319" s="11"/>
      <c r="I319" s="11"/>
    </row>
    <row r="325" spans="2:10" ht="14" x14ac:dyDescent="0.15">
      <c r="B325" s="102"/>
      <c r="C325" s="83"/>
      <c r="D325" s="84"/>
      <c r="E325" s="83"/>
      <c r="F325" s="83"/>
      <c r="G325" s="103"/>
      <c r="H325" s="83"/>
      <c r="I325" s="85"/>
      <c r="J325" s="85"/>
    </row>
    <row r="326" spans="2:10" ht="14" x14ac:dyDescent="0.15">
      <c r="B326" s="102"/>
      <c r="C326" s="83"/>
      <c r="D326" s="84"/>
      <c r="E326" s="83"/>
      <c r="F326" s="83"/>
      <c r="G326" s="103"/>
      <c r="H326" s="83"/>
      <c r="I326" s="85"/>
      <c r="J326" s="85"/>
    </row>
    <row r="327" spans="2:10" ht="14" x14ac:dyDescent="0.15">
      <c r="B327" s="83"/>
      <c r="C327" s="83"/>
      <c r="D327" s="84"/>
      <c r="E327" s="83"/>
      <c r="F327" s="83"/>
      <c r="G327" s="104"/>
      <c r="H327" s="83"/>
      <c r="I327" s="85"/>
      <c r="J327" s="85"/>
    </row>
    <row r="328" spans="2:10" ht="14" x14ac:dyDescent="0.15">
      <c r="B328" s="83"/>
      <c r="C328" s="83"/>
      <c r="D328" s="84"/>
      <c r="E328" s="83"/>
      <c r="F328" s="83"/>
      <c r="G328" s="104"/>
      <c r="H328" s="83"/>
      <c r="I328" s="85"/>
      <c r="J328" s="85"/>
    </row>
    <row r="329" spans="2:10" ht="15" thickBot="1" x14ac:dyDescent="0.2">
      <c r="B329" s="83"/>
    </row>
    <row r="330" spans="2:10" s="90" customFormat="1" ht="21.75" customHeight="1" x14ac:dyDescent="0.2">
      <c r="B330" s="885" t="s">
        <v>874</v>
      </c>
      <c r="C330" s="886"/>
      <c r="D330" s="886"/>
      <c r="E330" s="886"/>
      <c r="F330" s="887"/>
      <c r="G330" s="89"/>
      <c r="H330" s="931" t="s">
        <v>20</v>
      </c>
      <c r="I330" s="932"/>
    </row>
    <row r="331" spans="2:10" s="90" customFormat="1" ht="21" customHeight="1" x14ac:dyDescent="0.2">
      <c r="B331" s="888" t="s">
        <v>875</v>
      </c>
      <c r="C331" s="889"/>
      <c r="D331" s="889"/>
      <c r="E331" s="889"/>
      <c r="F331" s="890"/>
      <c r="G331" s="91"/>
      <c r="H331" s="933"/>
      <c r="I331" s="934"/>
    </row>
    <row r="332" spans="2:10" s="90" customFormat="1" ht="15" customHeight="1" x14ac:dyDescent="0.2">
      <c r="B332" s="906" t="s">
        <v>876</v>
      </c>
      <c r="C332" s="907"/>
      <c r="D332" s="907"/>
      <c r="E332" s="907"/>
      <c r="F332" s="908"/>
      <c r="G332" s="91"/>
      <c r="H332" s="935" t="s">
        <v>884</v>
      </c>
      <c r="I332" s="939"/>
    </row>
    <row r="333" spans="2:10" s="90" customFormat="1" ht="15.75" customHeight="1" thickBot="1" x14ac:dyDescent="0.25">
      <c r="B333" s="909"/>
      <c r="C333" s="910"/>
      <c r="D333" s="910"/>
      <c r="E333" s="910"/>
      <c r="F333" s="911"/>
      <c r="G333" s="89"/>
      <c r="H333" s="935"/>
      <c r="I333" s="939"/>
    </row>
    <row r="334" spans="2:10" ht="15.75" customHeight="1" thickBot="1" x14ac:dyDescent="0.2">
      <c r="B334" s="15"/>
      <c r="C334" s="16"/>
      <c r="D334" s="1"/>
      <c r="E334" s="1"/>
      <c r="F334" s="1"/>
      <c r="G334" s="1"/>
      <c r="H334" s="935"/>
      <c r="I334" s="939"/>
    </row>
    <row r="335" spans="2:10" ht="15.75" customHeight="1" x14ac:dyDescent="0.15">
      <c r="B335" s="922" t="s">
        <v>836</v>
      </c>
      <c r="C335" s="923"/>
      <c r="D335" s="923"/>
      <c r="E335" s="923"/>
      <c r="F335" s="924"/>
      <c r="G335" s="1"/>
      <c r="H335" s="935"/>
      <c r="I335" s="939"/>
    </row>
    <row r="336" spans="2:10" ht="15" customHeight="1" x14ac:dyDescent="0.15">
      <c r="B336" s="925"/>
      <c r="C336" s="926"/>
      <c r="D336" s="926"/>
      <c r="E336" s="926"/>
      <c r="F336" s="927"/>
      <c r="H336" s="935"/>
      <c r="I336" s="939"/>
    </row>
    <row r="337" spans="2:9" ht="15" customHeight="1" x14ac:dyDescent="0.15">
      <c r="B337" s="925"/>
      <c r="C337" s="926"/>
      <c r="D337" s="926"/>
      <c r="E337" s="926"/>
      <c r="F337" s="927"/>
      <c r="G337" s="11"/>
      <c r="H337" s="935"/>
      <c r="I337" s="939"/>
    </row>
    <row r="338" spans="2:9" ht="13.5" customHeight="1" thickBot="1" x14ac:dyDescent="0.2">
      <c r="B338" s="928"/>
      <c r="C338" s="929"/>
      <c r="D338" s="929"/>
      <c r="E338" s="929"/>
      <c r="F338" s="930"/>
      <c r="H338" s="64" t="s">
        <v>45</v>
      </c>
      <c r="I338" s="17" t="s">
        <v>319</v>
      </c>
    </row>
    <row r="339" spans="2:9" x14ac:dyDescent="0.15">
      <c r="B339" s="18"/>
      <c r="C339" s="18"/>
      <c r="D339" s="1"/>
      <c r="E339" s="18"/>
      <c r="F339" s="18"/>
      <c r="G339" s="18"/>
      <c r="H339" s="18"/>
      <c r="I339" s="1"/>
    </row>
    <row r="340" spans="2:9" ht="14" thickBot="1" x14ac:dyDescent="0.2">
      <c r="B340" s="12" t="s">
        <v>21</v>
      </c>
      <c r="C340" s="12"/>
      <c r="D340" s="1"/>
      <c r="E340" s="1"/>
      <c r="F340" s="1"/>
      <c r="G340" s="1"/>
      <c r="H340" s="1"/>
      <c r="I340" s="1"/>
    </row>
    <row r="341" spans="2:9" x14ac:dyDescent="0.15">
      <c r="B341" s="903" t="s">
        <v>22</v>
      </c>
      <c r="C341" s="904"/>
      <c r="D341" s="905"/>
      <c r="E341" s="209" t="s">
        <v>23</v>
      </c>
      <c r="F341" s="19" t="s">
        <v>623</v>
      </c>
      <c r="G341" s="209" t="s">
        <v>24</v>
      </c>
      <c r="H341" s="208" t="s">
        <v>25</v>
      </c>
      <c r="I341" s="222"/>
    </row>
    <row r="342" spans="2:9" ht="15" customHeight="1" x14ac:dyDescent="0.15">
      <c r="B342" s="897" t="s">
        <v>56</v>
      </c>
      <c r="C342" s="898"/>
      <c r="D342" s="899"/>
      <c r="E342" s="5"/>
      <c r="F342" s="164"/>
      <c r="G342" s="20"/>
      <c r="H342" s="165">
        <f>I361*0.05</f>
        <v>2578.3275000000003</v>
      </c>
      <c r="I342" s="191"/>
    </row>
    <row r="343" spans="2:9" ht="14" thickBot="1" x14ac:dyDescent="0.2">
      <c r="B343" s="900"/>
      <c r="C343" s="901"/>
      <c r="D343" s="902"/>
      <c r="E343" s="21"/>
      <c r="F343" s="22"/>
      <c r="G343" s="23"/>
      <c r="H343" s="223"/>
      <c r="I343" s="177"/>
    </row>
    <row r="344" spans="2:9" ht="14" thickBot="1" x14ac:dyDescent="0.2">
      <c r="B344" s="1"/>
      <c r="C344" s="1"/>
      <c r="D344" s="1"/>
      <c r="E344" s="1"/>
      <c r="F344" s="1"/>
      <c r="G344" s="1"/>
      <c r="H344" s="224" t="s">
        <v>26</v>
      </c>
      <c r="I344" s="163">
        <f>SUM(H342:H342)</f>
        <v>2578.3275000000003</v>
      </c>
    </row>
    <row r="345" spans="2:9" ht="14" thickBot="1" x14ac:dyDescent="0.2">
      <c r="B345" s="12" t="s">
        <v>27</v>
      </c>
      <c r="C345" s="12"/>
      <c r="D345" s="1"/>
      <c r="E345" s="1"/>
      <c r="F345" s="1"/>
      <c r="G345" s="1"/>
      <c r="H345" s="225"/>
      <c r="I345" s="225"/>
    </row>
    <row r="346" spans="2:9" x14ac:dyDescent="0.15">
      <c r="B346" s="903" t="s">
        <v>22</v>
      </c>
      <c r="C346" s="904"/>
      <c r="D346" s="905"/>
      <c r="E346" s="209" t="s">
        <v>28</v>
      </c>
      <c r="F346" s="209" t="s">
        <v>29</v>
      </c>
      <c r="G346" s="209" t="s">
        <v>30</v>
      </c>
      <c r="H346" s="226" t="s">
        <v>25</v>
      </c>
      <c r="I346" s="222"/>
    </row>
    <row r="347" spans="2:9" x14ac:dyDescent="0.15">
      <c r="B347" s="4"/>
      <c r="C347" s="24"/>
      <c r="D347" s="6"/>
      <c r="E347" s="3"/>
      <c r="F347" s="164"/>
      <c r="G347" s="50"/>
      <c r="H347" s="165"/>
      <c r="I347" s="191"/>
    </row>
    <row r="348" spans="2:9" x14ac:dyDescent="0.15">
      <c r="B348" s="4"/>
      <c r="C348" s="24"/>
      <c r="D348" s="6"/>
      <c r="E348" s="5"/>
      <c r="F348" s="164"/>
      <c r="G348" s="182"/>
      <c r="H348" s="186"/>
      <c r="I348" s="191"/>
    </row>
    <row r="349" spans="2:9" ht="14" thickBot="1" x14ac:dyDescent="0.2">
      <c r="B349" s="25"/>
      <c r="C349" s="26"/>
      <c r="D349" s="27"/>
      <c r="E349" s="21"/>
      <c r="F349" s="22"/>
      <c r="G349" s="23"/>
      <c r="H349" s="223"/>
      <c r="I349" s="177"/>
    </row>
    <row r="350" spans="2:9" ht="14" thickBot="1" x14ac:dyDescent="0.2">
      <c r="B350" s="1"/>
      <c r="C350" s="1"/>
      <c r="D350" s="1"/>
      <c r="E350" s="1"/>
      <c r="F350" s="1"/>
      <c r="G350" s="1"/>
      <c r="H350" s="224" t="s">
        <v>26</v>
      </c>
      <c r="I350" s="163">
        <f>SUM(H347:H349)</f>
        <v>0</v>
      </c>
    </row>
    <row r="351" spans="2:9" ht="14" thickBot="1" x14ac:dyDescent="0.2">
      <c r="B351" s="28" t="s">
        <v>31</v>
      </c>
      <c r="C351" s="28"/>
      <c r="D351" s="26"/>
      <c r="E351" s="1"/>
      <c r="F351" s="1"/>
      <c r="G351" s="1"/>
      <c r="H351" s="225"/>
      <c r="I351" s="225"/>
    </row>
    <row r="352" spans="2:9" x14ac:dyDescent="0.15">
      <c r="B352" s="51" t="s">
        <v>32</v>
      </c>
      <c r="C352" s="86"/>
      <c r="D352" s="97" t="s">
        <v>33</v>
      </c>
      <c r="E352" s="209" t="s">
        <v>34</v>
      </c>
      <c r="F352" s="209" t="s">
        <v>35</v>
      </c>
      <c r="G352" s="209" t="s">
        <v>36</v>
      </c>
      <c r="H352" s="227" t="s">
        <v>25</v>
      </c>
      <c r="I352" s="222"/>
    </row>
    <row r="353" spans="2:9" x14ac:dyDescent="0.15">
      <c r="B353" s="4"/>
      <c r="C353" s="6"/>
      <c r="D353" s="53"/>
      <c r="E353" s="2"/>
      <c r="F353" s="2"/>
      <c r="G353" s="162"/>
      <c r="H353" s="20"/>
      <c r="I353" s="191"/>
    </row>
    <row r="354" spans="2:9" ht="14" thickBot="1" x14ac:dyDescent="0.2">
      <c r="B354" s="33"/>
      <c r="C354" s="34"/>
      <c r="D354" s="98"/>
      <c r="E354" s="21"/>
      <c r="F354" s="99"/>
      <c r="G354" s="23"/>
      <c r="H354" s="167"/>
      <c r="I354" s="177"/>
    </row>
    <row r="355" spans="2:9" ht="14" thickBot="1" x14ac:dyDescent="0.2">
      <c r="B355" s="1"/>
      <c r="C355" s="1"/>
      <c r="D355" s="1"/>
      <c r="E355" s="1"/>
      <c r="F355" s="1"/>
      <c r="G355" s="1"/>
      <c r="H355" s="224" t="s">
        <v>26</v>
      </c>
      <c r="I355" s="177">
        <f>SUM(H353:H353)</f>
        <v>0</v>
      </c>
    </row>
    <row r="356" spans="2:9" ht="14" thickBot="1" x14ac:dyDescent="0.2">
      <c r="B356" s="28" t="s">
        <v>37</v>
      </c>
      <c r="C356" s="28"/>
      <c r="D356" s="1"/>
      <c r="E356" s="1"/>
      <c r="F356" s="1"/>
      <c r="G356" s="1"/>
      <c r="H356" s="225"/>
      <c r="I356" s="225"/>
    </row>
    <row r="357" spans="2:9" x14ac:dyDescent="0.15">
      <c r="B357" s="29" t="s">
        <v>38</v>
      </c>
      <c r="C357" s="30"/>
      <c r="D357" s="31" t="s">
        <v>39</v>
      </c>
      <c r="E357" s="209" t="s">
        <v>40</v>
      </c>
      <c r="F357" s="19" t="s">
        <v>41</v>
      </c>
      <c r="G357" s="31" t="s">
        <v>24</v>
      </c>
      <c r="H357" s="226" t="s">
        <v>25</v>
      </c>
      <c r="I357" s="222"/>
    </row>
    <row r="358" spans="2:9" x14ac:dyDescent="0.15">
      <c r="B358" s="4" t="s">
        <v>512</v>
      </c>
      <c r="C358" s="24"/>
      <c r="D358" s="32">
        <f>'MANO DE OBRA'!E15</f>
        <v>95333</v>
      </c>
      <c r="E358" s="168">
        <v>1.75</v>
      </c>
      <c r="F358" s="20">
        <f>+E358*D358</f>
        <v>166832.75</v>
      </c>
      <c r="G358" s="20">
        <v>5</v>
      </c>
      <c r="H358" s="169">
        <f>+F358/G358</f>
        <v>33366.550000000003</v>
      </c>
      <c r="I358" s="191"/>
    </row>
    <row r="359" spans="2:9" x14ac:dyDescent="0.15">
      <c r="B359" s="4" t="s">
        <v>72</v>
      </c>
      <c r="C359" s="24"/>
      <c r="D359" s="32">
        <f>'MANO DE OBRA'!E14</f>
        <v>52000</v>
      </c>
      <c r="E359" s="168">
        <v>1.75</v>
      </c>
      <c r="F359" s="20">
        <f>+E359*D359</f>
        <v>91000</v>
      </c>
      <c r="G359" s="20">
        <v>5</v>
      </c>
      <c r="H359" s="169">
        <f>+F359/G359</f>
        <v>18200</v>
      </c>
      <c r="I359" s="191"/>
    </row>
    <row r="360" spans="2:9" ht="14" thickBot="1" x14ac:dyDescent="0.2">
      <c r="B360" s="33"/>
      <c r="C360" s="34"/>
      <c r="D360" s="22"/>
      <c r="E360" s="27"/>
      <c r="F360" s="27"/>
      <c r="G360" s="27"/>
      <c r="H360" s="228"/>
      <c r="I360" s="177"/>
    </row>
    <row r="361" spans="2:9" ht="14" thickBot="1" x14ac:dyDescent="0.2">
      <c r="B361" s="1"/>
      <c r="C361" s="1"/>
      <c r="D361" s="1"/>
      <c r="E361" s="1"/>
      <c r="F361" s="1"/>
      <c r="G361" s="1"/>
      <c r="H361" s="224" t="s">
        <v>26</v>
      </c>
      <c r="I361" s="163">
        <f>SUM(H358:H360)</f>
        <v>51566.55</v>
      </c>
    </row>
    <row r="362" spans="2:9" ht="14" thickBot="1" x14ac:dyDescent="0.2">
      <c r="B362" s="1"/>
      <c r="C362" s="1"/>
      <c r="D362" s="1"/>
      <c r="E362" s="1"/>
      <c r="F362" s="1"/>
      <c r="G362" s="1"/>
      <c r="H362" s="229"/>
      <c r="I362" s="172"/>
    </row>
    <row r="363" spans="2:9" ht="15" thickBot="1" x14ac:dyDescent="0.2">
      <c r="B363" s="1"/>
      <c r="C363" s="1"/>
      <c r="D363" s="1"/>
      <c r="E363" s="1"/>
      <c r="F363" s="35" t="s">
        <v>43</v>
      </c>
      <c r="G363" s="36"/>
      <c r="H363" s="187"/>
      <c r="I363" s="232">
        <f>ROUND((I344+I350+I355+I361),0)</f>
        <v>54145</v>
      </c>
    </row>
    <row r="364" spans="2:9" x14ac:dyDescent="0.15">
      <c r="B364" s="12"/>
      <c r="C364" s="12"/>
      <c r="D364" s="1"/>
      <c r="E364" s="1"/>
      <c r="F364" s="1"/>
      <c r="G364" s="1"/>
      <c r="H364" s="172"/>
      <c r="I364" s="172"/>
    </row>
    <row r="365" spans="2:9" x14ac:dyDescent="0.15">
      <c r="B365" s="16"/>
      <c r="C365" s="16"/>
      <c r="D365" s="16"/>
      <c r="E365" s="16"/>
      <c r="F365" s="16"/>
      <c r="G365" s="61"/>
      <c r="H365" s="173"/>
      <c r="I365" s="172"/>
    </row>
    <row r="366" spans="2:9" x14ac:dyDescent="0.15">
      <c r="B366" s="1"/>
      <c r="C366" s="1"/>
      <c r="D366" s="1"/>
      <c r="E366" s="1"/>
      <c r="F366" s="1"/>
      <c r="G366" s="161"/>
      <c r="H366" s="172"/>
      <c r="I366" s="172"/>
    </row>
    <row r="367" spans="2:9" x14ac:dyDescent="0.15">
      <c r="B367" s="1"/>
      <c r="C367" s="1"/>
      <c r="D367" s="1"/>
      <c r="E367" s="1"/>
      <c r="F367" s="1"/>
      <c r="G367" s="161"/>
      <c r="H367" s="172"/>
      <c r="I367" s="172"/>
    </row>
    <row r="368" spans="2:9" x14ac:dyDescent="0.15">
      <c r="B368" s="1"/>
      <c r="C368" s="1"/>
      <c r="D368" s="1"/>
      <c r="E368" s="1"/>
      <c r="F368" s="1"/>
      <c r="G368" s="161"/>
      <c r="H368" s="172"/>
      <c r="I368" s="172"/>
    </row>
    <row r="369" spans="2:10" ht="14" x14ac:dyDescent="0.15">
      <c r="B369" s="102"/>
      <c r="C369" s="1"/>
      <c r="D369" s="1"/>
      <c r="E369" s="1"/>
      <c r="F369" s="1"/>
      <c r="G369" s="1"/>
      <c r="H369" s="1"/>
      <c r="I369" s="172"/>
    </row>
    <row r="370" spans="2:10" ht="14" x14ac:dyDescent="0.15">
      <c r="B370" s="83"/>
      <c r="C370" s="11"/>
      <c r="D370" s="1"/>
      <c r="E370" s="916"/>
      <c r="F370" s="916"/>
      <c r="G370" s="916"/>
      <c r="H370" s="916"/>
      <c r="I370" s="171"/>
    </row>
    <row r="371" spans="2:10" ht="14" x14ac:dyDescent="0.15">
      <c r="B371" s="102"/>
      <c r="C371" s="83"/>
      <c r="D371" s="84"/>
      <c r="E371" s="83"/>
      <c r="F371" s="83"/>
      <c r="G371" s="102"/>
      <c r="H371" s="83"/>
      <c r="I371" s="85"/>
      <c r="J371" s="85"/>
    </row>
    <row r="372" spans="2:10" ht="14" x14ac:dyDescent="0.15">
      <c r="B372" s="83"/>
      <c r="C372" s="83"/>
      <c r="D372" s="84"/>
      <c r="E372" s="83"/>
      <c r="F372" s="83"/>
      <c r="G372" s="119"/>
      <c r="H372" s="83"/>
      <c r="I372" s="85"/>
      <c r="J372" s="85"/>
    </row>
    <row r="373" spans="2:10" x14ac:dyDescent="0.15">
      <c r="B373" s="11"/>
      <c r="C373" s="11"/>
      <c r="D373" s="11"/>
      <c r="E373" s="11"/>
      <c r="F373" s="11"/>
      <c r="G373" s="11"/>
      <c r="H373" s="11"/>
      <c r="I373" s="11"/>
    </row>
    <row r="374" spans="2:10" x14ac:dyDescent="0.15">
      <c r="B374" s="11"/>
      <c r="C374" s="11"/>
      <c r="D374" s="11"/>
      <c r="E374" s="11"/>
      <c r="F374" s="11"/>
      <c r="G374" s="11"/>
      <c r="H374" s="11"/>
      <c r="I374" s="11"/>
    </row>
    <row r="380" spans="2:10" ht="14" x14ac:dyDescent="0.15">
      <c r="B380" s="102"/>
      <c r="C380" s="83"/>
      <c r="D380" s="84"/>
      <c r="E380" s="83"/>
      <c r="F380" s="83"/>
      <c r="G380" s="103"/>
      <c r="H380" s="83"/>
      <c r="I380" s="85"/>
      <c r="J380" s="85"/>
    </row>
    <row r="381" spans="2:10" ht="14" x14ac:dyDescent="0.15">
      <c r="B381" s="102"/>
      <c r="C381" s="83"/>
      <c r="D381" s="84"/>
      <c r="E381" s="83"/>
      <c r="F381" s="83"/>
      <c r="G381" s="103"/>
      <c r="H381" s="83"/>
      <c r="I381" s="85"/>
      <c r="J381" s="85"/>
    </row>
    <row r="382" spans="2:10" ht="14" x14ac:dyDescent="0.15">
      <c r="B382" s="83"/>
      <c r="C382" s="83"/>
      <c r="D382" s="84"/>
      <c r="E382" s="83"/>
      <c r="F382" s="83"/>
      <c r="G382" s="104"/>
      <c r="H382" s="83"/>
      <c r="I382" s="85"/>
      <c r="J382" s="85"/>
    </row>
    <row r="383" spans="2:10" ht="14" x14ac:dyDescent="0.15">
      <c r="B383" s="83"/>
      <c r="C383" s="83"/>
      <c r="D383" s="84"/>
      <c r="E383" s="83"/>
      <c r="F383" s="83"/>
      <c r="G383" s="104"/>
      <c r="H383" s="83"/>
      <c r="I383" s="85"/>
      <c r="J383" s="85"/>
    </row>
    <row r="384" spans="2:10" ht="15" thickBot="1" x14ac:dyDescent="0.2">
      <c r="B384" s="83"/>
    </row>
    <row r="385" spans="2:9" s="90" customFormat="1" ht="21.75" customHeight="1" x14ac:dyDescent="0.2">
      <c r="B385" s="885" t="s">
        <v>874</v>
      </c>
      <c r="C385" s="886"/>
      <c r="D385" s="886"/>
      <c r="E385" s="886"/>
      <c r="F385" s="887"/>
      <c r="G385" s="89"/>
      <c r="H385" s="931" t="s">
        <v>20</v>
      </c>
      <c r="I385" s="932"/>
    </row>
    <row r="386" spans="2:9" s="90" customFormat="1" ht="21" customHeight="1" x14ac:dyDescent="0.2">
      <c r="B386" s="888" t="s">
        <v>875</v>
      </c>
      <c r="C386" s="889"/>
      <c r="D386" s="889"/>
      <c r="E386" s="889"/>
      <c r="F386" s="890"/>
      <c r="G386" s="91"/>
      <c r="H386" s="933"/>
      <c r="I386" s="934"/>
    </row>
    <row r="387" spans="2:9" s="90" customFormat="1" ht="15" customHeight="1" x14ac:dyDescent="0.2">
      <c r="B387" s="906" t="s">
        <v>876</v>
      </c>
      <c r="C387" s="907"/>
      <c r="D387" s="907"/>
      <c r="E387" s="907"/>
      <c r="F387" s="908"/>
      <c r="G387" s="91"/>
      <c r="H387" s="935" t="s">
        <v>885</v>
      </c>
      <c r="I387" s="939"/>
    </row>
    <row r="388" spans="2:9" s="90" customFormat="1" ht="15.75" customHeight="1" thickBot="1" x14ac:dyDescent="0.25">
      <c r="B388" s="909"/>
      <c r="C388" s="910"/>
      <c r="D388" s="910"/>
      <c r="E388" s="910"/>
      <c r="F388" s="911"/>
      <c r="G388" s="89"/>
      <c r="H388" s="935"/>
      <c r="I388" s="939"/>
    </row>
    <row r="389" spans="2:9" ht="15.75" customHeight="1" thickBot="1" x14ac:dyDescent="0.2">
      <c r="B389" s="15"/>
      <c r="C389" s="16"/>
      <c r="D389" s="1"/>
      <c r="E389" s="1"/>
      <c r="F389" s="1"/>
      <c r="G389" s="1"/>
      <c r="H389" s="935"/>
      <c r="I389" s="939"/>
    </row>
    <row r="390" spans="2:9" ht="15.75" customHeight="1" x14ac:dyDescent="0.15">
      <c r="B390" s="922" t="s">
        <v>836</v>
      </c>
      <c r="C390" s="923"/>
      <c r="D390" s="923"/>
      <c r="E390" s="923"/>
      <c r="F390" s="924"/>
      <c r="G390" s="1"/>
      <c r="H390" s="935"/>
      <c r="I390" s="939"/>
    </row>
    <row r="391" spans="2:9" ht="15" customHeight="1" x14ac:dyDescent="0.15">
      <c r="B391" s="925"/>
      <c r="C391" s="926"/>
      <c r="D391" s="926"/>
      <c r="E391" s="926"/>
      <c r="F391" s="927"/>
      <c r="H391" s="935"/>
      <c r="I391" s="939"/>
    </row>
    <row r="392" spans="2:9" ht="15" customHeight="1" x14ac:dyDescent="0.15">
      <c r="B392" s="925"/>
      <c r="C392" s="926"/>
      <c r="D392" s="926"/>
      <c r="E392" s="926"/>
      <c r="F392" s="927"/>
      <c r="G392" s="11"/>
      <c r="H392" s="935"/>
      <c r="I392" s="939"/>
    </row>
    <row r="393" spans="2:9" ht="13.5" customHeight="1" thickBot="1" x14ac:dyDescent="0.2">
      <c r="B393" s="928"/>
      <c r="C393" s="929"/>
      <c r="D393" s="929"/>
      <c r="E393" s="929"/>
      <c r="F393" s="930"/>
      <c r="H393" s="64" t="s">
        <v>45</v>
      </c>
      <c r="I393" s="17" t="s">
        <v>5</v>
      </c>
    </row>
    <row r="394" spans="2:9" x14ac:dyDescent="0.15">
      <c r="B394" s="18"/>
      <c r="C394" s="18"/>
      <c r="D394" s="1"/>
      <c r="E394" s="18"/>
      <c r="F394" s="18"/>
      <c r="G394" s="18"/>
      <c r="H394" s="18"/>
      <c r="I394" s="1"/>
    </row>
    <row r="395" spans="2:9" ht="14" thickBot="1" x14ac:dyDescent="0.2">
      <c r="B395" s="12" t="s">
        <v>21</v>
      </c>
      <c r="C395" s="12"/>
      <c r="D395" s="1"/>
      <c r="E395" s="1"/>
      <c r="F395" s="1"/>
      <c r="G395" s="1"/>
      <c r="H395" s="1"/>
      <c r="I395" s="1"/>
    </row>
    <row r="396" spans="2:9" x14ac:dyDescent="0.15">
      <c r="B396" s="903" t="s">
        <v>22</v>
      </c>
      <c r="C396" s="904"/>
      <c r="D396" s="905"/>
      <c r="E396" s="209" t="s">
        <v>23</v>
      </c>
      <c r="F396" s="19" t="s">
        <v>623</v>
      </c>
      <c r="G396" s="209" t="s">
        <v>24</v>
      </c>
      <c r="H396" s="208" t="s">
        <v>25</v>
      </c>
      <c r="I396" s="222"/>
    </row>
    <row r="397" spans="2:9" ht="15" customHeight="1" x14ac:dyDescent="0.15">
      <c r="B397" s="897" t="s">
        <v>56</v>
      </c>
      <c r="C397" s="898"/>
      <c r="D397" s="899"/>
      <c r="E397" s="5"/>
      <c r="F397" s="164"/>
      <c r="G397" s="20"/>
      <c r="H397" s="165">
        <f>I416*0.05</f>
        <v>581.38791666666668</v>
      </c>
      <c r="I397" s="191"/>
    </row>
    <row r="398" spans="2:9" ht="14" thickBot="1" x14ac:dyDescent="0.2">
      <c r="B398" s="900"/>
      <c r="C398" s="901"/>
      <c r="D398" s="902"/>
      <c r="E398" s="21"/>
      <c r="F398" s="22"/>
      <c r="G398" s="23"/>
      <c r="H398" s="223"/>
      <c r="I398" s="177"/>
    </row>
    <row r="399" spans="2:9" ht="14" thickBot="1" x14ac:dyDescent="0.2">
      <c r="B399" s="1"/>
      <c r="C399" s="1"/>
      <c r="D399" s="1"/>
      <c r="E399" s="1"/>
      <c r="F399" s="1"/>
      <c r="G399" s="1"/>
      <c r="H399" s="224" t="s">
        <v>26</v>
      </c>
      <c r="I399" s="163">
        <f>SUM(H397:H397)</f>
        <v>581.38791666666668</v>
      </c>
    </row>
    <row r="400" spans="2:9" ht="14" thickBot="1" x14ac:dyDescent="0.2">
      <c r="B400" s="12" t="s">
        <v>27</v>
      </c>
      <c r="C400" s="12"/>
      <c r="D400" s="1"/>
      <c r="E400" s="1"/>
      <c r="F400" s="1"/>
      <c r="G400" s="1"/>
      <c r="H400" s="225"/>
      <c r="I400" s="225"/>
    </row>
    <row r="401" spans="2:9" x14ac:dyDescent="0.15">
      <c r="B401" s="903" t="s">
        <v>22</v>
      </c>
      <c r="C401" s="904"/>
      <c r="D401" s="905"/>
      <c r="E401" s="209" t="s">
        <v>28</v>
      </c>
      <c r="F401" s="209" t="s">
        <v>29</v>
      </c>
      <c r="G401" s="209" t="s">
        <v>30</v>
      </c>
      <c r="H401" s="226" t="s">
        <v>25</v>
      </c>
      <c r="I401" s="222"/>
    </row>
    <row r="402" spans="2:9" x14ac:dyDescent="0.15">
      <c r="B402" s="4"/>
      <c r="C402" s="24"/>
      <c r="D402" s="6"/>
      <c r="E402" s="3"/>
      <c r="F402" s="164"/>
      <c r="G402" s="50"/>
      <c r="H402" s="165"/>
      <c r="I402" s="191"/>
    </row>
    <row r="403" spans="2:9" x14ac:dyDescent="0.15">
      <c r="B403" s="4"/>
      <c r="C403" s="24"/>
      <c r="D403" s="6"/>
      <c r="E403" s="5"/>
      <c r="F403" s="164"/>
      <c r="G403" s="182"/>
      <c r="H403" s="186"/>
      <c r="I403" s="191"/>
    </row>
    <row r="404" spans="2:9" ht="14" thickBot="1" x14ac:dyDescent="0.2">
      <c r="B404" s="25"/>
      <c r="C404" s="26"/>
      <c r="D404" s="27"/>
      <c r="E404" s="21"/>
      <c r="F404" s="22"/>
      <c r="G404" s="23"/>
      <c r="H404" s="223"/>
      <c r="I404" s="177"/>
    </row>
    <row r="405" spans="2:9" ht="14" thickBot="1" x14ac:dyDescent="0.2">
      <c r="B405" s="1"/>
      <c r="C405" s="1"/>
      <c r="D405" s="1"/>
      <c r="E405" s="1"/>
      <c r="F405" s="1"/>
      <c r="G405" s="1"/>
      <c r="H405" s="224" t="s">
        <v>26</v>
      </c>
      <c r="I405" s="163">
        <f>SUM(H402:H404)</f>
        <v>0</v>
      </c>
    </row>
    <row r="406" spans="2:9" ht="14" thickBot="1" x14ac:dyDescent="0.2">
      <c r="B406" s="28" t="s">
        <v>31</v>
      </c>
      <c r="C406" s="28"/>
      <c r="D406" s="26"/>
      <c r="E406" s="1"/>
      <c r="F406" s="1"/>
      <c r="G406" s="1"/>
      <c r="H406" s="225"/>
      <c r="I406" s="225"/>
    </row>
    <row r="407" spans="2:9" x14ac:dyDescent="0.15">
      <c r="B407" s="51" t="s">
        <v>32</v>
      </c>
      <c r="C407" s="86"/>
      <c r="D407" s="97" t="s">
        <v>33</v>
      </c>
      <c r="E407" s="209" t="s">
        <v>34</v>
      </c>
      <c r="F407" s="209" t="s">
        <v>35</v>
      </c>
      <c r="G407" s="209" t="s">
        <v>36</v>
      </c>
      <c r="H407" s="227" t="s">
        <v>25</v>
      </c>
      <c r="I407" s="222"/>
    </row>
    <row r="408" spans="2:9" x14ac:dyDescent="0.15">
      <c r="B408" s="4"/>
      <c r="C408" s="6"/>
      <c r="D408" s="53"/>
      <c r="E408" s="2"/>
      <c r="F408" s="2"/>
      <c r="G408" s="162"/>
      <c r="H408" s="20"/>
      <c r="I408" s="191"/>
    </row>
    <row r="409" spans="2:9" ht="14" thickBot="1" x14ac:dyDescent="0.2">
      <c r="B409" s="33"/>
      <c r="C409" s="34"/>
      <c r="D409" s="98"/>
      <c r="E409" s="21"/>
      <c r="F409" s="99"/>
      <c r="G409" s="23"/>
      <c r="H409" s="167"/>
      <c r="I409" s="177"/>
    </row>
    <row r="410" spans="2:9" ht="14" thickBot="1" x14ac:dyDescent="0.2">
      <c r="B410" s="1"/>
      <c r="C410" s="1"/>
      <c r="D410" s="1"/>
      <c r="E410" s="1"/>
      <c r="F410" s="1"/>
      <c r="G410" s="1"/>
      <c r="H410" s="224" t="s">
        <v>26</v>
      </c>
      <c r="I410" s="177">
        <f>SUM(H408:H408)</f>
        <v>0</v>
      </c>
    </row>
    <row r="411" spans="2:9" ht="14" thickBot="1" x14ac:dyDescent="0.2">
      <c r="B411" s="28" t="s">
        <v>37</v>
      </c>
      <c r="C411" s="28"/>
      <c r="D411" s="1"/>
      <c r="E411" s="1"/>
      <c r="F411" s="1"/>
      <c r="G411" s="1"/>
      <c r="H411" s="225"/>
      <c r="I411" s="225"/>
    </row>
    <row r="412" spans="2:9" x14ac:dyDescent="0.15">
      <c r="B412" s="29" t="s">
        <v>38</v>
      </c>
      <c r="C412" s="30"/>
      <c r="D412" s="31" t="s">
        <v>39</v>
      </c>
      <c r="E412" s="209" t="s">
        <v>40</v>
      </c>
      <c r="F412" s="19" t="s">
        <v>41</v>
      </c>
      <c r="G412" s="31" t="s">
        <v>24</v>
      </c>
      <c r="H412" s="226" t="s">
        <v>25</v>
      </c>
      <c r="I412" s="222"/>
    </row>
    <row r="413" spans="2:9" x14ac:dyDescent="0.15">
      <c r="B413" s="4" t="s">
        <v>512</v>
      </c>
      <c r="C413" s="24"/>
      <c r="D413" s="32">
        <f>'MANO DE OBRA'!E15</f>
        <v>95333</v>
      </c>
      <c r="E413" s="168">
        <v>1.75</v>
      </c>
      <c r="F413" s="20">
        <f>+E413*D413</f>
        <v>166832.75</v>
      </c>
      <c r="G413" s="20">
        <v>30</v>
      </c>
      <c r="H413" s="169">
        <f>+F413/G413</f>
        <v>5561.0916666666662</v>
      </c>
      <c r="I413" s="191"/>
    </row>
    <row r="414" spans="2:9" x14ac:dyDescent="0.15">
      <c r="B414" s="4" t="s">
        <v>55</v>
      </c>
      <c r="C414" s="24"/>
      <c r="D414" s="32">
        <f>'MANO DE OBRA'!E14*2</f>
        <v>104000</v>
      </c>
      <c r="E414" s="168">
        <v>1.75</v>
      </c>
      <c r="F414" s="20">
        <f>+E414*D414</f>
        <v>182000</v>
      </c>
      <c r="G414" s="20">
        <v>30</v>
      </c>
      <c r="H414" s="169">
        <f>+F414/G414</f>
        <v>6066.666666666667</v>
      </c>
      <c r="I414" s="191"/>
    </row>
    <row r="415" spans="2:9" ht="14" thickBot="1" x14ac:dyDescent="0.2">
      <c r="B415" s="33"/>
      <c r="C415" s="34"/>
      <c r="D415" s="22"/>
      <c r="E415" s="27"/>
      <c r="F415" s="27"/>
      <c r="G415" s="27"/>
      <c r="H415" s="228"/>
      <c r="I415" s="177"/>
    </row>
    <row r="416" spans="2:9" ht="14" thickBot="1" x14ac:dyDescent="0.2">
      <c r="B416" s="1"/>
      <c r="C416" s="1"/>
      <c r="D416" s="1"/>
      <c r="E416" s="1"/>
      <c r="F416" s="1"/>
      <c r="G416" s="1"/>
      <c r="H416" s="224" t="s">
        <v>26</v>
      </c>
      <c r="I416" s="163">
        <f>SUM(H413:H415)</f>
        <v>11627.758333333333</v>
      </c>
    </row>
    <row r="417" spans="2:10" ht="14" thickBot="1" x14ac:dyDescent="0.2">
      <c r="B417" s="1"/>
      <c r="C417" s="1"/>
      <c r="D417" s="1"/>
      <c r="E417" s="1"/>
      <c r="F417" s="1"/>
      <c r="G417" s="1"/>
      <c r="H417" s="229"/>
      <c r="I417" s="172"/>
    </row>
    <row r="418" spans="2:10" ht="15" thickBot="1" x14ac:dyDescent="0.2">
      <c r="B418" s="1"/>
      <c r="C418" s="1"/>
      <c r="D418" s="1"/>
      <c r="E418" s="1"/>
      <c r="F418" s="35" t="s">
        <v>43</v>
      </c>
      <c r="G418" s="36"/>
      <c r="H418" s="187"/>
      <c r="I418" s="232">
        <f>ROUND((I399+I405+I410+I416),0)</f>
        <v>12209</v>
      </c>
    </row>
    <row r="419" spans="2:10" x14ac:dyDescent="0.15">
      <c r="B419" s="12"/>
      <c r="C419" s="12"/>
      <c r="D419" s="1"/>
      <c r="E419" s="1"/>
      <c r="F419" s="1"/>
      <c r="G419" s="1"/>
      <c r="H419" s="172"/>
      <c r="I419" s="172"/>
    </row>
    <row r="420" spans="2:10" x14ac:dyDescent="0.15">
      <c r="B420" s="16"/>
      <c r="C420" s="16"/>
      <c r="D420" s="16"/>
      <c r="E420" s="16"/>
      <c r="F420" s="16"/>
      <c r="G420" s="61"/>
      <c r="H420" s="173"/>
      <c r="I420" s="172"/>
    </row>
    <row r="421" spans="2:10" x14ac:dyDescent="0.15">
      <c r="B421" s="1"/>
      <c r="C421" s="1"/>
      <c r="D421" s="1"/>
      <c r="E421" s="1"/>
      <c r="F421" s="1"/>
      <c r="G421" s="161"/>
      <c r="H421" s="172"/>
      <c r="I421" s="172"/>
    </row>
    <row r="422" spans="2:10" x14ac:dyDescent="0.15">
      <c r="B422" s="1"/>
      <c r="C422" s="1"/>
      <c r="D422" s="1"/>
      <c r="E422" s="1"/>
      <c r="F422" s="1"/>
      <c r="G422" s="161"/>
      <c r="H422" s="172"/>
      <c r="I422" s="172"/>
    </row>
    <row r="423" spans="2:10" x14ac:dyDescent="0.15">
      <c r="B423" s="1"/>
      <c r="C423" s="1"/>
      <c r="D423" s="1"/>
      <c r="E423" s="1"/>
      <c r="F423" s="1"/>
      <c r="G423" s="161"/>
      <c r="H423" s="172"/>
      <c r="I423" s="172"/>
    </row>
    <row r="424" spans="2:10" ht="14" x14ac:dyDescent="0.15">
      <c r="B424" s="102"/>
      <c r="C424" s="1"/>
      <c r="D424" s="1"/>
      <c r="E424" s="1"/>
      <c r="F424" s="1"/>
      <c r="G424" s="1"/>
      <c r="H424" s="1"/>
      <c r="I424" s="172"/>
    </row>
    <row r="425" spans="2:10" ht="14" x14ac:dyDescent="0.15">
      <c r="B425" s="83"/>
      <c r="C425" s="11"/>
      <c r="D425" s="1"/>
      <c r="E425" s="916"/>
      <c r="F425" s="916"/>
      <c r="G425" s="916"/>
      <c r="H425" s="916"/>
      <c r="I425" s="171"/>
    </row>
    <row r="426" spans="2:10" ht="14" x14ac:dyDescent="0.15">
      <c r="B426" s="102"/>
      <c r="C426" s="83"/>
      <c r="D426" s="84"/>
      <c r="E426" s="83"/>
      <c r="F426" s="83"/>
      <c r="G426" s="102"/>
      <c r="H426" s="83"/>
      <c r="I426" s="85"/>
      <c r="J426" s="85"/>
    </row>
    <row r="427" spans="2:10" ht="14" x14ac:dyDescent="0.15">
      <c r="B427" s="83"/>
      <c r="C427" s="83"/>
      <c r="D427" s="84"/>
      <c r="E427" s="83"/>
      <c r="F427" s="83"/>
      <c r="G427" s="119"/>
      <c r="H427" s="83"/>
      <c r="I427" s="85"/>
      <c r="J427" s="85"/>
    </row>
    <row r="428" spans="2:10" x14ac:dyDescent="0.15">
      <c r="B428" s="11"/>
      <c r="C428" s="11"/>
      <c r="D428" s="11"/>
      <c r="E428" s="11"/>
      <c r="F428" s="11"/>
      <c r="G428" s="11"/>
      <c r="H428" s="11"/>
      <c r="I428" s="11"/>
    </row>
    <row r="429" spans="2:10" x14ac:dyDescent="0.15">
      <c r="B429" s="11"/>
      <c r="C429" s="11"/>
      <c r="D429" s="11"/>
      <c r="E429" s="11"/>
      <c r="F429" s="11"/>
      <c r="G429" s="11"/>
      <c r="H429" s="11"/>
      <c r="I429" s="11"/>
    </row>
    <row r="435" spans="2:10" ht="14" x14ac:dyDescent="0.15">
      <c r="B435" s="102"/>
      <c r="C435" s="83"/>
      <c r="D435" s="84"/>
      <c r="E435" s="83"/>
      <c r="F435" s="83"/>
      <c r="G435" s="103"/>
      <c r="H435" s="83"/>
      <c r="I435" s="85"/>
      <c r="J435" s="85"/>
    </row>
    <row r="436" spans="2:10" ht="14" x14ac:dyDescent="0.15">
      <c r="B436" s="102"/>
      <c r="C436" s="83"/>
      <c r="D436" s="84"/>
      <c r="E436" s="83"/>
      <c r="F436" s="83"/>
      <c r="G436" s="103"/>
      <c r="H436" s="83"/>
      <c r="I436" s="85"/>
      <c r="J436" s="85"/>
    </row>
    <row r="437" spans="2:10" ht="14" x14ac:dyDescent="0.15">
      <c r="B437" s="83"/>
      <c r="C437" s="83"/>
      <c r="D437" s="84"/>
      <c r="E437" s="83"/>
      <c r="F437" s="83"/>
      <c r="G437" s="104"/>
      <c r="H437" s="83"/>
      <c r="I437" s="85"/>
      <c r="J437" s="85"/>
    </row>
    <row r="438" spans="2:10" ht="14" x14ac:dyDescent="0.15">
      <c r="B438" s="83"/>
      <c r="C438" s="83"/>
      <c r="D438" s="84"/>
      <c r="E438" s="83"/>
      <c r="F438" s="83"/>
      <c r="G438" s="104"/>
      <c r="H438" s="83"/>
      <c r="I438" s="85"/>
      <c r="J438" s="85"/>
    </row>
    <row r="439" spans="2:10" ht="15" thickBot="1" x14ac:dyDescent="0.2">
      <c r="B439" s="83"/>
    </row>
    <row r="440" spans="2:10" s="90" customFormat="1" ht="21.75" customHeight="1" x14ac:dyDescent="0.2">
      <c r="B440" s="885" t="s">
        <v>874</v>
      </c>
      <c r="C440" s="886"/>
      <c r="D440" s="886"/>
      <c r="E440" s="886"/>
      <c r="F440" s="887"/>
      <c r="G440" s="89"/>
      <c r="H440" s="931" t="s">
        <v>20</v>
      </c>
      <c r="I440" s="932"/>
    </row>
    <row r="441" spans="2:10" s="90" customFormat="1" ht="21" customHeight="1" x14ac:dyDescent="0.2">
      <c r="B441" s="888" t="s">
        <v>875</v>
      </c>
      <c r="C441" s="889"/>
      <c r="D441" s="889"/>
      <c r="E441" s="889"/>
      <c r="F441" s="890"/>
      <c r="G441" s="91"/>
      <c r="H441" s="933"/>
      <c r="I441" s="934"/>
    </row>
    <row r="442" spans="2:10" s="90" customFormat="1" ht="15" customHeight="1" x14ac:dyDescent="0.2">
      <c r="B442" s="906" t="s">
        <v>876</v>
      </c>
      <c r="C442" s="907"/>
      <c r="D442" s="907"/>
      <c r="E442" s="907"/>
      <c r="F442" s="908"/>
      <c r="G442" s="91"/>
      <c r="H442" s="935" t="s">
        <v>887</v>
      </c>
      <c r="I442" s="939"/>
    </row>
    <row r="443" spans="2:10" s="90" customFormat="1" ht="15.75" customHeight="1" thickBot="1" x14ac:dyDescent="0.25">
      <c r="B443" s="909"/>
      <c r="C443" s="910"/>
      <c r="D443" s="910"/>
      <c r="E443" s="910"/>
      <c r="F443" s="911"/>
      <c r="G443" s="89"/>
      <c r="H443" s="935"/>
      <c r="I443" s="939"/>
    </row>
    <row r="444" spans="2:10" ht="15.75" customHeight="1" thickBot="1" x14ac:dyDescent="0.2">
      <c r="B444" s="15"/>
      <c r="C444" s="16"/>
      <c r="D444" s="1"/>
      <c r="E444" s="1"/>
      <c r="F444" s="1"/>
      <c r="G444" s="1"/>
      <c r="H444" s="935"/>
      <c r="I444" s="939"/>
    </row>
    <row r="445" spans="2:10" ht="15.75" customHeight="1" x14ac:dyDescent="0.15">
      <c r="B445" s="922" t="s">
        <v>836</v>
      </c>
      <c r="C445" s="923"/>
      <c r="D445" s="923"/>
      <c r="E445" s="923"/>
      <c r="F445" s="924"/>
      <c r="G445" s="1"/>
      <c r="H445" s="935"/>
      <c r="I445" s="939"/>
    </row>
    <row r="446" spans="2:10" ht="15" customHeight="1" x14ac:dyDescent="0.15">
      <c r="B446" s="925"/>
      <c r="C446" s="926"/>
      <c r="D446" s="926"/>
      <c r="E446" s="926"/>
      <c r="F446" s="927"/>
      <c r="H446" s="935"/>
      <c r="I446" s="939"/>
    </row>
    <row r="447" spans="2:10" ht="15" customHeight="1" x14ac:dyDescent="0.15">
      <c r="B447" s="925"/>
      <c r="C447" s="926"/>
      <c r="D447" s="926"/>
      <c r="E447" s="926"/>
      <c r="F447" s="927"/>
      <c r="G447" s="11"/>
      <c r="H447" s="935"/>
      <c r="I447" s="939"/>
    </row>
    <row r="448" spans="2:10" ht="13.5" customHeight="1" thickBot="1" x14ac:dyDescent="0.2">
      <c r="B448" s="928"/>
      <c r="C448" s="929"/>
      <c r="D448" s="929"/>
      <c r="E448" s="929"/>
      <c r="F448" s="930"/>
      <c r="H448" s="64" t="s">
        <v>45</v>
      </c>
      <c r="I448" s="17" t="s">
        <v>5</v>
      </c>
    </row>
    <row r="449" spans="2:9" x14ac:dyDescent="0.15">
      <c r="B449" s="18"/>
      <c r="C449" s="18"/>
      <c r="D449" s="1"/>
      <c r="E449" s="18"/>
      <c r="F449" s="18"/>
      <c r="G449" s="18"/>
      <c r="H449" s="18"/>
      <c r="I449" s="1"/>
    </row>
    <row r="450" spans="2:9" ht="14" thickBot="1" x14ac:dyDescent="0.2">
      <c r="B450" s="12" t="s">
        <v>21</v>
      </c>
      <c r="C450" s="12"/>
      <c r="D450" s="1"/>
      <c r="E450" s="1"/>
      <c r="F450" s="1"/>
      <c r="G450" s="1"/>
      <c r="H450" s="1"/>
      <c r="I450" s="1"/>
    </row>
    <row r="451" spans="2:9" x14ac:dyDescent="0.15">
      <c r="B451" s="903" t="s">
        <v>22</v>
      </c>
      <c r="C451" s="904"/>
      <c r="D451" s="905"/>
      <c r="E451" s="209" t="s">
        <v>23</v>
      </c>
      <c r="F451" s="19" t="s">
        <v>623</v>
      </c>
      <c r="G451" s="209" t="s">
        <v>24</v>
      </c>
      <c r="H451" s="208" t="s">
        <v>25</v>
      </c>
      <c r="I451" s="222"/>
    </row>
    <row r="452" spans="2:9" ht="15" customHeight="1" x14ac:dyDescent="0.15">
      <c r="B452" s="897" t="s">
        <v>56</v>
      </c>
      <c r="C452" s="898"/>
      <c r="D452" s="899"/>
      <c r="E452" s="5"/>
      <c r="F452" s="164"/>
      <c r="G452" s="20"/>
      <c r="H452" s="165">
        <f>I470*0.05</f>
        <v>606.66666666666674</v>
      </c>
      <c r="I452" s="191"/>
    </row>
    <row r="453" spans="2:9" ht="14" thickBot="1" x14ac:dyDescent="0.2">
      <c r="B453" s="900"/>
      <c r="C453" s="901"/>
      <c r="D453" s="902"/>
      <c r="E453" s="21"/>
      <c r="F453" s="22"/>
      <c r="G453" s="23"/>
      <c r="H453" s="223"/>
      <c r="I453" s="177"/>
    </row>
    <row r="454" spans="2:9" ht="14" thickBot="1" x14ac:dyDescent="0.2">
      <c r="B454" s="1"/>
      <c r="C454" s="1"/>
      <c r="D454" s="1"/>
      <c r="E454" s="1"/>
      <c r="F454" s="1"/>
      <c r="G454" s="1"/>
      <c r="H454" s="224" t="s">
        <v>26</v>
      </c>
      <c r="I454" s="163">
        <f>SUM(H452:H452)</f>
        <v>606.66666666666674</v>
      </c>
    </row>
    <row r="455" spans="2:9" ht="14" thickBot="1" x14ac:dyDescent="0.2">
      <c r="B455" s="12" t="s">
        <v>27</v>
      </c>
      <c r="C455" s="12"/>
      <c r="D455" s="1"/>
      <c r="E455" s="1"/>
      <c r="F455" s="1"/>
      <c r="G455" s="1"/>
      <c r="H455" s="225"/>
      <c r="I455" s="225"/>
    </row>
    <row r="456" spans="2:9" x14ac:dyDescent="0.15">
      <c r="B456" s="903" t="s">
        <v>22</v>
      </c>
      <c r="C456" s="904"/>
      <c r="D456" s="905"/>
      <c r="E456" s="209" t="s">
        <v>28</v>
      </c>
      <c r="F456" s="209" t="s">
        <v>29</v>
      </c>
      <c r="G456" s="209" t="s">
        <v>30</v>
      </c>
      <c r="H456" s="226" t="s">
        <v>25</v>
      </c>
      <c r="I456" s="222"/>
    </row>
    <row r="457" spans="2:9" x14ac:dyDescent="0.15">
      <c r="B457" s="4"/>
      <c r="C457" s="24"/>
      <c r="D457" s="6"/>
      <c r="E457" s="3"/>
      <c r="F457" s="164"/>
      <c r="G457" s="50"/>
      <c r="H457" s="165"/>
      <c r="I457" s="191"/>
    </row>
    <row r="458" spans="2:9" x14ac:dyDescent="0.15">
      <c r="B458" s="4"/>
      <c r="C458" s="24"/>
      <c r="D458" s="6"/>
      <c r="E458" s="5"/>
      <c r="F458" s="164"/>
      <c r="G458" s="182"/>
      <c r="H458" s="186"/>
      <c r="I458" s="191"/>
    </row>
    <row r="459" spans="2:9" ht="14" thickBot="1" x14ac:dyDescent="0.2">
      <c r="B459" s="25"/>
      <c r="C459" s="26"/>
      <c r="D459" s="27"/>
      <c r="E459" s="21"/>
      <c r="F459" s="22"/>
      <c r="G459" s="23"/>
      <c r="H459" s="223"/>
      <c r="I459" s="177"/>
    </row>
    <row r="460" spans="2:9" ht="14" thickBot="1" x14ac:dyDescent="0.2">
      <c r="B460" s="1"/>
      <c r="C460" s="1"/>
      <c r="D460" s="1"/>
      <c r="E460" s="1"/>
      <c r="F460" s="1"/>
      <c r="G460" s="1"/>
      <c r="H460" s="224" t="s">
        <v>26</v>
      </c>
      <c r="I460" s="163">
        <f>SUM(H457:H459)</f>
        <v>0</v>
      </c>
    </row>
    <row r="461" spans="2:9" ht="14" thickBot="1" x14ac:dyDescent="0.2">
      <c r="B461" s="28" t="s">
        <v>31</v>
      </c>
      <c r="C461" s="28"/>
      <c r="D461" s="26"/>
      <c r="E461" s="1"/>
      <c r="F461" s="1"/>
      <c r="G461" s="1"/>
      <c r="H461" s="225"/>
      <c r="I461" s="225"/>
    </row>
    <row r="462" spans="2:9" x14ac:dyDescent="0.15">
      <c r="B462" s="51" t="s">
        <v>32</v>
      </c>
      <c r="C462" s="86"/>
      <c r="D462" s="97" t="s">
        <v>33</v>
      </c>
      <c r="E462" s="209" t="s">
        <v>34</v>
      </c>
      <c r="F462" s="209" t="s">
        <v>35</v>
      </c>
      <c r="G462" s="209" t="s">
        <v>36</v>
      </c>
      <c r="H462" s="227" t="s">
        <v>25</v>
      </c>
      <c r="I462" s="222"/>
    </row>
    <row r="463" spans="2:9" x14ac:dyDescent="0.15">
      <c r="B463" s="4"/>
      <c r="C463" s="6"/>
      <c r="D463" s="53"/>
      <c r="E463" s="2"/>
      <c r="F463" s="2"/>
      <c r="G463" s="162"/>
      <c r="H463" s="20"/>
      <c r="I463" s="191"/>
    </row>
    <row r="464" spans="2:9" ht="14" thickBot="1" x14ac:dyDescent="0.2">
      <c r="B464" s="33"/>
      <c r="C464" s="34"/>
      <c r="D464" s="98"/>
      <c r="E464" s="21"/>
      <c r="F464" s="99"/>
      <c r="G464" s="23"/>
      <c r="H464" s="167"/>
      <c r="I464" s="177"/>
    </row>
    <row r="465" spans="2:9" ht="14" thickBot="1" x14ac:dyDescent="0.2">
      <c r="B465" s="1"/>
      <c r="C465" s="1"/>
      <c r="D465" s="1"/>
      <c r="E465" s="1"/>
      <c r="F465" s="1"/>
      <c r="G465" s="1"/>
      <c r="H465" s="224" t="s">
        <v>26</v>
      </c>
      <c r="I465" s="177">
        <f>SUM(H463:H463)</f>
        <v>0</v>
      </c>
    </row>
    <row r="466" spans="2:9" ht="14" thickBot="1" x14ac:dyDescent="0.2">
      <c r="B466" s="28" t="s">
        <v>37</v>
      </c>
      <c r="C466" s="28"/>
      <c r="D466" s="1"/>
      <c r="E466" s="1"/>
      <c r="F466" s="1"/>
      <c r="G466" s="1"/>
      <c r="H466" s="225"/>
      <c r="I466" s="225"/>
    </row>
    <row r="467" spans="2:9" x14ac:dyDescent="0.15">
      <c r="B467" s="29" t="s">
        <v>38</v>
      </c>
      <c r="C467" s="30"/>
      <c r="D467" s="31" t="s">
        <v>39</v>
      </c>
      <c r="E467" s="209" t="s">
        <v>40</v>
      </c>
      <c r="F467" s="19" t="s">
        <v>41</v>
      </c>
      <c r="G467" s="31" t="s">
        <v>24</v>
      </c>
      <c r="H467" s="226" t="s">
        <v>25</v>
      </c>
      <c r="I467" s="222"/>
    </row>
    <row r="468" spans="2:9" x14ac:dyDescent="0.15">
      <c r="B468" s="4" t="s">
        <v>520</v>
      </c>
      <c r="C468" s="24"/>
      <c r="D468" s="32">
        <f>'MANO DE OBRA'!E14*4</f>
        <v>208000</v>
      </c>
      <c r="E468" s="168">
        <v>1.75</v>
      </c>
      <c r="F468" s="20">
        <f>+E468*D468</f>
        <v>364000</v>
      </c>
      <c r="G468" s="20">
        <v>30</v>
      </c>
      <c r="H468" s="169">
        <f>+F468/G468</f>
        <v>12133.333333333334</v>
      </c>
      <c r="I468" s="191"/>
    </row>
    <row r="469" spans="2:9" ht="14" thickBot="1" x14ac:dyDescent="0.2">
      <c r="B469" s="33"/>
      <c r="C469" s="34"/>
      <c r="D469" s="22"/>
      <c r="E469" s="27"/>
      <c r="F469" s="27"/>
      <c r="G469" s="27"/>
      <c r="H469" s="228"/>
      <c r="I469" s="177"/>
    </row>
    <row r="470" spans="2:9" ht="14" thickBot="1" x14ac:dyDescent="0.2">
      <c r="B470" s="1"/>
      <c r="C470" s="1"/>
      <c r="D470" s="1"/>
      <c r="E470" s="1"/>
      <c r="F470" s="1"/>
      <c r="G470" s="1"/>
      <c r="H470" s="224" t="s">
        <v>26</v>
      </c>
      <c r="I470" s="163">
        <f>SUM(H468:H469)</f>
        <v>12133.333333333334</v>
      </c>
    </row>
    <row r="471" spans="2:9" ht="14" thickBot="1" x14ac:dyDescent="0.2">
      <c r="B471" s="1"/>
      <c r="C471" s="1"/>
      <c r="D471" s="1"/>
      <c r="E471" s="1"/>
      <c r="F471" s="1"/>
      <c r="G471" s="1"/>
      <c r="H471" s="229"/>
      <c r="I471" s="172"/>
    </row>
    <row r="472" spans="2:9" ht="15" thickBot="1" x14ac:dyDescent="0.2">
      <c r="B472" s="1"/>
      <c r="C472" s="1"/>
      <c r="D472" s="1"/>
      <c r="E472" s="1"/>
      <c r="F472" s="35" t="s">
        <v>43</v>
      </c>
      <c r="G472" s="36"/>
      <c r="H472" s="187"/>
      <c r="I472" s="232">
        <f>ROUND((I454+I460+I465+I470),0)</f>
        <v>12740</v>
      </c>
    </row>
    <row r="473" spans="2:9" x14ac:dyDescent="0.15">
      <c r="B473" s="12"/>
      <c r="C473" s="12"/>
      <c r="D473" s="1"/>
      <c r="E473" s="1"/>
      <c r="F473" s="1"/>
      <c r="G473" s="1"/>
      <c r="H473" s="172"/>
      <c r="I473" s="172"/>
    </row>
    <row r="474" spans="2:9" x14ac:dyDescent="0.15">
      <c r="B474" s="16"/>
      <c r="C474" s="16"/>
      <c r="D474" s="16"/>
      <c r="E474" s="16"/>
      <c r="F474" s="16"/>
      <c r="G474" s="61"/>
      <c r="H474" s="173"/>
      <c r="I474" s="172"/>
    </row>
    <row r="475" spans="2:9" x14ac:dyDescent="0.15">
      <c r="B475" s="1"/>
      <c r="C475" s="1"/>
      <c r="D475" s="1"/>
      <c r="E475" s="1"/>
      <c r="F475" s="1"/>
      <c r="G475" s="161"/>
      <c r="H475" s="172"/>
      <c r="I475" s="172"/>
    </row>
    <row r="476" spans="2:9" x14ac:dyDescent="0.15">
      <c r="B476" s="1"/>
      <c r="C476" s="1"/>
      <c r="D476" s="1"/>
      <c r="E476" s="1"/>
      <c r="F476" s="1"/>
      <c r="G476" s="161"/>
      <c r="H476" s="172"/>
      <c r="I476" s="172"/>
    </row>
    <row r="477" spans="2:9" x14ac:dyDescent="0.15">
      <c r="B477" s="1"/>
      <c r="C477" s="1"/>
      <c r="D477" s="1"/>
      <c r="E477" s="1"/>
      <c r="F477" s="1"/>
      <c r="G477" s="161"/>
      <c r="H477" s="172"/>
      <c r="I477" s="172"/>
    </row>
    <row r="478" spans="2:9" x14ac:dyDescent="0.15">
      <c r="B478" s="1"/>
      <c r="C478" s="1"/>
      <c r="D478" s="1"/>
      <c r="E478" s="1"/>
      <c r="F478" s="1"/>
      <c r="G478" s="1"/>
      <c r="H478" s="37"/>
      <c r="I478" s="172"/>
    </row>
    <row r="479" spans="2:9" ht="14" x14ac:dyDescent="0.15">
      <c r="B479" s="102"/>
      <c r="C479" s="1"/>
      <c r="D479" s="1"/>
      <c r="E479" s="1"/>
      <c r="F479" s="1"/>
      <c r="G479" s="1"/>
      <c r="H479" s="1"/>
      <c r="I479" s="172"/>
    </row>
    <row r="480" spans="2:9" ht="14" x14ac:dyDescent="0.15">
      <c r="B480" s="83"/>
      <c r="C480" s="11"/>
      <c r="D480" s="1"/>
      <c r="E480" s="916"/>
      <c r="F480" s="916"/>
      <c r="G480" s="916"/>
      <c r="H480" s="916"/>
      <c r="I480" s="171"/>
    </row>
    <row r="481" spans="2:10" ht="14" x14ac:dyDescent="0.15">
      <c r="B481" s="102"/>
      <c r="C481" s="83"/>
      <c r="D481" s="84"/>
      <c r="E481" s="83"/>
      <c r="F481" s="83"/>
      <c r="G481" s="102"/>
      <c r="H481" s="83"/>
      <c r="I481" s="85"/>
      <c r="J481" s="85"/>
    </row>
    <row r="482" spans="2:10" ht="14" x14ac:dyDescent="0.15">
      <c r="B482" s="83"/>
      <c r="C482" s="83"/>
      <c r="D482" s="84"/>
      <c r="E482" s="83"/>
      <c r="F482" s="83"/>
      <c r="G482" s="119"/>
      <c r="H482" s="83"/>
      <c r="I482" s="85"/>
      <c r="J482" s="85"/>
    </row>
    <row r="483" spans="2:10" x14ac:dyDescent="0.15">
      <c r="B483" s="11"/>
      <c r="C483" s="11"/>
      <c r="D483" s="11"/>
      <c r="E483" s="11"/>
      <c r="F483" s="11"/>
      <c r="G483" s="11"/>
      <c r="H483" s="11"/>
      <c r="I483" s="11"/>
    </row>
    <row r="484" spans="2:10" x14ac:dyDescent="0.15">
      <c r="B484" s="11"/>
      <c r="C484" s="11"/>
      <c r="D484" s="11"/>
      <c r="E484" s="11"/>
      <c r="F484" s="11"/>
      <c r="G484" s="11"/>
      <c r="H484" s="11"/>
      <c r="I484" s="11"/>
    </row>
    <row r="485" spans="2:10" x14ac:dyDescent="0.15">
      <c r="B485" s="11"/>
      <c r="C485" s="11"/>
      <c r="D485" s="11"/>
      <c r="E485" s="11"/>
      <c r="F485" s="11"/>
      <c r="G485" s="11"/>
      <c r="H485" s="11"/>
      <c r="I485" s="11"/>
    </row>
    <row r="489" spans="2:10" ht="14" x14ac:dyDescent="0.15">
      <c r="B489" s="102"/>
      <c r="C489" s="83"/>
      <c r="D489" s="84"/>
      <c r="E489" s="83"/>
      <c r="F489" s="83"/>
      <c r="G489" s="103"/>
      <c r="H489" s="83"/>
      <c r="I489" s="85"/>
      <c r="J489" s="85"/>
    </row>
    <row r="490" spans="2:10" ht="14" x14ac:dyDescent="0.15">
      <c r="B490" s="102"/>
      <c r="C490" s="83"/>
      <c r="D490" s="84"/>
      <c r="E490" s="83"/>
      <c r="F490" s="83"/>
      <c r="G490" s="103"/>
      <c r="H490" s="83"/>
      <c r="I490" s="85"/>
      <c r="J490" s="85"/>
    </row>
    <row r="491" spans="2:10" ht="14" x14ac:dyDescent="0.15">
      <c r="B491" s="83"/>
      <c r="C491" s="83"/>
      <c r="D491" s="84"/>
      <c r="E491" s="83"/>
      <c r="F491" s="83"/>
      <c r="G491" s="104"/>
      <c r="H491" s="83"/>
      <c r="I491" s="85"/>
      <c r="J491" s="85"/>
    </row>
    <row r="492" spans="2:10" ht="14" x14ac:dyDescent="0.15">
      <c r="B492" s="83"/>
      <c r="C492" s="83"/>
      <c r="D492" s="84"/>
      <c r="E492" s="83"/>
      <c r="F492" s="83"/>
      <c r="G492" s="104"/>
      <c r="H492" s="83"/>
      <c r="I492" s="85"/>
      <c r="J492" s="85"/>
    </row>
    <row r="493" spans="2:10" ht="15" thickBot="1" x14ac:dyDescent="0.2">
      <c r="B493" s="83"/>
    </row>
    <row r="494" spans="2:10" s="90" customFormat="1" ht="21.75" customHeight="1" x14ac:dyDescent="0.2">
      <c r="B494" s="885" t="s">
        <v>874</v>
      </c>
      <c r="C494" s="886"/>
      <c r="D494" s="886"/>
      <c r="E494" s="886"/>
      <c r="F494" s="887"/>
      <c r="G494" s="89"/>
      <c r="H494" s="931" t="s">
        <v>20</v>
      </c>
      <c r="I494" s="932"/>
    </row>
    <row r="495" spans="2:10" s="90" customFormat="1" ht="21" customHeight="1" x14ac:dyDescent="0.2">
      <c r="B495" s="888" t="s">
        <v>875</v>
      </c>
      <c r="C495" s="889"/>
      <c r="D495" s="889"/>
      <c r="E495" s="889"/>
      <c r="F495" s="890"/>
      <c r="G495" s="91"/>
      <c r="H495" s="933"/>
      <c r="I495" s="934"/>
    </row>
    <row r="496" spans="2:10" s="90" customFormat="1" ht="15" customHeight="1" x14ac:dyDescent="0.2">
      <c r="B496" s="906" t="s">
        <v>876</v>
      </c>
      <c r="C496" s="907"/>
      <c r="D496" s="907"/>
      <c r="E496" s="907"/>
      <c r="F496" s="908"/>
      <c r="G496" s="91"/>
      <c r="H496" s="935" t="s">
        <v>987</v>
      </c>
      <c r="I496" s="939"/>
    </row>
    <row r="497" spans="2:9" s="90" customFormat="1" ht="15.75" customHeight="1" thickBot="1" x14ac:dyDescent="0.25">
      <c r="B497" s="909"/>
      <c r="C497" s="910"/>
      <c r="D497" s="910"/>
      <c r="E497" s="910"/>
      <c r="F497" s="911"/>
      <c r="G497" s="89"/>
      <c r="H497" s="935"/>
      <c r="I497" s="939"/>
    </row>
    <row r="498" spans="2:9" ht="15.75" customHeight="1" thickBot="1" x14ac:dyDescent="0.2">
      <c r="B498" s="15"/>
      <c r="C498" s="16"/>
      <c r="D498" s="1"/>
      <c r="E498" s="1"/>
      <c r="F498" s="1"/>
      <c r="G498" s="1"/>
      <c r="H498" s="935"/>
      <c r="I498" s="939"/>
    </row>
    <row r="499" spans="2:9" ht="15.75" customHeight="1" x14ac:dyDescent="0.15">
      <c r="B499" s="922" t="s">
        <v>836</v>
      </c>
      <c r="C499" s="923"/>
      <c r="D499" s="923"/>
      <c r="E499" s="923"/>
      <c r="F499" s="924"/>
      <c r="G499" s="1"/>
      <c r="H499" s="935"/>
      <c r="I499" s="939"/>
    </row>
    <row r="500" spans="2:9" ht="15" customHeight="1" x14ac:dyDescent="0.15">
      <c r="B500" s="925"/>
      <c r="C500" s="926"/>
      <c r="D500" s="926"/>
      <c r="E500" s="926"/>
      <c r="F500" s="927"/>
      <c r="H500" s="935"/>
      <c r="I500" s="939"/>
    </row>
    <row r="501" spans="2:9" ht="15" customHeight="1" x14ac:dyDescent="0.15">
      <c r="B501" s="925"/>
      <c r="C501" s="926"/>
      <c r="D501" s="926"/>
      <c r="E501" s="926"/>
      <c r="F501" s="927"/>
      <c r="G501" s="11"/>
      <c r="H501" s="935"/>
      <c r="I501" s="939"/>
    </row>
    <row r="502" spans="2:9" ht="13.5" customHeight="1" thickBot="1" x14ac:dyDescent="0.2">
      <c r="B502" s="928"/>
      <c r="C502" s="929"/>
      <c r="D502" s="929"/>
      <c r="E502" s="929"/>
      <c r="F502" s="930"/>
      <c r="H502" s="64" t="s">
        <v>45</v>
      </c>
      <c r="I502" s="17" t="s">
        <v>7</v>
      </c>
    </row>
    <row r="503" spans="2:9" x14ac:dyDescent="0.15">
      <c r="B503" s="18"/>
      <c r="C503" s="18"/>
      <c r="D503" s="1"/>
      <c r="E503" s="18"/>
      <c r="F503" s="18"/>
      <c r="G503" s="18"/>
      <c r="H503" s="18"/>
      <c r="I503" s="1"/>
    </row>
    <row r="504" spans="2:9" ht="14" thickBot="1" x14ac:dyDescent="0.2">
      <c r="B504" s="12" t="s">
        <v>21</v>
      </c>
      <c r="C504" s="12"/>
      <c r="D504" s="1"/>
      <c r="E504" s="1"/>
      <c r="F504" s="1"/>
      <c r="G504" s="1"/>
      <c r="H504" s="1"/>
      <c r="I504" s="1"/>
    </row>
    <row r="505" spans="2:9" x14ac:dyDescent="0.15">
      <c r="B505" s="903" t="s">
        <v>22</v>
      </c>
      <c r="C505" s="904"/>
      <c r="D505" s="905"/>
      <c r="E505" s="209" t="s">
        <v>23</v>
      </c>
      <c r="F505" s="19" t="s">
        <v>623</v>
      </c>
      <c r="G505" s="209" t="s">
        <v>24</v>
      </c>
      <c r="H505" s="208" t="s">
        <v>25</v>
      </c>
      <c r="I505" s="222"/>
    </row>
    <row r="506" spans="2:9" ht="15" customHeight="1" x14ac:dyDescent="0.15">
      <c r="B506" s="897" t="s">
        <v>56</v>
      </c>
      <c r="C506" s="898"/>
      <c r="D506" s="899"/>
      <c r="E506" s="5"/>
      <c r="F506" s="164"/>
      <c r="G506" s="20"/>
      <c r="H506" s="165">
        <f>I524*0.05</f>
        <v>910</v>
      </c>
      <c r="I506" s="191"/>
    </row>
    <row r="507" spans="2:9" ht="14" thickBot="1" x14ac:dyDescent="0.2">
      <c r="B507" s="900"/>
      <c r="C507" s="901"/>
      <c r="D507" s="902"/>
      <c r="E507" s="21"/>
      <c r="F507" s="22"/>
      <c r="G507" s="23"/>
      <c r="H507" s="223"/>
      <c r="I507" s="177"/>
    </row>
    <row r="508" spans="2:9" ht="14" thickBot="1" x14ac:dyDescent="0.2">
      <c r="B508" s="1"/>
      <c r="C508" s="1"/>
      <c r="D508" s="1"/>
      <c r="E508" s="1"/>
      <c r="F508" s="1"/>
      <c r="G508" s="1"/>
      <c r="H508" s="224" t="s">
        <v>26</v>
      </c>
      <c r="I508" s="163">
        <f>SUM(H506:H506)</f>
        <v>910</v>
      </c>
    </row>
    <row r="509" spans="2:9" ht="14" thickBot="1" x14ac:dyDescent="0.2">
      <c r="B509" s="12" t="s">
        <v>27</v>
      </c>
      <c r="C509" s="12"/>
      <c r="D509" s="1"/>
      <c r="E509" s="1"/>
      <c r="F509" s="1"/>
      <c r="G509" s="1"/>
      <c r="H509" s="225"/>
      <c r="I509" s="225"/>
    </row>
    <row r="510" spans="2:9" x14ac:dyDescent="0.15">
      <c r="B510" s="903" t="s">
        <v>22</v>
      </c>
      <c r="C510" s="904"/>
      <c r="D510" s="905"/>
      <c r="E510" s="209" t="s">
        <v>28</v>
      </c>
      <c r="F510" s="209" t="s">
        <v>29</v>
      </c>
      <c r="G510" s="209" t="s">
        <v>30</v>
      </c>
      <c r="H510" s="226" t="s">
        <v>25</v>
      </c>
      <c r="I510" s="222"/>
    </row>
    <row r="511" spans="2:9" x14ac:dyDescent="0.15">
      <c r="B511" s="4"/>
      <c r="C511" s="24"/>
      <c r="D511" s="6"/>
      <c r="E511" s="3"/>
      <c r="F511" s="164"/>
      <c r="G511" s="50"/>
      <c r="H511" s="165"/>
      <c r="I511" s="191"/>
    </row>
    <row r="512" spans="2:9" x14ac:dyDescent="0.15">
      <c r="B512" s="4"/>
      <c r="C512" s="24"/>
      <c r="D512" s="6"/>
      <c r="E512" s="5"/>
      <c r="F512" s="164"/>
      <c r="G512" s="182"/>
      <c r="H512" s="186"/>
      <c r="I512" s="191"/>
    </row>
    <row r="513" spans="2:9" ht="14" thickBot="1" x14ac:dyDescent="0.2">
      <c r="B513" s="25"/>
      <c r="C513" s="26"/>
      <c r="D513" s="27"/>
      <c r="E513" s="21"/>
      <c r="F513" s="22"/>
      <c r="G513" s="23"/>
      <c r="H513" s="223"/>
      <c r="I513" s="177"/>
    </row>
    <row r="514" spans="2:9" ht="14" thickBot="1" x14ac:dyDescent="0.2">
      <c r="B514" s="1"/>
      <c r="C514" s="1"/>
      <c r="D514" s="1"/>
      <c r="E514" s="1"/>
      <c r="F514" s="1"/>
      <c r="G514" s="1"/>
      <c r="H514" s="224" t="s">
        <v>26</v>
      </c>
      <c r="I514" s="163">
        <f>SUM(H511:H513)</f>
        <v>0</v>
      </c>
    </row>
    <row r="515" spans="2:9" ht="14" thickBot="1" x14ac:dyDescent="0.2">
      <c r="B515" s="28" t="s">
        <v>31</v>
      </c>
      <c r="C515" s="28"/>
      <c r="D515" s="26"/>
      <c r="E515" s="1"/>
      <c r="F515" s="1"/>
      <c r="G515" s="1"/>
      <c r="H515" s="225"/>
      <c r="I515" s="225"/>
    </row>
    <row r="516" spans="2:9" x14ac:dyDescent="0.15">
      <c r="B516" s="51" t="s">
        <v>32</v>
      </c>
      <c r="C516" s="86"/>
      <c r="D516" s="97" t="s">
        <v>33</v>
      </c>
      <c r="E516" s="209" t="s">
        <v>34</v>
      </c>
      <c r="F516" s="209" t="s">
        <v>35</v>
      </c>
      <c r="G516" s="209" t="s">
        <v>36</v>
      </c>
      <c r="H516" s="227" t="s">
        <v>25</v>
      </c>
      <c r="I516" s="222"/>
    </row>
    <row r="517" spans="2:9" x14ac:dyDescent="0.15">
      <c r="B517" s="4"/>
      <c r="C517" s="6"/>
      <c r="D517" s="53"/>
      <c r="E517" s="2"/>
      <c r="F517" s="2"/>
      <c r="G517" s="162"/>
      <c r="H517" s="20"/>
      <c r="I517" s="191"/>
    </row>
    <row r="518" spans="2:9" ht="14" thickBot="1" x14ac:dyDescent="0.2">
      <c r="B518" s="33"/>
      <c r="C518" s="34"/>
      <c r="D518" s="98"/>
      <c r="E518" s="21"/>
      <c r="F518" s="99"/>
      <c r="G518" s="23"/>
      <c r="H518" s="167"/>
      <c r="I518" s="177"/>
    </row>
    <row r="519" spans="2:9" ht="14" thickBot="1" x14ac:dyDescent="0.2">
      <c r="B519" s="1"/>
      <c r="C519" s="1"/>
      <c r="D519" s="1"/>
      <c r="E519" s="1"/>
      <c r="F519" s="1"/>
      <c r="G519" s="1"/>
      <c r="H519" s="224" t="s">
        <v>26</v>
      </c>
      <c r="I519" s="177">
        <f>SUM(H517:H517)</f>
        <v>0</v>
      </c>
    </row>
    <row r="520" spans="2:9" ht="14" thickBot="1" x14ac:dyDescent="0.2">
      <c r="B520" s="28" t="s">
        <v>37</v>
      </c>
      <c r="C520" s="28"/>
      <c r="D520" s="1"/>
      <c r="E520" s="1"/>
      <c r="F520" s="1"/>
      <c r="G520" s="1"/>
      <c r="H520" s="225"/>
      <c r="I520" s="225"/>
    </row>
    <row r="521" spans="2:9" x14ac:dyDescent="0.15">
      <c r="B521" s="29" t="s">
        <v>38</v>
      </c>
      <c r="C521" s="30"/>
      <c r="D521" s="31" t="s">
        <v>39</v>
      </c>
      <c r="E521" s="209" t="s">
        <v>40</v>
      </c>
      <c r="F521" s="19" t="s">
        <v>41</v>
      </c>
      <c r="G521" s="31" t="s">
        <v>24</v>
      </c>
      <c r="H521" s="226" t="s">
        <v>25</v>
      </c>
      <c r="I521" s="222"/>
    </row>
    <row r="522" spans="2:9" x14ac:dyDescent="0.15">
      <c r="B522" s="4" t="s">
        <v>520</v>
      </c>
      <c r="C522" s="24"/>
      <c r="D522" s="32">
        <f>'MANO DE OBRA'!E14*4</f>
        <v>208000</v>
      </c>
      <c r="E522" s="168">
        <v>1.75</v>
      </c>
      <c r="F522" s="20">
        <f>+E522*D522</f>
        <v>364000</v>
      </c>
      <c r="G522" s="20">
        <v>20</v>
      </c>
      <c r="H522" s="169">
        <f>+F522/G522</f>
        <v>18200</v>
      </c>
      <c r="I522" s="191"/>
    </row>
    <row r="523" spans="2:9" ht="14" thickBot="1" x14ac:dyDescent="0.2">
      <c r="B523" s="33"/>
      <c r="C523" s="34"/>
      <c r="D523" s="22"/>
      <c r="E523" s="27"/>
      <c r="F523" s="27"/>
      <c r="G523" s="27"/>
      <c r="H523" s="228"/>
      <c r="I523" s="177"/>
    </row>
    <row r="524" spans="2:9" ht="14" thickBot="1" x14ac:dyDescent="0.2">
      <c r="B524" s="1"/>
      <c r="C524" s="1"/>
      <c r="D524" s="1"/>
      <c r="E524" s="1"/>
      <c r="F524" s="1"/>
      <c r="G524" s="1"/>
      <c r="H524" s="224" t="s">
        <v>26</v>
      </c>
      <c r="I524" s="163">
        <f>SUM(H522:H523)</f>
        <v>18200</v>
      </c>
    </row>
    <row r="525" spans="2:9" ht="14" thickBot="1" x14ac:dyDescent="0.2">
      <c r="B525" s="1"/>
      <c r="C525" s="1"/>
      <c r="D525" s="1"/>
      <c r="E525" s="1"/>
      <c r="F525" s="1"/>
      <c r="G525" s="1"/>
      <c r="H525" s="229"/>
      <c r="I525" s="172"/>
    </row>
    <row r="526" spans="2:9" ht="15" thickBot="1" x14ac:dyDescent="0.2">
      <c r="B526" s="1"/>
      <c r="C526" s="1"/>
      <c r="D526" s="1"/>
      <c r="E526" s="1"/>
      <c r="F526" s="35" t="s">
        <v>43</v>
      </c>
      <c r="G526" s="36"/>
      <c r="H526" s="187"/>
      <c r="I526" s="232">
        <f>ROUND((I508+I514+I519+I524),0)</f>
        <v>19110</v>
      </c>
    </row>
    <row r="527" spans="2:9" x14ac:dyDescent="0.15">
      <c r="B527" s="12"/>
      <c r="C527" s="12"/>
      <c r="D527" s="1"/>
      <c r="E527" s="1"/>
      <c r="F527" s="1"/>
      <c r="G527" s="1"/>
      <c r="H527" s="172"/>
      <c r="I527" s="172"/>
    </row>
    <row r="528" spans="2:9" x14ac:dyDescent="0.15">
      <c r="B528" s="16"/>
      <c r="C528" s="16"/>
      <c r="D528" s="16"/>
      <c r="E528" s="16"/>
      <c r="F528" s="16"/>
      <c r="G528" s="61"/>
      <c r="H528" s="173"/>
      <c r="I528" s="172"/>
    </row>
    <row r="529" spans="2:10" x14ac:dyDescent="0.15">
      <c r="B529" s="1"/>
      <c r="C529" s="1"/>
      <c r="D529" s="1"/>
      <c r="E529" s="1"/>
      <c r="F529" s="1"/>
      <c r="G529" s="161"/>
      <c r="H529" s="172"/>
      <c r="I529" s="172"/>
    </row>
    <row r="530" spans="2:10" x14ac:dyDescent="0.15">
      <c r="B530" s="1"/>
      <c r="C530" s="1"/>
      <c r="D530" s="1"/>
      <c r="E530" s="1"/>
      <c r="F530" s="1"/>
      <c r="G530" s="161"/>
      <c r="H530" s="172"/>
      <c r="I530" s="172"/>
    </row>
    <row r="531" spans="2:10" x14ac:dyDescent="0.15">
      <c r="B531" s="1"/>
      <c r="C531" s="1"/>
      <c r="D531" s="1"/>
      <c r="E531" s="1"/>
      <c r="F531" s="1"/>
      <c r="G531" s="161"/>
      <c r="H531" s="172"/>
      <c r="I531" s="172"/>
    </row>
    <row r="532" spans="2:10" x14ac:dyDescent="0.15">
      <c r="B532" s="1"/>
      <c r="C532" s="1"/>
      <c r="D532" s="1"/>
      <c r="E532" s="1"/>
      <c r="F532" s="1"/>
      <c r="G532" s="1"/>
      <c r="H532" s="37"/>
      <c r="I532" s="172"/>
    </row>
    <row r="533" spans="2:10" ht="14" x14ac:dyDescent="0.15">
      <c r="B533" s="102"/>
      <c r="C533" s="1"/>
      <c r="D533" s="1"/>
      <c r="E533" s="1"/>
      <c r="F533" s="1"/>
      <c r="G533" s="1"/>
      <c r="H533" s="1"/>
      <c r="I533" s="172"/>
    </row>
    <row r="534" spans="2:10" ht="14" x14ac:dyDescent="0.15">
      <c r="B534" s="83"/>
      <c r="C534" s="11"/>
      <c r="D534" s="1"/>
      <c r="E534" s="916"/>
      <c r="F534" s="916"/>
      <c r="G534" s="916"/>
      <c r="H534" s="916"/>
      <c r="I534" s="171"/>
    </row>
    <row r="535" spans="2:10" ht="14" x14ac:dyDescent="0.15">
      <c r="B535" s="102"/>
      <c r="C535" s="83"/>
      <c r="D535" s="84"/>
      <c r="E535" s="83"/>
      <c r="F535" s="83"/>
      <c r="G535" s="102"/>
      <c r="H535" s="83"/>
      <c r="I535" s="85"/>
      <c r="J535" s="85"/>
    </row>
    <row r="536" spans="2:10" ht="14" x14ac:dyDescent="0.15">
      <c r="B536" s="83"/>
      <c r="C536" s="83"/>
      <c r="D536" s="84"/>
      <c r="E536" s="83"/>
      <c r="F536" s="83"/>
      <c r="G536" s="119"/>
      <c r="H536" s="83"/>
      <c r="I536" s="85"/>
      <c r="J536" s="85"/>
    </row>
    <row r="537" spans="2:10" x14ac:dyDescent="0.15">
      <c r="B537" s="11"/>
      <c r="C537" s="11"/>
      <c r="D537" s="11"/>
      <c r="E537" s="11"/>
      <c r="F537" s="11"/>
      <c r="G537" s="11"/>
      <c r="H537" s="11"/>
      <c r="I537" s="11"/>
    </row>
    <row r="538" spans="2:10" x14ac:dyDescent="0.15">
      <c r="B538" s="11"/>
      <c r="C538" s="11"/>
      <c r="D538" s="11"/>
      <c r="E538" s="11"/>
      <c r="F538" s="11"/>
      <c r="G538" s="11"/>
      <c r="H538" s="11"/>
      <c r="I538" s="11"/>
    </row>
    <row r="539" spans="2:10" x14ac:dyDescent="0.15">
      <c r="B539" s="11"/>
      <c r="C539" s="11"/>
      <c r="D539" s="11"/>
      <c r="E539" s="11"/>
      <c r="F539" s="11"/>
      <c r="G539" s="11"/>
      <c r="H539" s="11"/>
      <c r="I539" s="11"/>
    </row>
    <row r="543" spans="2:10" ht="14" x14ac:dyDescent="0.15">
      <c r="B543" s="102"/>
      <c r="C543" s="83"/>
      <c r="D543" s="84"/>
      <c r="E543" s="83"/>
      <c r="F543" s="83"/>
      <c r="G543" s="103"/>
      <c r="H543" s="83"/>
      <c r="I543" s="85"/>
      <c r="J543" s="85"/>
    </row>
    <row r="544" spans="2:10" ht="14" x14ac:dyDescent="0.15">
      <c r="B544" s="102"/>
      <c r="C544" s="83"/>
      <c r="D544" s="84"/>
      <c r="E544" s="83"/>
      <c r="F544" s="83"/>
      <c r="G544" s="103"/>
      <c r="H544" s="83"/>
      <c r="I544" s="85"/>
      <c r="J544" s="85"/>
    </row>
    <row r="545" spans="2:12" ht="14" x14ac:dyDescent="0.15">
      <c r="B545" s="83"/>
      <c r="C545" s="83"/>
      <c r="D545" s="84"/>
      <c r="E545" s="83"/>
      <c r="F545" s="83"/>
      <c r="G545" s="104"/>
      <c r="H545" s="83"/>
      <c r="I545" s="85"/>
      <c r="J545" s="85"/>
    </row>
    <row r="546" spans="2:12" ht="14" x14ac:dyDescent="0.15">
      <c r="B546" s="83"/>
      <c r="C546" s="83"/>
      <c r="D546" s="84"/>
      <c r="E546" s="83"/>
      <c r="F546" s="83"/>
      <c r="G546" s="104"/>
      <c r="H546" s="83"/>
      <c r="I546" s="85"/>
      <c r="J546" s="85"/>
    </row>
    <row r="547" spans="2:12" ht="15" thickBot="1" x14ac:dyDescent="0.2">
      <c r="B547" s="83"/>
    </row>
    <row r="548" spans="2:12" s="90" customFormat="1" ht="21.75" customHeight="1" x14ac:dyDescent="0.2">
      <c r="B548" s="885" t="s">
        <v>874</v>
      </c>
      <c r="C548" s="886"/>
      <c r="D548" s="886"/>
      <c r="E548" s="886"/>
      <c r="F548" s="887"/>
      <c r="G548" s="89"/>
      <c r="H548" s="931" t="s">
        <v>20</v>
      </c>
      <c r="I548" s="932"/>
    </row>
    <row r="549" spans="2:12" s="90" customFormat="1" ht="21" customHeight="1" x14ac:dyDescent="0.2">
      <c r="B549" s="888" t="s">
        <v>875</v>
      </c>
      <c r="C549" s="889"/>
      <c r="D549" s="889"/>
      <c r="E549" s="889"/>
      <c r="F549" s="890"/>
      <c r="G549" s="91"/>
      <c r="H549" s="933"/>
      <c r="I549" s="934"/>
    </row>
    <row r="550" spans="2:12" s="90" customFormat="1" ht="15" customHeight="1" x14ac:dyDescent="0.2">
      <c r="B550" s="906" t="s">
        <v>876</v>
      </c>
      <c r="C550" s="907"/>
      <c r="D550" s="907"/>
      <c r="E550" s="907"/>
      <c r="F550" s="908"/>
      <c r="G550" s="91"/>
      <c r="H550" s="935" t="s">
        <v>1016</v>
      </c>
      <c r="I550" s="939"/>
    </row>
    <row r="551" spans="2:12" s="90" customFormat="1" ht="15.75" customHeight="1" thickBot="1" x14ac:dyDescent="0.25">
      <c r="B551" s="909"/>
      <c r="C551" s="910"/>
      <c r="D551" s="910"/>
      <c r="E551" s="910"/>
      <c r="F551" s="911"/>
      <c r="G551" s="89"/>
      <c r="H551" s="935"/>
      <c r="I551" s="939"/>
    </row>
    <row r="552" spans="2:12" ht="15.75" customHeight="1" thickBot="1" x14ac:dyDescent="0.2">
      <c r="B552" s="15"/>
      <c r="C552" s="16"/>
      <c r="D552" s="1"/>
      <c r="E552" s="1"/>
      <c r="F552" s="1"/>
      <c r="G552" s="1"/>
      <c r="H552" s="935"/>
      <c r="I552" s="939"/>
    </row>
    <row r="553" spans="2:12" ht="15.75" customHeight="1" x14ac:dyDescent="0.15">
      <c r="B553" s="922" t="s">
        <v>836</v>
      </c>
      <c r="C553" s="923"/>
      <c r="D553" s="923"/>
      <c r="E553" s="923"/>
      <c r="F553" s="924"/>
      <c r="G553" s="1"/>
      <c r="H553" s="935"/>
      <c r="I553" s="939"/>
    </row>
    <row r="554" spans="2:12" ht="15" customHeight="1" x14ac:dyDescent="0.15">
      <c r="B554" s="925"/>
      <c r="C554" s="926"/>
      <c r="D554" s="926"/>
      <c r="E554" s="926"/>
      <c r="F554" s="927"/>
      <c r="H554" s="935"/>
      <c r="I554" s="939"/>
    </row>
    <row r="555" spans="2:12" ht="15" customHeight="1" x14ac:dyDescent="0.15">
      <c r="B555" s="925"/>
      <c r="C555" s="926"/>
      <c r="D555" s="926"/>
      <c r="E555" s="926"/>
      <c r="F555" s="927"/>
      <c r="G555" s="11"/>
      <c r="H555" s="935"/>
      <c r="I555" s="939"/>
    </row>
    <row r="556" spans="2:12" ht="13.5" customHeight="1" thickBot="1" x14ac:dyDescent="0.2">
      <c r="B556" s="928"/>
      <c r="C556" s="929"/>
      <c r="D556" s="929"/>
      <c r="E556" s="929"/>
      <c r="F556" s="930"/>
      <c r="H556" s="189" t="s">
        <v>45</v>
      </c>
      <c r="I556" s="17" t="s">
        <v>5</v>
      </c>
    </row>
    <row r="557" spans="2:12" x14ac:dyDescent="0.15">
      <c r="B557" s="18"/>
      <c r="C557" s="18"/>
      <c r="D557" s="1"/>
      <c r="E557" s="18"/>
      <c r="F557" s="18"/>
      <c r="G557" s="18"/>
      <c r="H557" s="18"/>
      <c r="I557" s="1"/>
    </row>
    <row r="558" spans="2:12" ht="14" thickBot="1" x14ac:dyDescent="0.2">
      <c r="B558" s="12" t="s">
        <v>21</v>
      </c>
      <c r="C558" s="12"/>
      <c r="D558" s="1"/>
      <c r="E558" s="1"/>
      <c r="F558" s="1"/>
      <c r="G558" s="1"/>
      <c r="H558" s="1"/>
      <c r="I558" s="1"/>
    </row>
    <row r="559" spans="2:12" x14ac:dyDescent="0.15">
      <c r="B559" s="903" t="s">
        <v>22</v>
      </c>
      <c r="C559" s="904"/>
      <c r="D559" s="905"/>
      <c r="E559" s="209" t="s">
        <v>23</v>
      </c>
      <c r="F559" s="19" t="s">
        <v>105</v>
      </c>
      <c r="G559" s="209" t="s">
        <v>24</v>
      </c>
      <c r="H559" s="208" t="s">
        <v>25</v>
      </c>
      <c r="I559" s="43"/>
      <c r="L559" s="106"/>
    </row>
    <row r="560" spans="2:12" x14ac:dyDescent="0.15">
      <c r="B560" s="897" t="s">
        <v>56</v>
      </c>
      <c r="C560" s="898"/>
      <c r="D560" s="899"/>
      <c r="E560" s="5"/>
      <c r="F560" s="164"/>
      <c r="G560" s="20"/>
      <c r="H560" s="165">
        <f>I579*0.05</f>
        <v>341.25</v>
      </c>
      <c r="I560" s="44"/>
    </row>
    <row r="561" spans="2:9" ht="14" thickBot="1" x14ac:dyDescent="0.2">
      <c r="B561" s="900"/>
      <c r="C561" s="901"/>
      <c r="D561" s="902"/>
      <c r="E561" s="21"/>
      <c r="F561" s="22"/>
      <c r="G561" s="23"/>
      <c r="H561" s="47"/>
      <c r="I561" s="48"/>
    </row>
    <row r="562" spans="2:9" ht="14" thickBot="1" x14ac:dyDescent="0.2">
      <c r="B562" s="1"/>
      <c r="C562" s="1"/>
      <c r="D562" s="1"/>
      <c r="E562" s="1"/>
      <c r="F562" s="1"/>
      <c r="G562" s="1"/>
      <c r="H562" s="37" t="s">
        <v>26</v>
      </c>
      <c r="I562" s="163">
        <f>SUM(H560:H561)</f>
        <v>341.25</v>
      </c>
    </row>
    <row r="563" spans="2:9" ht="14" thickBot="1" x14ac:dyDescent="0.2">
      <c r="B563" s="12" t="s">
        <v>27</v>
      </c>
      <c r="C563" s="12"/>
      <c r="D563" s="1"/>
      <c r="E563" s="1"/>
      <c r="F563" s="1"/>
      <c r="G563" s="1"/>
      <c r="H563" s="1"/>
      <c r="I563" s="1"/>
    </row>
    <row r="564" spans="2:9" x14ac:dyDescent="0.15">
      <c r="B564" s="903" t="s">
        <v>22</v>
      </c>
      <c r="C564" s="904"/>
      <c r="D564" s="905"/>
      <c r="E564" s="209" t="s">
        <v>28</v>
      </c>
      <c r="F564" s="209" t="s">
        <v>29</v>
      </c>
      <c r="G564" s="209" t="s">
        <v>30</v>
      </c>
      <c r="H564" s="208" t="s">
        <v>25</v>
      </c>
      <c r="I564" s="43"/>
    </row>
    <row r="565" spans="2:9" x14ac:dyDescent="0.15">
      <c r="B565" s="4"/>
      <c r="C565" s="24"/>
      <c r="D565" s="6"/>
      <c r="E565" s="3"/>
      <c r="F565" s="45"/>
      <c r="G565" s="50"/>
      <c r="H565" s="56"/>
      <c r="I565" s="44"/>
    </row>
    <row r="566" spans="2:9" x14ac:dyDescent="0.15">
      <c r="B566" s="4"/>
      <c r="C566" s="24"/>
      <c r="D566" s="6"/>
      <c r="E566" s="3"/>
      <c r="F566" s="45"/>
      <c r="G566" s="50"/>
      <c r="H566" s="56"/>
      <c r="I566" s="44"/>
    </row>
    <row r="567" spans="2:9" x14ac:dyDescent="0.15">
      <c r="B567" s="4"/>
      <c r="C567" s="24"/>
      <c r="D567" s="6"/>
      <c r="E567" s="3"/>
      <c r="F567" s="45"/>
      <c r="G567" s="50"/>
      <c r="H567" s="56"/>
      <c r="I567" s="44"/>
    </row>
    <row r="568" spans="2:9" ht="14" thickBot="1" x14ac:dyDescent="0.2">
      <c r="B568" s="25"/>
      <c r="C568" s="26"/>
      <c r="D568" s="27"/>
      <c r="E568" s="21"/>
      <c r="F568" s="22"/>
      <c r="G568" s="23"/>
      <c r="H568" s="47"/>
      <c r="I568" s="48"/>
    </row>
    <row r="569" spans="2:9" ht="14" thickBot="1" x14ac:dyDescent="0.2">
      <c r="B569" s="1"/>
      <c r="C569" s="1"/>
      <c r="D569" s="1"/>
      <c r="E569" s="1"/>
      <c r="F569" s="1"/>
      <c r="G569" s="1"/>
      <c r="H569" s="193" t="s">
        <v>26</v>
      </c>
      <c r="I569" s="163">
        <f>SUM(H565:H568)</f>
        <v>0</v>
      </c>
    </row>
    <row r="570" spans="2:9" ht="14" thickBot="1" x14ac:dyDescent="0.2">
      <c r="B570" s="28" t="s">
        <v>31</v>
      </c>
      <c r="C570" s="28"/>
      <c r="D570" s="26"/>
      <c r="E570" s="1"/>
      <c r="F570" s="1"/>
      <c r="G570" s="1"/>
      <c r="H570" s="1"/>
      <c r="I570" s="1"/>
    </row>
    <row r="571" spans="2:9" x14ac:dyDescent="0.15">
      <c r="B571" s="51" t="s">
        <v>32</v>
      </c>
      <c r="C571" s="52"/>
      <c r="D571" s="97" t="s">
        <v>33</v>
      </c>
      <c r="E571" s="209" t="s">
        <v>34</v>
      </c>
      <c r="F571" s="209" t="s">
        <v>35</v>
      </c>
      <c r="G571" s="209" t="s">
        <v>36</v>
      </c>
      <c r="H571" s="59" t="s">
        <v>25</v>
      </c>
      <c r="I571" s="43"/>
    </row>
    <row r="572" spans="2:9" x14ac:dyDescent="0.15">
      <c r="B572" s="4"/>
      <c r="C572" s="6"/>
      <c r="D572" s="53"/>
      <c r="E572" s="2"/>
      <c r="F572" s="2"/>
      <c r="G572" s="162"/>
      <c r="H572" s="20"/>
      <c r="I572" s="44"/>
    </row>
    <row r="573" spans="2:9" ht="14" thickBot="1" x14ac:dyDescent="0.2">
      <c r="B573" s="33"/>
      <c r="C573" s="54"/>
      <c r="D573" s="21"/>
      <c r="E573" s="22"/>
      <c r="F573" s="23"/>
      <c r="G573" s="47"/>
      <c r="H573" s="21"/>
      <c r="I573" s="48"/>
    </row>
    <row r="574" spans="2:9" ht="14" thickBot="1" x14ac:dyDescent="0.2">
      <c r="B574" s="1"/>
      <c r="C574" s="1"/>
      <c r="D574" s="1"/>
      <c r="E574" s="1"/>
      <c r="F574" s="1"/>
      <c r="G574" s="1"/>
      <c r="H574" s="37" t="s">
        <v>26</v>
      </c>
      <c r="I574" s="49">
        <f>SUM(H572:H573)</f>
        <v>0</v>
      </c>
    </row>
    <row r="575" spans="2:9" ht="14" thickBot="1" x14ac:dyDescent="0.2">
      <c r="B575" s="28" t="s">
        <v>37</v>
      </c>
      <c r="C575" s="28"/>
      <c r="D575" s="1"/>
      <c r="E575" s="1"/>
      <c r="F575" s="1"/>
      <c r="G575" s="1"/>
      <c r="H575" s="1"/>
      <c r="I575" s="1"/>
    </row>
    <row r="576" spans="2:9" x14ac:dyDescent="0.15">
      <c r="B576" s="51" t="s">
        <v>38</v>
      </c>
      <c r="C576" s="86"/>
      <c r="D576" s="31" t="s">
        <v>39</v>
      </c>
      <c r="E576" s="209" t="s">
        <v>40</v>
      </c>
      <c r="F576" s="19" t="s">
        <v>41</v>
      </c>
      <c r="G576" s="31" t="s">
        <v>24</v>
      </c>
      <c r="H576" s="208" t="s">
        <v>25</v>
      </c>
      <c r="I576" s="43"/>
    </row>
    <row r="577" spans="2:10" x14ac:dyDescent="0.15">
      <c r="B577" s="4" t="s">
        <v>64</v>
      </c>
      <c r="C577" s="24"/>
      <c r="D577" s="32">
        <f>'MANO DE OBRA'!E14*3</f>
        <v>156000</v>
      </c>
      <c r="E577" s="168">
        <v>1.75</v>
      </c>
      <c r="F577" s="20">
        <f>+E577*D577</f>
        <v>273000</v>
      </c>
      <c r="G577" s="20">
        <v>40</v>
      </c>
      <c r="H577" s="169">
        <f>+F577/G577</f>
        <v>6825</v>
      </c>
      <c r="I577" s="44"/>
    </row>
    <row r="578" spans="2:10" ht="14" thickBot="1" x14ac:dyDescent="0.2">
      <c r="B578" s="33"/>
      <c r="C578" s="34"/>
      <c r="D578" s="22"/>
      <c r="E578" s="21"/>
      <c r="F578" s="22"/>
      <c r="G578" s="23"/>
      <c r="H578" s="47"/>
      <c r="I578" s="48"/>
    </row>
    <row r="579" spans="2:10" ht="14" thickBot="1" x14ac:dyDescent="0.2">
      <c r="B579" s="1"/>
      <c r="C579" s="1"/>
      <c r="D579" s="1"/>
      <c r="E579" s="1"/>
      <c r="F579" s="1"/>
      <c r="G579" s="1"/>
      <c r="H579" s="37" t="s">
        <v>26</v>
      </c>
      <c r="I579" s="177">
        <f>SUM(H577:H578)</f>
        <v>6825</v>
      </c>
    </row>
    <row r="580" spans="2:10" ht="14" thickBot="1" x14ac:dyDescent="0.2">
      <c r="B580" s="1"/>
      <c r="C580" s="1"/>
      <c r="D580" s="1"/>
      <c r="E580" s="1"/>
      <c r="F580" s="1"/>
      <c r="G580" s="1"/>
      <c r="H580" s="61"/>
      <c r="I580" s="1"/>
    </row>
    <row r="581" spans="2:10" ht="15" thickBot="1" x14ac:dyDescent="0.2">
      <c r="B581" s="1"/>
      <c r="C581" s="1"/>
      <c r="D581" s="1"/>
      <c r="E581" s="1"/>
      <c r="F581" s="35" t="s">
        <v>43</v>
      </c>
      <c r="G581" s="16"/>
      <c r="H581" s="16"/>
      <c r="I581" s="232">
        <f>ROUND((I562+I569+I574+I579),0)</f>
        <v>7166</v>
      </c>
    </row>
    <row r="582" spans="2:10" x14ac:dyDescent="0.15">
      <c r="B582" s="12"/>
      <c r="C582" s="12"/>
      <c r="D582" s="1"/>
      <c r="E582" s="1"/>
      <c r="F582" s="1"/>
      <c r="G582" s="1"/>
      <c r="H582" s="1"/>
      <c r="I582" s="1"/>
    </row>
    <row r="583" spans="2:10" x14ac:dyDescent="0.15">
      <c r="B583" s="16"/>
      <c r="C583" s="16"/>
      <c r="D583" s="16"/>
      <c r="E583" s="16"/>
      <c r="F583" s="16"/>
      <c r="G583" s="61"/>
      <c r="H583" s="61"/>
      <c r="I583" s="1"/>
    </row>
    <row r="584" spans="2:10" x14ac:dyDescent="0.15">
      <c r="B584" s="1"/>
      <c r="C584" s="1"/>
      <c r="D584" s="1"/>
      <c r="E584" s="1"/>
      <c r="F584" s="1"/>
      <c r="G584" s="161"/>
      <c r="H584" s="172"/>
      <c r="I584" s="172"/>
    </row>
    <row r="585" spans="2:10" x14ac:dyDescent="0.15">
      <c r="B585" s="1"/>
      <c r="C585" s="1"/>
      <c r="D585" s="1"/>
      <c r="E585" s="1"/>
      <c r="F585" s="1"/>
      <c r="G585" s="161"/>
      <c r="H585" s="172"/>
      <c r="I585" s="172"/>
    </row>
    <row r="586" spans="2:10" x14ac:dyDescent="0.15">
      <c r="B586" s="1"/>
      <c r="C586" s="1"/>
      <c r="D586" s="1"/>
      <c r="E586" s="1"/>
      <c r="F586" s="1"/>
      <c r="G586" s="161"/>
      <c r="H586" s="172"/>
      <c r="I586" s="172"/>
    </row>
    <row r="587" spans="2:10" x14ac:dyDescent="0.15">
      <c r="B587" s="1"/>
      <c r="C587" s="1"/>
      <c r="D587" s="1"/>
      <c r="E587" s="1"/>
      <c r="F587" s="1"/>
      <c r="G587" s="161"/>
      <c r="H587" s="172"/>
      <c r="I587" s="172"/>
    </row>
    <row r="588" spans="2:10" x14ac:dyDescent="0.15">
      <c r="B588" s="1"/>
      <c r="C588" s="1"/>
      <c r="D588" s="1"/>
      <c r="E588" s="1"/>
      <c r="F588" s="1"/>
      <c r="G588" s="161"/>
      <c r="H588" s="172"/>
      <c r="I588" s="172"/>
    </row>
    <row r="589" spans="2:10" x14ac:dyDescent="0.15">
      <c r="B589" s="1"/>
      <c r="C589" s="1"/>
      <c r="D589" s="1"/>
      <c r="E589" s="1"/>
      <c r="F589" s="1"/>
      <c r="G589" s="1"/>
      <c r="H589" s="37"/>
      <c r="I589" s="172"/>
    </row>
    <row r="590" spans="2:10" ht="14" x14ac:dyDescent="0.15">
      <c r="B590" s="102"/>
      <c r="C590" s="1"/>
      <c r="D590" s="1"/>
      <c r="E590" s="1"/>
      <c r="F590" s="1"/>
      <c r="G590" s="1"/>
      <c r="H590" s="1"/>
      <c r="I590" s="1"/>
    </row>
    <row r="591" spans="2:10" ht="14" x14ac:dyDescent="0.15">
      <c r="B591" s="83"/>
      <c r="D591" s="1"/>
      <c r="E591" s="15"/>
      <c r="F591" s="16"/>
      <c r="G591" s="16"/>
      <c r="H591" s="16"/>
      <c r="I591" s="171"/>
    </row>
    <row r="592" spans="2:10" ht="14" x14ac:dyDescent="0.15">
      <c r="B592" s="102"/>
      <c r="C592" s="83"/>
      <c r="D592" s="84"/>
      <c r="E592" s="83"/>
      <c r="F592" s="83"/>
      <c r="G592" s="102"/>
      <c r="H592" s="83"/>
      <c r="I592" s="85"/>
      <c r="J592" s="85"/>
    </row>
    <row r="593" spans="2:10" ht="14" x14ac:dyDescent="0.15">
      <c r="B593" s="102"/>
      <c r="C593" s="83"/>
      <c r="D593" s="84"/>
      <c r="E593" s="83"/>
      <c r="F593" s="83"/>
      <c r="G593" s="102"/>
      <c r="H593" s="83"/>
      <c r="I593" s="85"/>
      <c r="J593" s="85"/>
    </row>
    <row r="594" spans="2:10" ht="14" x14ac:dyDescent="0.15">
      <c r="B594" s="83"/>
      <c r="C594" s="83"/>
      <c r="D594" s="84"/>
      <c r="E594" s="83"/>
      <c r="F594" s="83"/>
      <c r="G594" s="119"/>
      <c r="H594" s="83"/>
      <c r="I594" s="85"/>
      <c r="J594" s="85"/>
    </row>
    <row r="595" spans="2:10" ht="14" x14ac:dyDescent="0.15">
      <c r="B595" s="83"/>
      <c r="C595" s="83"/>
      <c r="D595" s="84"/>
      <c r="E595" s="83"/>
      <c r="F595" s="83"/>
      <c r="G595" s="119"/>
      <c r="H595" s="83"/>
      <c r="I595" s="85"/>
      <c r="J595" s="85"/>
    </row>
    <row r="596" spans="2:10" x14ac:dyDescent="0.15">
      <c r="B596" s="1"/>
      <c r="C596" s="1"/>
      <c r="D596" s="1"/>
      <c r="E596" s="1"/>
      <c r="F596" s="1"/>
      <c r="G596" s="1"/>
      <c r="H596" s="37"/>
      <c r="I596" s="172"/>
    </row>
    <row r="597" spans="2:10" x14ac:dyDescent="0.15">
      <c r="B597" s="1"/>
      <c r="C597" s="1"/>
      <c r="D597" s="1"/>
      <c r="E597" s="1"/>
      <c r="F597" s="1"/>
      <c r="G597" s="161"/>
      <c r="H597" s="172"/>
      <c r="I597" s="172"/>
    </row>
    <row r="598" spans="2:10" x14ac:dyDescent="0.15">
      <c r="B598" s="1"/>
      <c r="C598" s="1"/>
      <c r="D598" s="1"/>
      <c r="E598" s="1"/>
      <c r="F598" s="1"/>
      <c r="G598" s="161"/>
      <c r="H598" s="172"/>
      <c r="I598" s="172"/>
    </row>
    <row r="599" spans="2:10" x14ac:dyDescent="0.15">
      <c r="B599" s="1"/>
      <c r="C599" s="1"/>
      <c r="D599" s="1"/>
      <c r="E599" s="1"/>
      <c r="F599" s="1"/>
      <c r="G599" s="161"/>
      <c r="H599" s="172"/>
      <c r="I599" s="172"/>
    </row>
    <row r="600" spans="2:10" x14ac:dyDescent="0.15">
      <c r="B600" s="1"/>
      <c r="C600" s="1"/>
      <c r="D600" s="1"/>
      <c r="E600" s="1"/>
      <c r="F600" s="1"/>
      <c r="G600" s="1"/>
      <c r="H600" s="37"/>
      <c r="I600" s="172"/>
    </row>
    <row r="601" spans="2:10" ht="14" x14ac:dyDescent="0.15">
      <c r="B601" s="102"/>
      <c r="C601" s="1"/>
      <c r="D601" s="1"/>
      <c r="E601" s="1"/>
      <c r="F601" s="1"/>
      <c r="G601" s="1"/>
      <c r="H601" s="1"/>
      <c r="I601" s="1"/>
    </row>
    <row r="602" spans="2:10" ht="15" thickBot="1" x14ac:dyDescent="0.2">
      <c r="B602" s="83"/>
      <c r="D602" s="1"/>
      <c r="E602" s="15"/>
      <c r="F602" s="16"/>
      <c r="G602" s="16"/>
      <c r="H602" s="16"/>
      <c r="I602" s="171"/>
    </row>
    <row r="603" spans="2:10" s="90" customFormat="1" ht="21.75" customHeight="1" x14ac:dyDescent="0.2">
      <c r="B603" s="885" t="s">
        <v>874</v>
      </c>
      <c r="C603" s="886"/>
      <c r="D603" s="886"/>
      <c r="E603" s="886"/>
      <c r="F603" s="887"/>
      <c r="G603" s="89"/>
      <c r="H603" s="931" t="s">
        <v>20</v>
      </c>
      <c r="I603" s="932"/>
    </row>
    <row r="604" spans="2:10" s="90" customFormat="1" ht="21" customHeight="1" x14ac:dyDescent="0.2">
      <c r="B604" s="888" t="s">
        <v>875</v>
      </c>
      <c r="C604" s="889"/>
      <c r="D604" s="889"/>
      <c r="E604" s="889"/>
      <c r="F604" s="890"/>
      <c r="G604" s="91"/>
      <c r="H604" s="933"/>
      <c r="I604" s="934"/>
    </row>
    <row r="605" spans="2:10" s="90" customFormat="1" ht="15" customHeight="1" x14ac:dyDescent="0.2">
      <c r="B605" s="906" t="s">
        <v>876</v>
      </c>
      <c r="C605" s="907"/>
      <c r="D605" s="907"/>
      <c r="E605" s="907"/>
      <c r="F605" s="908"/>
      <c r="G605" s="91"/>
      <c r="H605" s="935" t="s">
        <v>1017</v>
      </c>
      <c r="I605" s="939"/>
    </row>
    <row r="606" spans="2:10" s="90" customFormat="1" ht="15.75" customHeight="1" thickBot="1" x14ac:dyDescent="0.25">
      <c r="B606" s="909"/>
      <c r="C606" s="910"/>
      <c r="D606" s="910"/>
      <c r="E606" s="910"/>
      <c r="F606" s="911"/>
      <c r="G606" s="89"/>
      <c r="H606" s="935"/>
      <c r="I606" s="939"/>
    </row>
    <row r="607" spans="2:10" ht="15.75" customHeight="1" thickBot="1" x14ac:dyDescent="0.2">
      <c r="B607" s="15"/>
      <c r="C607" s="16"/>
      <c r="D607" s="1"/>
      <c r="E607" s="1"/>
      <c r="F607" s="1"/>
      <c r="G607" s="1"/>
      <c r="H607" s="935"/>
      <c r="I607" s="939"/>
    </row>
    <row r="608" spans="2:10" ht="15.75" customHeight="1" x14ac:dyDescent="0.15">
      <c r="B608" s="922" t="s">
        <v>836</v>
      </c>
      <c r="C608" s="923"/>
      <c r="D608" s="923"/>
      <c r="E608" s="923"/>
      <c r="F608" s="924"/>
      <c r="G608" s="1"/>
      <c r="H608" s="935"/>
      <c r="I608" s="939"/>
    </row>
    <row r="609" spans="2:9" ht="15" customHeight="1" x14ac:dyDescent="0.15">
      <c r="B609" s="925"/>
      <c r="C609" s="926"/>
      <c r="D609" s="926"/>
      <c r="E609" s="926"/>
      <c r="F609" s="927"/>
      <c r="H609" s="935"/>
      <c r="I609" s="939"/>
    </row>
    <row r="610" spans="2:9" ht="15" customHeight="1" x14ac:dyDescent="0.15">
      <c r="B610" s="925"/>
      <c r="C610" s="926"/>
      <c r="D610" s="926"/>
      <c r="E610" s="926"/>
      <c r="F610" s="927"/>
      <c r="G610" s="11"/>
      <c r="H610" s="935"/>
      <c r="I610" s="939"/>
    </row>
    <row r="611" spans="2:9" ht="13.5" customHeight="1" thickBot="1" x14ac:dyDescent="0.2">
      <c r="B611" s="928"/>
      <c r="C611" s="929"/>
      <c r="D611" s="929"/>
      <c r="E611" s="929"/>
      <c r="F611" s="930"/>
      <c r="H611" s="64" t="s">
        <v>45</v>
      </c>
      <c r="I611" s="17" t="s">
        <v>5</v>
      </c>
    </row>
    <row r="612" spans="2:9" x14ac:dyDescent="0.15">
      <c r="B612" s="18"/>
      <c r="C612" s="18"/>
      <c r="D612" s="1"/>
      <c r="E612" s="18"/>
      <c r="F612" s="18"/>
      <c r="G612" s="18"/>
      <c r="H612" s="18"/>
      <c r="I612" s="1"/>
    </row>
    <row r="613" spans="2:9" ht="14" thickBot="1" x14ac:dyDescent="0.2">
      <c r="B613" s="12" t="s">
        <v>21</v>
      </c>
      <c r="C613" s="12"/>
      <c r="D613" s="1"/>
      <c r="E613" s="1"/>
      <c r="F613" s="1"/>
      <c r="G613" s="1"/>
      <c r="H613" s="1"/>
      <c r="I613" s="1"/>
    </row>
    <row r="614" spans="2:9" x14ac:dyDescent="0.15">
      <c r="B614" s="903" t="s">
        <v>22</v>
      </c>
      <c r="C614" s="904"/>
      <c r="D614" s="905"/>
      <c r="E614" s="209" t="s">
        <v>23</v>
      </c>
      <c r="F614" s="19" t="s">
        <v>623</v>
      </c>
      <c r="G614" s="209" t="s">
        <v>24</v>
      </c>
      <c r="H614" s="208" t="s">
        <v>25</v>
      </c>
      <c r="I614" s="222"/>
    </row>
    <row r="615" spans="2:9" ht="15" customHeight="1" x14ac:dyDescent="0.15">
      <c r="B615" s="897" t="s">
        <v>56</v>
      </c>
      <c r="C615" s="898"/>
      <c r="D615" s="899"/>
      <c r="E615" s="5"/>
      <c r="F615" s="164"/>
      <c r="G615" s="20"/>
      <c r="H615" s="165">
        <f>I634*0.05</f>
        <v>249.16624999999999</v>
      </c>
      <c r="I615" s="191"/>
    </row>
    <row r="616" spans="2:9" ht="14" thickBot="1" x14ac:dyDescent="0.2">
      <c r="B616" s="900"/>
      <c r="C616" s="901"/>
      <c r="D616" s="902"/>
      <c r="E616" s="21"/>
      <c r="F616" s="22"/>
      <c r="G616" s="23"/>
      <c r="H616" s="223"/>
      <c r="I616" s="177"/>
    </row>
    <row r="617" spans="2:9" ht="14" thickBot="1" x14ac:dyDescent="0.2">
      <c r="B617" s="1"/>
      <c r="C617" s="1"/>
      <c r="D617" s="1"/>
      <c r="E617" s="1"/>
      <c r="F617" s="1"/>
      <c r="G617" s="1"/>
      <c r="H617" s="224" t="s">
        <v>26</v>
      </c>
      <c r="I617" s="163">
        <f>SUM(H615:H615)</f>
        <v>249.16624999999999</v>
      </c>
    </row>
    <row r="618" spans="2:9" ht="14" thickBot="1" x14ac:dyDescent="0.2">
      <c r="B618" s="12" t="s">
        <v>27</v>
      </c>
      <c r="C618" s="12"/>
      <c r="D618" s="1"/>
      <c r="E618" s="1"/>
      <c r="F618" s="1"/>
      <c r="G618" s="1"/>
      <c r="H618" s="225"/>
      <c r="I618" s="225"/>
    </row>
    <row r="619" spans="2:9" x14ac:dyDescent="0.15">
      <c r="B619" s="903" t="s">
        <v>22</v>
      </c>
      <c r="C619" s="904"/>
      <c r="D619" s="905"/>
      <c r="E619" s="209" t="s">
        <v>28</v>
      </c>
      <c r="F619" s="209" t="s">
        <v>29</v>
      </c>
      <c r="G619" s="209" t="s">
        <v>30</v>
      </c>
      <c r="H619" s="226" t="s">
        <v>25</v>
      </c>
      <c r="I619" s="222"/>
    </row>
    <row r="620" spans="2:9" x14ac:dyDescent="0.15">
      <c r="B620" s="4"/>
      <c r="C620" s="24"/>
      <c r="D620" s="6"/>
      <c r="E620" s="3"/>
      <c r="F620" s="164"/>
      <c r="G620" s="50"/>
      <c r="H620" s="165"/>
      <c r="I620" s="191"/>
    </row>
    <row r="621" spans="2:9" x14ac:dyDescent="0.15">
      <c r="B621" s="4"/>
      <c r="C621" s="24"/>
      <c r="D621" s="6"/>
      <c r="E621" s="5"/>
      <c r="F621" s="164"/>
      <c r="G621" s="182"/>
      <c r="H621" s="186"/>
      <c r="I621" s="191"/>
    </row>
    <row r="622" spans="2:9" ht="14" thickBot="1" x14ac:dyDescent="0.2">
      <c r="B622" s="25"/>
      <c r="C622" s="26"/>
      <c r="D622" s="27"/>
      <c r="E622" s="21"/>
      <c r="F622" s="22"/>
      <c r="G622" s="23"/>
      <c r="H622" s="223"/>
      <c r="I622" s="177"/>
    </row>
    <row r="623" spans="2:9" ht="14" thickBot="1" x14ac:dyDescent="0.2">
      <c r="B623" s="1"/>
      <c r="C623" s="1"/>
      <c r="D623" s="1"/>
      <c r="E623" s="1"/>
      <c r="F623" s="1"/>
      <c r="G623" s="1"/>
      <c r="H623" s="224" t="s">
        <v>26</v>
      </c>
      <c r="I623" s="163">
        <f>SUM(H620:H622)</f>
        <v>0</v>
      </c>
    </row>
    <row r="624" spans="2:9" ht="14" thickBot="1" x14ac:dyDescent="0.2">
      <c r="B624" s="28" t="s">
        <v>31</v>
      </c>
      <c r="C624" s="28"/>
      <c r="D624" s="26"/>
      <c r="E624" s="1"/>
      <c r="F624" s="1"/>
      <c r="G624" s="1"/>
      <c r="H624" s="225"/>
      <c r="I624" s="225"/>
    </row>
    <row r="625" spans="2:9" x14ac:dyDescent="0.15">
      <c r="B625" s="51" t="s">
        <v>32</v>
      </c>
      <c r="C625" s="86"/>
      <c r="D625" s="97" t="s">
        <v>33</v>
      </c>
      <c r="E625" s="209" t="s">
        <v>34</v>
      </c>
      <c r="F625" s="209" t="s">
        <v>35</v>
      </c>
      <c r="G625" s="209" t="s">
        <v>36</v>
      </c>
      <c r="H625" s="227" t="s">
        <v>25</v>
      </c>
      <c r="I625" s="222"/>
    </row>
    <row r="626" spans="2:9" x14ac:dyDescent="0.15">
      <c r="B626" s="4"/>
      <c r="C626" s="6"/>
      <c r="D626" s="53"/>
      <c r="E626" s="2"/>
      <c r="F626" s="2"/>
      <c r="G626" s="162"/>
      <c r="H626" s="20"/>
      <c r="I626" s="191"/>
    </row>
    <row r="627" spans="2:9" ht="14" thickBot="1" x14ac:dyDescent="0.2">
      <c r="B627" s="33"/>
      <c r="C627" s="34"/>
      <c r="D627" s="98"/>
      <c r="E627" s="21"/>
      <c r="F627" s="99"/>
      <c r="G627" s="23"/>
      <c r="H627" s="167"/>
      <c r="I627" s="177"/>
    </row>
    <row r="628" spans="2:9" ht="14" thickBot="1" x14ac:dyDescent="0.2">
      <c r="B628" s="1"/>
      <c r="C628" s="1"/>
      <c r="D628" s="1"/>
      <c r="E628" s="1"/>
      <c r="F628" s="1"/>
      <c r="G628" s="1"/>
      <c r="H628" s="224" t="s">
        <v>26</v>
      </c>
      <c r="I628" s="177">
        <f>SUM(H626:H626)</f>
        <v>0</v>
      </c>
    </row>
    <row r="629" spans="2:9" ht="14" thickBot="1" x14ac:dyDescent="0.2">
      <c r="B629" s="28" t="s">
        <v>37</v>
      </c>
      <c r="C629" s="28"/>
      <c r="D629" s="1"/>
      <c r="E629" s="1"/>
      <c r="F629" s="1"/>
      <c r="G629" s="1"/>
      <c r="H629" s="225"/>
      <c r="I629" s="225"/>
    </row>
    <row r="630" spans="2:9" x14ac:dyDescent="0.15">
      <c r="B630" s="29" t="s">
        <v>38</v>
      </c>
      <c r="C630" s="30"/>
      <c r="D630" s="31" t="s">
        <v>39</v>
      </c>
      <c r="E630" s="209" t="s">
        <v>40</v>
      </c>
      <c r="F630" s="19" t="s">
        <v>41</v>
      </c>
      <c r="G630" s="31" t="s">
        <v>24</v>
      </c>
      <c r="H630" s="226" t="s">
        <v>25</v>
      </c>
      <c r="I630" s="222"/>
    </row>
    <row r="631" spans="2:9" x14ac:dyDescent="0.15">
      <c r="B631" s="4" t="s">
        <v>512</v>
      </c>
      <c r="C631" s="24"/>
      <c r="D631" s="32">
        <f>'MANO DE OBRA'!E15</f>
        <v>95333</v>
      </c>
      <c r="E631" s="168">
        <v>1.75</v>
      </c>
      <c r="F631" s="20">
        <f>+E631*D631</f>
        <v>166832.75</v>
      </c>
      <c r="G631" s="20">
        <v>70</v>
      </c>
      <c r="H631" s="169">
        <f>+F631/G631</f>
        <v>2383.3249999999998</v>
      </c>
      <c r="I631" s="191"/>
    </row>
    <row r="632" spans="2:9" x14ac:dyDescent="0.15">
      <c r="B632" s="4" t="s">
        <v>55</v>
      </c>
      <c r="C632" s="24"/>
      <c r="D632" s="32">
        <f>'MANO DE OBRA'!E14*2</f>
        <v>104000</v>
      </c>
      <c r="E632" s="168">
        <v>1.75</v>
      </c>
      <c r="F632" s="20">
        <f>+E632*D632</f>
        <v>182000</v>
      </c>
      <c r="G632" s="20">
        <v>70</v>
      </c>
      <c r="H632" s="169">
        <f>+F632/G632</f>
        <v>2600</v>
      </c>
      <c r="I632" s="191"/>
    </row>
    <row r="633" spans="2:9" ht="14" thickBot="1" x14ac:dyDescent="0.2">
      <c r="B633" s="33"/>
      <c r="C633" s="34"/>
      <c r="D633" s="22"/>
      <c r="E633" s="27"/>
      <c r="F633" s="27"/>
      <c r="G633" s="27"/>
      <c r="H633" s="228"/>
      <c r="I633" s="177"/>
    </row>
    <row r="634" spans="2:9" ht="14" thickBot="1" x14ac:dyDescent="0.2">
      <c r="B634" s="1"/>
      <c r="C634" s="1"/>
      <c r="D634" s="1"/>
      <c r="E634" s="1"/>
      <c r="F634" s="1"/>
      <c r="G634" s="1"/>
      <c r="H634" s="224" t="s">
        <v>26</v>
      </c>
      <c r="I634" s="163">
        <f>SUM(H631:H633)</f>
        <v>4983.3249999999998</v>
      </c>
    </row>
    <row r="635" spans="2:9" ht="14" thickBot="1" x14ac:dyDescent="0.2">
      <c r="B635" s="1"/>
      <c r="C635" s="1"/>
      <c r="D635" s="1"/>
      <c r="E635" s="1"/>
      <c r="F635" s="1"/>
      <c r="G635" s="1"/>
      <c r="H635" s="229"/>
      <c r="I635" s="172"/>
    </row>
    <row r="636" spans="2:9" ht="15" thickBot="1" x14ac:dyDescent="0.2">
      <c r="B636" s="1"/>
      <c r="C636" s="1"/>
      <c r="D636" s="1"/>
      <c r="E636" s="1"/>
      <c r="F636" s="35" t="s">
        <v>43</v>
      </c>
      <c r="G636" s="36"/>
      <c r="H636" s="187"/>
      <c r="I636" s="232">
        <f>ROUND((I617+I623+I628+I634),0)</f>
        <v>5232</v>
      </c>
    </row>
    <row r="637" spans="2:9" x14ac:dyDescent="0.15">
      <c r="B637" s="12"/>
      <c r="C637" s="12"/>
      <c r="D637" s="1"/>
      <c r="E637" s="1"/>
      <c r="F637" s="1"/>
      <c r="G637" s="1"/>
      <c r="H637" s="172"/>
      <c r="I637" s="172"/>
    </row>
    <row r="638" spans="2:9" x14ac:dyDescent="0.15">
      <c r="B638" s="16"/>
      <c r="C638" s="16"/>
      <c r="D638" s="16"/>
      <c r="E638" s="16"/>
      <c r="F638" s="16"/>
      <c r="G638" s="61"/>
      <c r="H638" s="173"/>
      <c r="I638" s="172"/>
    </row>
    <row r="639" spans="2:9" x14ac:dyDescent="0.15">
      <c r="B639" s="1"/>
      <c r="C639" s="1"/>
      <c r="D639" s="1"/>
      <c r="E639" s="1"/>
      <c r="F639" s="1"/>
      <c r="G639" s="161"/>
      <c r="H639" s="172"/>
      <c r="I639" s="172"/>
    </row>
    <row r="640" spans="2:9" x14ac:dyDescent="0.15">
      <c r="B640" s="1"/>
      <c r="C640" s="1"/>
      <c r="D640" s="1"/>
      <c r="E640" s="1"/>
      <c r="F640" s="1"/>
      <c r="G640" s="161"/>
      <c r="H640" s="172"/>
      <c r="I640" s="172"/>
    </row>
    <row r="641" spans="2:10" x14ac:dyDescent="0.15">
      <c r="B641" s="1"/>
      <c r="C641" s="1"/>
      <c r="D641" s="1"/>
      <c r="E641" s="1"/>
      <c r="F641" s="1"/>
      <c r="G641" s="161"/>
      <c r="H641" s="172"/>
      <c r="I641" s="172"/>
    </row>
    <row r="642" spans="2:10" ht="14" x14ac:dyDescent="0.15">
      <c r="B642" s="102"/>
      <c r="C642" s="1"/>
      <c r="D642" s="1"/>
      <c r="E642" s="1"/>
      <c r="F642" s="1"/>
      <c r="G642" s="1"/>
      <c r="H642" s="1"/>
      <c r="I642" s="172"/>
    </row>
    <row r="643" spans="2:10" ht="14" x14ac:dyDescent="0.15">
      <c r="B643" s="83"/>
      <c r="C643" s="11"/>
      <c r="D643" s="1"/>
      <c r="E643" s="916"/>
      <c r="F643" s="916"/>
      <c r="G643" s="916"/>
      <c r="H643" s="916"/>
      <c r="I643" s="171"/>
    </row>
    <row r="644" spans="2:10" ht="14" x14ac:dyDescent="0.15">
      <c r="B644" s="102"/>
      <c r="C644" s="83"/>
      <c r="D644" s="84"/>
      <c r="E644" s="83"/>
      <c r="F644" s="83"/>
      <c r="G644" s="102"/>
      <c r="H644" s="83"/>
      <c r="I644" s="85"/>
      <c r="J644" s="85"/>
    </row>
    <row r="645" spans="2:10" ht="14" x14ac:dyDescent="0.15">
      <c r="B645" s="83"/>
      <c r="C645" s="83"/>
      <c r="D645" s="84"/>
      <c r="E645" s="83"/>
      <c r="F645" s="83"/>
      <c r="G645" s="119"/>
      <c r="H645" s="83"/>
      <c r="I645" s="85"/>
      <c r="J645" s="85"/>
    </row>
    <row r="646" spans="2:10" x14ac:dyDescent="0.15">
      <c r="B646" s="11"/>
      <c r="C646" s="11"/>
      <c r="D646" s="11"/>
      <c r="E646" s="11"/>
      <c r="F646" s="11"/>
      <c r="G646" s="11"/>
      <c r="H646" s="11"/>
      <c r="I646" s="11"/>
    </row>
    <row r="647" spans="2:10" x14ac:dyDescent="0.15">
      <c r="B647" s="11"/>
      <c r="C647" s="11"/>
      <c r="D647" s="11"/>
      <c r="E647" s="11"/>
      <c r="F647" s="11"/>
      <c r="G647" s="11"/>
      <c r="H647" s="11"/>
      <c r="I647" s="11"/>
    </row>
    <row r="653" spans="2:10" ht="14" x14ac:dyDescent="0.15">
      <c r="B653" s="102"/>
      <c r="C653" s="83"/>
      <c r="D653" s="84"/>
      <c r="E653" s="83"/>
      <c r="F653" s="83"/>
      <c r="G653" s="103"/>
      <c r="H653" s="83"/>
      <c r="I653" s="85"/>
      <c r="J653" s="85"/>
    </row>
    <row r="654" spans="2:10" ht="14" x14ac:dyDescent="0.15">
      <c r="B654" s="102"/>
      <c r="C654" s="83"/>
      <c r="D654" s="84"/>
      <c r="E654" s="83"/>
      <c r="F654" s="83"/>
      <c r="G654" s="103"/>
      <c r="H654" s="83"/>
      <c r="I654" s="85"/>
      <c r="J654" s="85"/>
    </row>
    <row r="655" spans="2:10" ht="14" x14ac:dyDescent="0.15">
      <c r="B655" s="83"/>
      <c r="C655" s="83"/>
      <c r="D655" s="84"/>
      <c r="E655" s="83"/>
      <c r="F655" s="83"/>
      <c r="G655" s="104"/>
      <c r="H655" s="83"/>
      <c r="I655" s="85"/>
      <c r="J655" s="85"/>
    </row>
    <row r="656" spans="2:10" ht="14" x14ac:dyDescent="0.15">
      <c r="B656" s="83"/>
      <c r="C656" s="83"/>
      <c r="D656" s="84"/>
      <c r="E656" s="83"/>
      <c r="F656" s="83"/>
      <c r="G656" s="104"/>
      <c r="H656" s="83"/>
      <c r="I656" s="85"/>
      <c r="J656" s="85"/>
    </row>
    <row r="657" spans="2:9" ht="15" thickBot="1" x14ac:dyDescent="0.2">
      <c r="B657" s="83"/>
    </row>
    <row r="658" spans="2:9" s="90" customFormat="1" ht="21.75" customHeight="1" x14ac:dyDescent="0.2">
      <c r="B658" s="885" t="s">
        <v>874</v>
      </c>
      <c r="C658" s="886"/>
      <c r="D658" s="886"/>
      <c r="E658" s="886"/>
      <c r="F658" s="887"/>
      <c r="G658" s="89"/>
      <c r="H658" s="931" t="s">
        <v>20</v>
      </c>
      <c r="I658" s="932"/>
    </row>
    <row r="659" spans="2:9" s="90" customFormat="1" ht="21" customHeight="1" x14ac:dyDescent="0.2">
      <c r="B659" s="888" t="s">
        <v>875</v>
      </c>
      <c r="C659" s="889"/>
      <c r="D659" s="889"/>
      <c r="E659" s="889"/>
      <c r="F659" s="890"/>
      <c r="G659" s="91"/>
      <c r="H659" s="933"/>
      <c r="I659" s="934"/>
    </row>
    <row r="660" spans="2:9" s="90" customFormat="1" ht="15" customHeight="1" x14ac:dyDescent="0.2">
      <c r="B660" s="906" t="s">
        <v>876</v>
      </c>
      <c r="C660" s="907"/>
      <c r="D660" s="907"/>
      <c r="E660" s="907"/>
      <c r="F660" s="908"/>
      <c r="G660" s="91"/>
      <c r="H660" s="935" t="s">
        <v>1088</v>
      </c>
      <c r="I660" s="939"/>
    </row>
    <row r="661" spans="2:9" s="90" customFormat="1" ht="15.75" customHeight="1" thickBot="1" x14ac:dyDescent="0.25">
      <c r="B661" s="909"/>
      <c r="C661" s="910"/>
      <c r="D661" s="910"/>
      <c r="E661" s="910"/>
      <c r="F661" s="911"/>
      <c r="G661" s="89"/>
      <c r="H661" s="935"/>
      <c r="I661" s="939"/>
    </row>
    <row r="662" spans="2:9" ht="15.75" customHeight="1" thickBot="1" x14ac:dyDescent="0.2">
      <c r="B662" s="15"/>
      <c r="C662" s="16"/>
      <c r="D662" s="1"/>
      <c r="E662" s="1"/>
      <c r="F662" s="1"/>
      <c r="G662" s="1"/>
      <c r="H662" s="935"/>
      <c r="I662" s="939"/>
    </row>
    <row r="663" spans="2:9" ht="15.75" customHeight="1" x14ac:dyDescent="0.15">
      <c r="B663" s="922" t="s">
        <v>836</v>
      </c>
      <c r="C663" s="923"/>
      <c r="D663" s="923"/>
      <c r="E663" s="923"/>
      <c r="F663" s="924"/>
      <c r="G663" s="1"/>
      <c r="H663" s="935"/>
      <c r="I663" s="939"/>
    </row>
    <row r="664" spans="2:9" ht="15" customHeight="1" x14ac:dyDescent="0.15">
      <c r="B664" s="925"/>
      <c r="C664" s="926"/>
      <c r="D664" s="926"/>
      <c r="E664" s="926"/>
      <c r="F664" s="927"/>
      <c r="H664" s="935"/>
      <c r="I664" s="939"/>
    </row>
    <row r="665" spans="2:9" ht="15" customHeight="1" x14ac:dyDescent="0.15">
      <c r="B665" s="925"/>
      <c r="C665" s="926"/>
      <c r="D665" s="926"/>
      <c r="E665" s="926"/>
      <c r="F665" s="927"/>
      <c r="G665" s="11"/>
      <c r="H665" s="935"/>
      <c r="I665" s="939"/>
    </row>
    <row r="666" spans="2:9" ht="13.5" customHeight="1" thickBot="1" x14ac:dyDescent="0.2">
      <c r="B666" s="928"/>
      <c r="C666" s="929"/>
      <c r="D666" s="929"/>
      <c r="E666" s="929"/>
      <c r="F666" s="930"/>
      <c r="H666" s="64" t="s">
        <v>45</v>
      </c>
      <c r="I666" s="17" t="s">
        <v>319</v>
      </c>
    </row>
    <row r="667" spans="2:9" x14ac:dyDescent="0.15">
      <c r="B667" s="18"/>
      <c r="C667" s="18"/>
      <c r="D667" s="1"/>
      <c r="E667" s="18"/>
      <c r="F667" s="18"/>
      <c r="G667" s="18"/>
      <c r="H667" s="18"/>
      <c r="I667" s="1"/>
    </row>
    <row r="668" spans="2:9" ht="14" thickBot="1" x14ac:dyDescent="0.2">
      <c r="B668" s="12" t="s">
        <v>21</v>
      </c>
      <c r="C668" s="12"/>
      <c r="D668" s="1"/>
      <c r="E668" s="1"/>
      <c r="F668" s="1"/>
      <c r="G668" s="1"/>
      <c r="H668" s="1"/>
      <c r="I668" s="1"/>
    </row>
    <row r="669" spans="2:9" x14ac:dyDescent="0.15">
      <c r="B669" s="903" t="s">
        <v>22</v>
      </c>
      <c r="C669" s="904"/>
      <c r="D669" s="905"/>
      <c r="E669" s="209" t="s">
        <v>23</v>
      </c>
      <c r="F669" s="19" t="s">
        <v>623</v>
      </c>
      <c r="G669" s="209" t="s">
        <v>24</v>
      </c>
      <c r="H669" s="208" t="s">
        <v>25</v>
      </c>
      <c r="I669" s="222"/>
    </row>
    <row r="670" spans="2:9" ht="15" customHeight="1" x14ac:dyDescent="0.15">
      <c r="B670" s="897" t="s">
        <v>56</v>
      </c>
      <c r="C670" s="898"/>
      <c r="D670" s="899"/>
      <c r="E670" s="5"/>
      <c r="F670" s="164"/>
      <c r="G670" s="20"/>
      <c r="H670" s="165">
        <f>I689*0.05</f>
        <v>1162.7758333333334</v>
      </c>
      <c r="I670" s="191"/>
    </row>
    <row r="671" spans="2:9" ht="14" thickBot="1" x14ac:dyDescent="0.2">
      <c r="B671" s="900"/>
      <c r="C671" s="901"/>
      <c r="D671" s="902"/>
      <c r="E671" s="21"/>
      <c r="F671" s="22"/>
      <c r="G671" s="23"/>
      <c r="H671" s="223"/>
      <c r="I671" s="177"/>
    </row>
    <row r="672" spans="2:9" ht="14" thickBot="1" x14ac:dyDescent="0.2">
      <c r="B672" s="1"/>
      <c r="C672" s="1"/>
      <c r="D672" s="1"/>
      <c r="E672" s="1"/>
      <c r="F672" s="1"/>
      <c r="G672" s="1"/>
      <c r="H672" s="224" t="s">
        <v>26</v>
      </c>
      <c r="I672" s="163">
        <f>SUM(H670:H670)</f>
        <v>1162.7758333333334</v>
      </c>
    </row>
    <row r="673" spans="2:9" ht="14" thickBot="1" x14ac:dyDescent="0.2">
      <c r="B673" s="12" t="s">
        <v>27</v>
      </c>
      <c r="C673" s="12"/>
      <c r="D673" s="1"/>
      <c r="E673" s="1"/>
      <c r="F673" s="1"/>
      <c r="G673" s="1"/>
      <c r="H673" s="225"/>
      <c r="I673" s="225"/>
    </row>
    <row r="674" spans="2:9" x14ac:dyDescent="0.15">
      <c r="B674" s="903" t="s">
        <v>22</v>
      </c>
      <c r="C674" s="904"/>
      <c r="D674" s="905"/>
      <c r="E674" s="209" t="s">
        <v>28</v>
      </c>
      <c r="F674" s="209" t="s">
        <v>29</v>
      </c>
      <c r="G674" s="209" t="s">
        <v>30</v>
      </c>
      <c r="H674" s="226" t="s">
        <v>25</v>
      </c>
      <c r="I674" s="222"/>
    </row>
    <row r="675" spans="2:9" x14ac:dyDescent="0.15">
      <c r="B675" s="4"/>
      <c r="C675" s="24"/>
      <c r="D675" s="6"/>
      <c r="E675" s="3"/>
      <c r="F675" s="164"/>
      <c r="G675" s="50"/>
      <c r="H675" s="165"/>
      <c r="I675" s="191"/>
    </row>
    <row r="676" spans="2:9" x14ac:dyDescent="0.15">
      <c r="B676" s="4"/>
      <c r="C676" s="24"/>
      <c r="D676" s="6"/>
      <c r="E676" s="5"/>
      <c r="F676" s="164"/>
      <c r="G676" s="182"/>
      <c r="H676" s="186"/>
      <c r="I676" s="191"/>
    </row>
    <row r="677" spans="2:9" ht="14" thickBot="1" x14ac:dyDescent="0.2">
      <c r="B677" s="25"/>
      <c r="C677" s="26"/>
      <c r="D677" s="27"/>
      <c r="E677" s="21"/>
      <c r="F677" s="22"/>
      <c r="G677" s="23"/>
      <c r="H677" s="223"/>
      <c r="I677" s="177"/>
    </row>
    <row r="678" spans="2:9" ht="14" thickBot="1" x14ac:dyDescent="0.2">
      <c r="B678" s="1"/>
      <c r="C678" s="1"/>
      <c r="D678" s="1"/>
      <c r="E678" s="1"/>
      <c r="F678" s="1"/>
      <c r="G678" s="1"/>
      <c r="H678" s="224" t="s">
        <v>26</v>
      </c>
      <c r="I678" s="163">
        <f>SUM(H675:H677)</f>
        <v>0</v>
      </c>
    </row>
    <row r="679" spans="2:9" ht="14" thickBot="1" x14ac:dyDescent="0.2">
      <c r="B679" s="28" t="s">
        <v>31</v>
      </c>
      <c r="C679" s="28"/>
      <c r="D679" s="26"/>
      <c r="E679" s="1"/>
      <c r="F679" s="1"/>
      <c r="G679" s="1"/>
      <c r="H679" s="225"/>
      <c r="I679" s="225"/>
    </row>
    <row r="680" spans="2:9" x14ac:dyDescent="0.15">
      <c r="B680" s="51" t="s">
        <v>32</v>
      </c>
      <c r="C680" s="86"/>
      <c r="D680" s="97" t="s">
        <v>33</v>
      </c>
      <c r="E680" s="209" t="s">
        <v>34</v>
      </c>
      <c r="F680" s="209" t="s">
        <v>35</v>
      </c>
      <c r="G680" s="209" t="s">
        <v>36</v>
      </c>
      <c r="H680" s="227" t="s">
        <v>25</v>
      </c>
      <c r="I680" s="222"/>
    </row>
    <row r="681" spans="2:9" x14ac:dyDescent="0.15">
      <c r="B681" s="4"/>
      <c r="C681" s="6"/>
      <c r="D681" s="53"/>
      <c r="E681" s="2"/>
      <c r="F681" s="2"/>
      <c r="G681" s="162"/>
      <c r="H681" s="20"/>
      <c r="I681" s="191"/>
    </row>
    <row r="682" spans="2:9" ht="14" thickBot="1" x14ac:dyDescent="0.2">
      <c r="B682" s="33"/>
      <c r="C682" s="34"/>
      <c r="D682" s="98"/>
      <c r="E682" s="21"/>
      <c r="F682" s="99"/>
      <c r="G682" s="23"/>
      <c r="H682" s="167"/>
      <c r="I682" s="177"/>
    </row>
    <row r="683" spans="2:9" ht="14" thickBot="1" x14ac:dyDescent="0.2">
      <c r="B683" s="1"/>
      <c r="C683" s="1"/>
      <c r="D683" s="1"/>
      <c r="E683" s="1"/>
      <c r="F683" s="1"/>
      <c r="G683" s="1"/>
      <c r="H683" s="224" t="s">
        <v>26</v>
      </c>
      <c r="I683" s="177">
        <f>SUM(H681:H681)</f>
        <v>0</v>
      </c>
    </row>
    <row r="684" spans="2:9" ht="14" thickBot="1" x14ac:dyDescent="0.2">
      <c r="B684" s="28" t="s">
        <v>37</v>
      </c>
      <c r="C684" s="28"/>
      <c r="D684" s="1"/>
      <c r="E684" s="1"/>
      <c r="F684" s="1"/>
      <c r="G684" s="1"/>
      <c r="H684" s="225"/>
      <c r="I684" s="225"/>
    </row>
    <row r="685" spans="2:9" x14ac:dyDescent="0.15">
      <c r="B685" s="29" t="s">
        <v>38</v>
      </c>
      <c r="C685" s="30"/>
      <c r="D685" s="31" t="s">
        <v>39</v>
      </c>
      <c r="E685" s="209" t="s">
        <v>40</v>
      </c>
      <c r="F685" s="19" t="s">
        <v>41</v>
      </c>
      <c r="G685" s="31" t="s">
        <v>24</v>
      </c>
      <c r="H685" s="226" t="s">
        <v>25</v>
      </c>
      <c r="I685" s="222"/>
    </row>
    <row r="686" spans="2:9" x14ac:dyDescent="0.15">
      <c r="B686" s="4" t="s">
        <v>512</v>
      </c>
      <c r="C686" s="24"/>
      <c r="D686" s="32">
        <f>'MANO DE OBRA'!E15</f>
        <v>95333</v>
      </c>
      <c r="E686" s="168">
        <v>1.75</v>
      </c>
      <c r="F686" s="20">
        <f>+E686*D686</f>
        <v>166832.75</v>
      </c>
      <c r="G686" s="20">
        <v>15</v>
      </c>
      <c r="H686" s="169">
        <f>+F686/G686</f>
        <v>11122.183333333332</v>
      </c>
      <c r="I686" s="191"/>
    </row>
    <row r="687" spans="2:9" x14ac:dyDescent="0.15">
      <c r="B687" s="4" t="s">
        <v>55</v>
      </c>
      <c r="C687" s="24"/>
      <c r="D687" s="32">
        <f>'MANO DE OBRA'!E14*2</f>
        <v>104000</v>
      </c>
      <c r="E687" s="168">
        <v>1.75</v>
      </c>
      <c r="F687" s="20">
        <f>+E687*D687</f>
        <v>182000</v>
      </c>
      <c r="G687" s="20">
        <v>15</v>
      </c>
      <c r="H687" s="169">
        <f>+F687/G687</f>
        <v>12133.333333333334</v>
      </c>
      <c r="I687" s="191"/>
    </row>
    <row r="688" spans="2:9" ht="14" thickBot="1" x14ac:dyDescent="0.2">
      <c r="B688" s="33"/>
      <c r="C688" s="34"/>
      <c r="D688" s="22"/>
      <c r="E688" s="27"/>
      <c r="F688" s="27"/>
      <c r="G688" s="27"/>
      <c r="H688" s="228"/>
      <c r="I688" s="177"/>
    </row>
    <row r="689" spans="2:10" ht="14" thickBot="1" x14ac:dyDescent="0.2">
      <c r="B689" s="1"/>
      <c r="C689" s="1"/>
      <c r="D689" s="1"/>
      <c r="E689" s="1"/>
      <c r="F689" s="1"/>
      <c r="G689" s="1"/>
      <c r="H689" s="224" t="s">
        <v>26</v>
      </c>
      <c r="I689" s="163">
        <f>SUM(H686:H688)</f>
        <v>23255.516666666666</v>
      </c>
    </row>
    <row r="690" spans="2:10" ht="14" thickBot="1" x14ac:dyDescent="0.2">
      <c r="B690" s="1"/>
      <c r="C690" s="1"/>
      <c r="D690" s="1"/>
      <c r="E690" s="1"/>
      <c r="F690" s="1"/>
      <c r="G690" s="1"/>
      <c r="H690" s="229"/>
      <c r="I690" s="172"/>
    </row>
    <row r="691" spans="2:10" ht="15" thickBot="1" x14ac:dyDescent="0.2">
      <c r="B691" s="1"/>
      <c r="C691" s="1"/>
      <c r="D691" s="1"/>
      <c r="E691" s="1"/>
      <c r="F691" s="35" t="s">
        <v>43</v>
      </c>
      <c r="G691" s="36"/>
      <c r="H691" s="187"/>
      <c r="I691" s="232">
        <f>ROUND((I672+I678+I683+I689),0)</f>
        <v>24418</v>
      </c>
    </row>
    <row r="692" spans="2:10" x14ac:dyDescent="0.15">
      <c r="B692" s="12"/>
      <c r="C692" s="12"/>
      <c r="D692" s="1"/>
      <c r="E692" s="1"/>
      <c r="F692" s="1"/>
      <c r="G692" s="1"/>
      <c r="H692" s="172"/>
      <c r="I692" s="172"/>
    </row>
    <row r="693" spans="2:10" x14ac:dyDescent="0.15">
      <c r="B693" s="16"/>
      <c r="C693" s="16"/>
      <c r="D693" s="16"/>
      <c r="E693" s="16"/>
      <c r="F693" s="16"/>
      <c r="G693" s="61"/>
      <c r="H693" s="173"/>
      <c r="I693" s="172"/>
    </row>
    <row r="694" spans="2:10" x14ac:dyDescent="0.15">
      <c r="B694" s="1"/>
      <c r="C694" s="1"/>
      <c r="D694" s="1"/>
      <c r="E694" s="1"/>
      <c r="F694" s="1"/>
      <c r="G694" s="161"/>
      <c r="H694" s="172"/>
      <c r="I694" s="172"/>
    </row>
    <row r="695" spans="2:10" x14ac:dyDescent="0.15">
      <c r="B695" s="1"/>
      <c r="C695" s="1"/>
      <c r="D695" s="1"/>
      <c r="E695" s="1"/>
      <c r="F695" s="1"/>
      <c r="G695" s="161"/>
      <c r="H695" s="172"/>
      <c r="I695" s="172"/>
    </row>
    <row r="696" spans="2:10" x14ac:dyDescent="0.15">
      <c r="B696" s="1"/>
      <c r="C696" s="1"/>
      <c r="D696" s="1"/>
      <c r="E696" s="1"/>
      <c r="F696" s="1"/>
      <c r="G696" s="161"/>
      <c r="H696" s="172"/>
      <c r="I696" s="172"/>
    </row>
    <row r="697" spans="2:10" ht="14" x14ac:dyDescent="0.15">
      <c r="B697" s="102"/>
      <c r="C697" s="1"/>
      <c r="D697" s="1"/>
      <c r="E697" s="1"/>
      <c r="F697" s="1"/>
      <c r="G697" s="1"/>
      <c r="H697" s="1"/>
      <c r="I697" s="172"/>
    </row>
    <row r="698" spans="2:10" ht="14" x14ac:dyDescent="0.15">
      <c r="B698" s="83"/>
      <c r="C698" s="11"/>
      <c r="D698" s="1"/>
      <c r="E698" s="916"/>
      <c r="F698" s="916"/>
      <c r="G698" s="916"/>
      <c r="H698" s="916"/>
      <c r="I698" s="171"/>
    </row>
    <row r="699" spans="2:10" ht="14" x14ac:dyDescent="0.15">
      <c r="B699" s="102"/>
      <c r="C699" s="83"/>
      <c r="D699" s="84"/>
      <c r="E699" s="83"/>
      <c r="F699" s="83"/>
      <c r="G699" s="102"/>
      <c r="H699" s="83"/>
      <c r="I699" s="85"/>
      <c r="J699" s="85"/>
    </row>
    <row r="700" spans="2:10" ht="14" x14ac:dyDescent="0.15">
      <c r="B700" s="83"/>
      <c r="C700" s="83"/>
      <c r="D700" s="84"/>
      <c r="E700" s="83"/>
      <c r="F700" s="83"/>
      <c r="G700" s="119"/>
      <c r="H700" s="83"/>
      <c r="I700" s="85"/>
      <c r="J700" s="85"/>
    </row>
    <row r="701" spans="2:10" x14ac:dyDescent="0.15">
      <c r="B701" s="11"/>
      <c r="C701" s="11"/>
      <c r="D701" s="11"/>
      <c r="E701" s="11"/>
      <c r="F701" s="11"/>
      <c r="G701" s="11"/>
      <c r="H701" s="11"/>
      <c r="I701" s="11"/>
    </row>
    <row r="702" spans="2:10" x14ac:dyDescent="0.15">
      <c r="B702" s="11"/>
      <c r="C702" s="11"/>
      <c r="D702" s="11"/>
      <c r="E702" s="11"/>
      <c r="F702" s="11"/>
      <c r="G702" s="11"/>
      <c r="H702" s="11"/>
      <c r="I702" s="11"/>
    </row>
    <row r="708" spans="2:10" ht="14" x14ac:dyDescent="0.15">
      <c r="B708" s="102"/>
      <c r="C708" s="83"/>
      <c r="D708" s="84"/>
      <c r="E708" s="83"/>
      <c r="F708" s="83"/>
      <c r="G708" s="103"/>
      <c r="H708" s="83"/>
      <c r="I708" s="85"/>
      <c r="J708" s="85"/>
    </row>
    <row r="709" spans="2:10" ht="14" x14ac:dyDescent="0.15">
      <c r="B709" s="102"/>
      <c r="C709" s="83"/>
      <c r="D709" s="84"/>
      <c r="E709" s="83"/>
      <c r="F709" s="83"/>
      <c r="G709" s="103"/>
      <c r="H709" s="83"/>
      <c r="I709" s="85"/>
      <c r="J709" s="85"/>
    </row>
    <row r="710" spans="2:10" ht="14" x14ac:dyDescent="0.15">
      <c r="B710" s="83"/>
      <c r="C710" s="83"/>
      <c r="D710" s="84"/>
      <c r="E710" s="83"/>
      <c r="F710" s="83"/>
      <c r="G710" s="104"/>
      <c r="H710" s="83"/>
      <c r="I710" s="85"/>
      <c r="J710" s="85"/>
    </row>
    <row r="711" spans="2:10" ht="14" x14ac:dyDescent="0.15">
      <c r="B711" s="83"/>
      <c r="C711" s="83"/>
      <c r="D711" s="84"/>
      <c r="E711" s="83"/>
      <c r="F711" s="83"/>
      <c r="G711" s="104"/>
      <c r="H711" s="83"/>
      <c r="I711" s="85"/>
      <c r="J711" s="85"/>
    </row>
    <row r="712" spans="2:10" ht="15" thickBot="1" x14ac:dyDescent="0.2">
      <c r="B712" s="83"/>
    </row>
    <row r="713" spans="2:10" s="90" customFormat="1" ht="21.75" customHeight="1" x14ac:dyDescent="0.2">
      <c r="B713" s="885" t="s">
        <v>874</v>
      </c>
      <c r="C713" s="886"/>
      <c r="D713" s="886"/>
      <c r="E713" s="886"/>
      <c r="F713" s="887"/>
      <c r="G713" s="89"/>
      <c r="H713" s="931" t="s">
        <v>20</v>
      </c>
      <c r="I713" s="932"/>
    </row>
    <row r="714" spans="2:10" s="90" customFormat="1" ht="21" customHeight="1" x14ac:dyDescent="0.2">
      <c r="B714" s="888" t="s">
        <v>875</v>
      </c>
      <c r="C714" s="889"/>
      <c r="D714" s="889"/>
      <c r="E714" s="889"/>
      <c r="F714" s="890"/>
      <c r="G714" s="91"/>
      <c r="H714" s="933"/>
      <c r="I714" s="934"/>
    </row>
    <row r="715" spans="2:10" s="90" customFormat="1" ht="15" customHeight="1" x14ac:dyDescent="0.2">
      <c r="B715" s="906" t="s">
        <v>876</v>
      </c>
      <c r="C715" s="907"/>
      <c r="D715" s="907"/>
      <c r="E715" s="907"/>
      <c r="F715" s="908"/>
      <c r="G715" s="91"/>
      <c r="H715" s="935" t="s">
        <v>1189</v>
      </c>
      <c r="I715" s="939"/>
    </row>
    <row r="716" spans="2:10" s="90" customFormat="1" ht="15.75" customHeight="1" thickBot="1" x14ac:dyDescent="0.25">
      <c r="B716" s="909"/>
      <c r="C716" s="910"/>
      <c r="D716" s="910"/>
      <c r="E716" s="910"/>
      <c r="F716" s="911"/>
      <c r="G716" s="89"/>
      <c r="H716" s="935"/>
      <c r="I716" s="939"/>
    </row>
    <row r="717" spans="2:10" ht="15.75" customHeight="1" thickBot="1" x14ac:dyDescent="0.2">
      <c r="B717" s="15"/>
      <c r="C717" s="16"/>
      <c r="D717" s="1"/>
      <c r="E717" s="1"/>
      <c r="F717" s="1"/>
      <c r="G717" s="1"/>
      <c r="H717" s="935"/>
      <c r="I717" s="939"/>
    </row>
    <row r="718" spans="2:10" ht="15.75" customHeight="1" x14ac:dyDescent="0.15">
      <c r="B718" s="922" t="s">
        <v>836</v>
      </c>
      <c r="C718" s="923"/>
      <c r="D718" s="923"/>
      <c r="E718" s="923"/>
      <c r="F718" s="924"/>
      <c r="G718" s="1"/>
      <c r="H718" s="935"/>
      <c r="I718" s="939"/>
    </row>
    <row r="719" spans="2:10" ht="15" customHeight="1" x14ac:dyDescent="0.15">
      <c r="B719" s="925"/>
      <c r="C719" s="926"/>
      <c r="D719" s="926"/>
      <c r="E719" s="926"/>
      <c r="F719" s="927"/>
      <c r="H719" s="935"/>
      <c r="I719" s="939"/>
    </row>
    <row r="720" spans="2:10" ht="15" customHeight="1" x14ac:dyDescent="0.15">
      <c r="B720" s="925"/>
      <c r="C720" s="926"/>
      <c r="D720" s="926"/>
      <c r="E720" s="926"/>
      <c r="F720" s="927"/>
      <c r="G720" s="11"/>
      <c r="H720" s="935"/>
      <c r="I720" s="939"/>
    </row>
    <row r="721" spans="2:9" ht="13.5" customHeight="1" thickBot="1" x14ac:dyDescent="0.2">
      <c r="B721" s="928"/>
      <c r="C721" s="929"/>
      <c r="D721" s="929"/>
      <c r="E721" s="929"/>
      <c r="F721" s="930"/>
      <c r="H721" s="64" t="s">
        <v>45</v>
      </c>
      <c r="I721" s="17" t="s">
        <v>5</v>
      </c>
    </row>
    <row r="722" spans="2:9" x14ac:dyDescent="0.15">
      <c r="B722" s="18"/>
      <c r="C722" s="18"/>
      <c r="D722" s="1"/>
      <c r="E722" s="18"/>
      <c r="F722" s="18"/>
      <c r="G722" s="18"/>
      <c r="H722" s="18"/>
      <c r="I722" s="1"/>
    </row>
    <row r="723" spans="2:9" ht="14" thickBot="1" x14ac:dyDescent="0.2">
      <c r="B723" s="12" t="s">
        <v>21</v>
      </c>
      <c r="C723" s="12"/>
      <c r="D723" s="1"/>
      <c r="E723" s="1"/>
      <c r="F723" s="1"/>
      <c r="G723" s="1"/>
      <c r="H723" s="1"/>
      <c r="I723" s="1"/>
    </row>
    <row r="724" spans="2:9" x14ac:dyDescent="0.15">
      <c r="B724" s="903" t="s">
        <v>22</v>
      </c>
      <c r="C724" s="904"/>
      <c r="D724" s="905"/>
      <c r="E724" s="209" t="s">
        <v>23</v>
      </c>
      <c r="F724" s="19" t="s">
        <v>623</v>
      </c>
      <c r="G724" s="209" t="s">
        <v>24</v>
      </c>
      <c r="H724" s="208" t="s">
        <v>25</v>
      </c>
      <c r="I724" s="222"/>
    </row>
    <row r="725" spans="2:9" ht="15" customHeight="1" x14ac:dyDescent="0.15">
      <c r="B725" s="897" t="s">
        <v>56</v>
      </c>
      <c r="C725" s="898"/>
      <c r="D725" s="899"/>
      <c r="E725" s="5"/>
      <c r="F725" s="164"/>
      <c r="G725" s="20"/>
      <c r="H725" s="165">
        <f>I743*0.05</f>
        <v>455</v>
      </c>
      <c r="I725" s="191"/>
    </row>
    <row r="726" spans="2:9" ht="14" thickBot="1" x14ac:dyDescent="0.2">
      <c r="B726" s="900"/>
      <c r="C726" s="901"/>
      <c r="D726" s="902"/>
      <c r="E726" s="21"/>
      <c r="F726" s="22"/>
      <c r="G726" s="23"/>
      <c r="H726" s="223"/>
      <c r="I726" s="177"/>
    </row>
    <row r="727" spans="2:9" ht="14" thickBot="1" x14ac:dyDescent="0.2">
      <c r="B727" s="1"/>
      <c r="C727" s="1"/>
      <c r="D727" s="1"/>
      <c r="E727" s="1"/>
      <c r="F727" s="1"/>
      <c r="G727" s="1"/>
      <c r="H727" s="224" t="s">
        <v>26</v>
      </c>
      <c r="I727" s="163">
        <f>SUM(H725:H725)</f>
        <v>455</v>
      </c>
    </row>
    <row r="728" spans="2:9" ht="14" thickBot="1" x14ac:dyDescent="0.2">
      <c r="B728" s="12" t="s">
        <v>27</v>
      </c>
      <c r="C728" s="12"/>
      <c r="D728" s="1"/>
      <c r="E728" s="1"/>
      <c r="F728" s="1"/>
      <c r="G728" s="1"/>
      <c r="H728" s="225"/>
      <c r="I728" s="225"/>
    </row>
    <row r="729" spans="2:9" x14ac:dyDescent="0.15">
      <c r="B729" s="903" t="s">
        <v>22</v>
      </c>
      <c r="C729" s="904"/>
      <c r="D729" s="905"/>
      <c r="E729" s="209" t="s">
        <v>28</v>
      </c>
      <c r="F729" s="209" t="s">
        <v>29</v>
      </c>
      <c r="G729" s="209" t="s">
        <v>30</v>
      </c>
      <c r="H729" s="226" t="s">
        <v>25</v>
      </c>
      <c r="I729" s="222"/>
    </row>
    <row r="730" spans="2:9" x14ac:dyDescent="0.15">
      <c r="B730" s="4"/>
      <c r="C730" s="24"/>
      <c r="D730" s="6"/>
      <c r="E730" s="3"/>
      <c r="F730" s="164"/>
      <c r="G730" s="50"/>
      <c r="H730" s="165"/>
      <c r="I730" s="191"/>
    </row>
    <row r="731" spans="2:9" x14ac:dyDescent="0.15">
      <c r="B731" s="4"/>
      <c r="C731" s="24"/>
      <c r="D731" s="6"/>
      <c r="E731" s="5"/>
      <c r="F731" s="164"/>
      <c r="G731" s="182"/>
      <c r="H731" s="186"/>
      <c r="I731" s="191"/>
    </row>
    <row r="732" spans="2:9" ht="14" thickBot="1" x14ac:dyDescent="0.2">
      <c r="B732" s="25"/>
      <c r="C732" s="26"/>
      <c r="D732" s="27"/>
      <c r="E732" s="21"/>
      <c r="F732" s="22"/>
      <c r="G732" s="23"/>
      <c r="H732" s="223"/>
      <c r="I732" s="177"/>
    </row>
    <row r="733" spans="2:9" ht="14" thickBot="1" x14ac:dyDescent="0.2">
      <c r="B733" s="1"/>
      <c r="C733" s="1"/>
      <c r="D733" s="1"/>
      <c r="E733" s="1"/>
      <c r="F733" s="1"/>
      <c r="G733" s="1"/>
      <c r="H733" s="224" t="s">
        <v>26</v>
      </c>
      <c r="I733" s="163">
        <f>SUM(H730:H732)</f>
        <v>0</v>
      </c>
    </row>
    <row r="734" spans="2:9" ht="14" thickBot="1" x14ac:dyDescent="0.2">
      <c r="B734" s="28" t="s">
        <v>31</v>
      </c>
      <c r="C734" s="28"/>
      <c r="D734" s="26"/>
      <c r="E734" s="1"/>
      <c r="F734" s="1"/>
      <c r="G734" s="1"/>
      <c r="H734" s="225"/>
      <c r="I734" s="225"/>
    </row>
    <row r="735" spans="2:9" x14ac:dyDescent="0.15">
      <c r="B735" s="51" t="s">
        <v>32</v>
      </c>
      <c r="C735" s="86"/>
      <c r="D735" s="97" t="s">
        <v>33</v>
      </c>
      <c r="E735" s="209" t="s">
        <v>34</v>
      </c>
      <c r="F735" s="209" t="s">
        <v>35</v>
      </c>
      <c r="G735" s="209" t="s">
        <v>36</v>
      </c>
      <c r="H735" s="227" t="s">
        <v>25</v>
      </c>
      <c r="I735" s="222"/>
    </row>
    <row r="736" spans="2:9" x14ac:dyDescent="0.15">
      <c r="B736" s="4"/>
      <c r="C736" s="6"/>
      <c r="D736" s="53"/>
      <c r="E736" s="2"/>
      <c r="F736" s="2"/>
      <c r="G736" s="162"/>
      <c r="H736" s="20"/>
      <c r="I736" s="191"/>
    </row>
    <row r="737" spans="2:9" ht="14" thickBot="1" x14ac:dyDescent="0.2">
      <c r="B737" s="33"/>
      <c r="C737" s="34"/>
      <c r="D737" s="98"/>
      <c r="E737" s="21"/>
      <c r="F737" s="99"/>
      <c r="G737" s="23"/>
      <c r="H737" s="167"/>
      <c r="I737" s="177"/>
    </row>
    <row r="738" spans="2:9" ht="14" thickBot="1" x14ac:dyDescent="0.2">
      <c r="B738" s="1"/>
      <c r="C738" s="1"/>
      <c r="D738" s="1"/>
      <c r="E738" s="1"/>
      <c r="F738" s="1"/>
      <c r="G738" s="1"/>
      <c r="H738" s="224" t="s">
        <v>26</v>
      </c>
      <c r="I738" s="177">
        <f>SUM(H736:H736)</f>
        <v>0</v>
      </c>
    </row>
    <row r="739" spans="2:9" ht="14" thickBot="1" x14ac:dyDescent="0.2">
      <c r="B739" s="28" t="s">
        <v>37</v>
      </c>
      <c r="C739" s="28"/>
      <c r="D739" s="1"/>
      <c r="E739" s="1"/>
      <c r="F739" s="1"/>
      <c r="G739" s="1"/>
      <c r="H739" s="225"/>
      <c r="I739" s="225"/>
    </row>
    <row r="740" spans="2:9" x14ac:dyDescent="0.15">
      <c r="B740" s="29" t="s">
        <v>38</v>
      </c>
      <c r="C740" s="30"/>
      <c r="D740" s="31" t="s">
        <v>39</v>
      </c>
      <c r="E740" s="209" t="s">
        <v>40</v>
      </c>
      <c r="F740" s="19" t="s">
        <v>41</v>
      </c>
      <c r="G740" s="31" t="s">
        <v>24</v>
      </c>
      <c r="H740" s="226" t="s">
        <v>25</v>
      </c>
      <c r="I740" s="222"/>
    </row>
    <row r="741" spans="2:9" x14ac:dyDescent="0.15">
      <c r="B741" s="4" t="s">
        <v>520</v>
      </c>
      <c r="C741" s="24"/>
      <c r="D741" s="32">
        <f>'MANO DE OBRA'!E14*4</f>
        <v>208000</v>
      </c>
      <c r="E741" s="168">
        <v>1.75</v>
      </c>
      <c r="F741" s="20">
        <f>+E741*D741</f>
        <v>364000</v>
      </c>
      <c r="G741" s="20">
        <v>40</v>
      </c>
      <c r="H741" s="169">
        <f>+F741/G741</f>
        <v>9100</v>
      </c>
      <c r="I741" s="191"/>
    </row>
    <row r="742" spans="2:9" ht="14" thickBot="1" x14ac:dyDescent="0.2">
      <c r="B742" s="33"/>
      <c r="C742" s="34"/>
      <c r="D742" s="22"/>
      <c r="E742" s="27"/>
      <c r="F742" s="27"/>
      <c r="G742" s="27"/>
      <c r="H742" s="228"/>
      <c r="I742" s="177"/>
    </row>
    <row r="743" spans="2:9" ht="14" thickBot="1" x14ac:dyDescent="0.2">
      <c r="B743" s="1"/>
      <c r="C743" s="1"/>
      <c r="D743" s="1"/>
      <c r="E743" s="1"/>
      <c r="F743" s="1"/>
      <c r="G743" s="1"/>
      <c r="H743" s="224" t="s">
        <v>26</v>
      </c>
      <c r="I743" s="163">
        <f>SUM(H741:H742)</f>
        <v>9100</v>
      </c>
    </row>
    <row r="744" spans="2:9" ht="14" thickBot="1" x14ac:dyDescent="0.2">
      <c r="B744" s="1"/>
      <c r="C744" s="1"/>
      <c r="D744" s="1"/>
      <c r="E744" s="1"/>
      <c r="F744" s="1"/>
      <c r="G744" s="1"/>
      <c r="H744" s="229"/>
      <c r="I744" s="172"/>
    </row>
    <row r="745" spans="2:9" ht="15" thickBot="1" x14ac:dyDescent="0.2">
      <c r="B745" s="1"/>
      <c r="C745" s="1"/>
      <c r="D745" s="1"/>
      <c r="E745" s="1"/>
      <c r="F745" s="35" t="s">
        <v>43</v>
      </c>
      <c r="G745" s="36"/>
      <c r="H745" s="187"/>
      <c r="I745" s="232">
        <f>ROUND((I727+I733+I738+I743),0)</f>
        <v>9555</v>
      </c>
    </row>
    <row r="746" spans="2:9" x14ac:dyDescent="0.15">
      <c r="B746" s="12"/>
      <c r="C746" s="12"/>
      <c r="D746" s="1"/>
      <c r="E746" s="1"/>
      <c r="F746" s="1"/>
      <c r="G746" s="1"/>
      <c r="H746" s="172"/>
      <c r="I746" s="172"/>
    </row>
    <row r="747" spans="2:9" x14ac:dyDescent="0.15">
      <c r="B747" s="16"/>
      <c r="C747" s="16"/>
      <c r="D747" s="16"/>
      <c r="E747" s="16"/>
      <c r="F747" s="16"/>
      <c r="G747" s="61"/>
      <c r="H747" s="173"/>
      <c r="I747" s="172"/>
    </row>
    <row r="748" spans="2:9" x14ac:dyDescent="0.15">
      <c r="B748" s="1"/>
      <c r="C748" s="1"/>
      <c r="D748" s="1"/>
      <c r="E748" s="1"/>
      <c r="F748" s="1"/>
      <c r="G748" s="161"/>
      <c r="H748" s="172"/>
      <c r="I748" s="172"/>
    </row>
    <row r="749" spans="2:9" x14ac:dyDescent="0.15">
      <c r="B749" s="1"/>
      <c r="C749" s="1"/>
      <c r="D749" s="1"/>
      <c r="E749" s="1"/>
      <c r="F749" s="1"/>
      <c r="G749" s="161"/>
      <c r="H749" s="172"/>
      <c r="I749" s="172"/>
    </row>
    <row r="750" spans="2:9" x14ac:dyDescent="0.15">
      <c r="B750" s="1"/>
      <c r="C750" s="1"/>
      <c r="D750" s="1"/>
      <c r="E750" s="1"/>
      <c r="F750" s="1"/>
      <c r="G750" s="161"/>
      <c r="H750" s="172"/>
      <c r="I750" s="172"/>
    </row>
    <row r="751" spans="2:9" x14ac:dyDescent="0.15">
      <c r="B751" s="1"/>
      <c r="C751" s="1"/>
      <c r="D751" s="1"/>
      <c r="E751" s="1"/>
      <c r="F751" s="1"/>
      <c r="G751" s="1"/>
      <c r="H751" s="37"/>
      <c r="I751" s="172"/>
    </row>
    <row r="752" spans="2:9" ht="14" x14ac:dyDescent="0.15">
      <c r="B752" s="102"/>
      <c r="C752" s="1"/>
      <c r="D752" s="1"/>
      <c r="E752" s="1"/>
      <c r="F752" s="1"/>
      <c r="G752" s="1"/>
      <c r="H752" s="1"/>
      <c r="I752" s="172"/>
    </row>
    <row r="753" spans="2:10" ht="14" x14ac:dyDescent="0.15">
      <c r="B753" s="83"/>
      <c r="C753" s="11"/>
      <c r="D753" s="1"/>
      <c r="E753" s="916"/>
      <c r="F753" s="916"/>
      <c r="G753" s="916"/>
      <c r="H753" s="916"/>
      <c r="I753" s="171"/>
    </row>
    <row r="754" spans="2:10" ht="14" x14ac:dyDescent="0.15">
      <c r="B754" s="102"/>
      <c r="C754" s="83"/>
      <c r="D754" s="84"/>
      <c r="E754" s="83"/>
      <c r="F754" s="83"/>
      <c r="G754" s="102"/>
      <c r="H754" s="83"/>
      <c r="I754" s="85"/>
      <c r="J754" s="85"/>
    </row>
    <row r="755" spans="2:10" ht="14" x14ac:dyDescent="0.15">
      <c r="B755" s="83"/>
      <c r="C755" s="83"/>
      <c r="D755" s="84"/>
      <c r="E755" s="83"/>
      <c r="F755" s="83"/>
      <c r="G755" s="119"/>
      <c r="H755" s="83"/>
      <c r="I755" s="85"/>
      <c r="J755" s="85"/>
    </row>
    <row r="756" spans="2:10" x14ac:dyDescent="0.15">
      <c r="B756" s="11"/>
      <c r="C756" s="11"/>
      <c r="D756" s="11"/>
      <c r="E756" s="11"/>
      <c r="F756" s="11"/>
      <c r="G756" s="11"/>
      <c r="H756" s="11"/>
      <c r="I756" s="11"/>
    </row>
    <row r="757" spans="2:10" x14ac:dyDescent="0.15">
      <c r="B757" s="11"/>
      <c r="C757" s="11"/>
      <c r="D757" s="11"/>
      <c r="E757" s="11"/>
      <c r="F757" s="11"/>
      <c r="G757" s="11"/>
      <c r="H757" s="11"/>
      <c r="I757" s="11"/>
    </row>
    <row r="758" spans="2:10" x14ac:dyDescent="0.15">
      <c r="B758" s="11"/>
      <c r="C758" s="11"/>
      <c r="D758" s="11"/>
      <c r="E758" s="11"/>
      <c r="F758" s="11"/>
      <c r="G758" s="11"/>
      <c r="H758" s="11"/>
      <c r="I758" s="11"/>
    </row>
    <row r="762" spans="2:10" ht="14" x14ac:dyDescent="0.15">
      <c r="B762" s="102"/>
      <c r="C762" s="83"/>
      <c r="D762" s="84"/>
      <c r="E762" s="83"/>
      <c r="F762" s="83"/>
      <c r="G762" s="103"/>
      <c r="H762" s="83"/>
      <c r="I762" s="85"/>
      <c r="J762" s="85"/>
    </row>
    <row r="763" spans="2:10" ht="14" x14ac:dyDescent="0.15">
      <c r="B763" s="102"/>
      <c r="C763" s="83"/>
      <c r="D763" s="84"/>
      <c r="E763" s="83"/>
      <c r="F763" s="83"/>
      <c r="G763" s="103"/>
      <c r="H763" s="83"/>
      <c r="I763" s="85"/>
      <c r="J763" s="85"/>
    </row>
    <row r="764" spans="2:10" ht="14" x14ac:dyDescent="0.15">
      <c r="B764" s="83"/>
      <c r="C764" s="83"/>
      <c r="D764" s="84"/>
      <c r="E764" s="83"/>
      <c r="F764" s="83"/>
      <c r="G764" s="104"/>
      <c r="H764" s="83"/>
      <c r="I764" s="85"/>
      <c r="J764" s="85"/>
    </row>
    <row r="765" spans="2:10" ht="14" x14ac:dyDescent="0.15">
      <c r="B765" s="83"/>
      <c r="C765" s="83"/>
      <c r="D765" s="84"/>
      <c r="E765" s="83"/>
      <c r="F765" s="83"/>
      <c r="G765" s="104"/>
      <c r="H765" s="83"/>
      <c r="I765" s="85"/>
      <c r="J765" s="85"/>
    </row>
    <row r="766" spans="2:10" ht="15" thickBot="1" x14ac:dyDescent="0.2">
      <c r="B766" s="83"/>
    </row>
    <row r="767" spans="2:10" s="90" customFormat="1" ht="21.75" customHeight="1" x14ac:dyDescent="0.2">
      <c r="B767" s="885" t="s">
        <v>874</v>
      </c>
      <c r="C767" s="886"/>
      <c r="D767" s="886"/>
      <c r="E767" s="886"/>
      <c r="F767" s="887"/>
      <c r="G767" s="89"/>
      <c r="H767" s="931" t="s">
        <v>20</v>
      </c>
      <c r="I767" s="932"/>
    </row>
    <row r="768" spans="2:10" s="90" customFormat="1" ht="21" customHeight="1" x14ac:dyDescent="0.2">
      <c r="B768" s="888" t="s">
        <v>875</v>
      </c>
      <c r="C768" s="889"/>
      <c r="D768" s="889"/>
      <c r="E768" s="889"/>
      <c r="F768" s="890"/>
      <c r="G768" s="91"/>
      <c r="H768" s="933"/>
      <c r="I768" s="934"/>
    </row>
    <row r="769" spans="2:9" s="90" customFormat="1" ht="15" customHeight="1" x14ac:dyDescent="0.2">
      <c r="B769" s="906" t="s">
        <v>876</v>
      </c>
      <c r="C769" s="907"/>
      <c r="D769" s="907"/>
      <c r="E769" s="907"/>
      <c r="F769" s="908"/>
      <c r="G769" s="91"/>
      <c r="H769" s="935" t="s">
        <v>1166</v>
      </c>
      <c r="I769" s="939"/>
    </row>
    <row r="770" spans="2:9" s="90" customFormat="1" ht="15.75" customHeight="1" thickBot="1" x14ac:dyDescent="0.25">
      <c r="B770" s="909"/>
      <c r="C770" s="910"/>
      <c r="D770" s="910"/>
      <c r="E770" s="910"/>
      <c r="F770" s="911"/>
      <c r="G770" s="89"/>
      <c r="H770" s="935"/>
      <c r="I770" s="939"/>
    </row>
    <row r="771" spans="2:9" ht="15.75" customHeight="1" thickBot="1" x14ac:dyDescent="0.2">
      <c r="B771" s="15"/>
      <c r="C771" s="16"/>
      <c r="D771" s="1"/>
      <c r="E771" s="1"/>
      <c r="F771" s="1"/>
      <c r="G771" s="1"/>
      <c r="H771" s="935"/>
      <c r="I771" s="939"/>
    </row>
    <row r="772" spans="2:9" ht="15.75" customHeight="1" x14ac:dyDescent="0.15">
      <c r="B772" s="922" t="s">
        <v>836</v>
      </c>
      <c r="C772" s="923"/>
      <c r="D772" s="923"/>
      <c r="E772" s="923"/>
      <c r="F772" s="924"/>
      <c r="G772" s="1"/>
      <c r="H772" s="935"/>
      <c r="I772" s="939"/>
    </row>
    <row r="773" spans="2:9" ht="15" customHeight="1" x14ac:dyDescent="0.15">
      <c r="B773" s="925"/>
      <c r="C773" s="926"/>
      <c r="D773" s="926"/>
      <c r="E773" s="926"/>
      <c r="F773" s="927"/>
      <c r="H773" s="935"/>
      <c r="I773" s="939"/>
    </row>
    <row r="774" spans="2:9" ht="15" customHeight="1" x14ac:dyDescent="0.15">
      <c r="B774" s="925"/>
      <c r="C774" s="926"/>
      <c r="D774" s="926"/>
      <c r="E774" s="926"/>
      <c r="F774" s="927"/>
      <c r="G774" s="11"/>
      <c r="H774" s="935"/>
      <c r="I774" s="939"/>
    </row>
    <row r="775" spans="2:9" ht="13.5" customHeight="1" thickBot="1" x14ac:dyDescent="0.2">
      <c r="B775" s="928"/>
      <c r="C775" s="929"/>
      <c r="D775" s="929"/>
      <c r="E775" s="929"/>
      <c r="F775" s="930"/>
      <c r="H775" s="64" t="s">
        <v>45</v>
      </c>
      <c r="I775" s="17" t="s">
        <v>5</v>
      </c>
    </row>
    <row r="776" spans="2:9" x14ac:dyDescent="0.15">
      <c r="B776" s="18"/>
      <c r="C776" s="18"/>
      <c r="D776" s="1"/>
      <c r="E776" s="18"/>
      <c r="F776" s="18"/>
      <c r="G776" s="18"/>
      <c r="H776" s="18"/>
      <c r="I776" s="1"/>
    </row>
    <row r="777" spans="2:9" ht="14" thickBot="1" x14ac:dyDescent="0.2">
      <c r="B777" s="12" t="s">
        <v>21</v>
      </c>
      <c r="C777" s="12"/>
      <c r="D777" s="1"/>
      <c r="E777" s="1"/>
      <c r="F777" s="1"/>
      <c r="G777" s="1"/>
      <c r="H777" s="1"/>
      <c r="I777" s="1"/>
    </row>
    <row r="778" spans="2:9" x14ac:dyDescent="0.15">
      <c r="B778" s="903" t="s">
        <v>22</v>
      </c>
      <c r="C778" s="904"/>
      <c r="D778" s="905"/>
      <c r="E778" s="209" t="s">
        <v>23</v>
      </c>
      <c r="F778" s="19" t="s">
        <v>623</v>
      </c>
      <c r="G778" s="209" t="s">
        <v>24</v>
      </c>
      <c r="H778" s="208" t="s">
        <v>25</v>
      </c>
      <c r="I778" s="222"/>
    </row>
    <row r="779" spans="2:9" ht="15" customHeight="1" x14ac:dyDescent="0.15">
      <c r="B779" s="897" t="s">
        <v>56</v>
      </c>
      <c r="C779" s="898"/>
      <c r="D779" s="899"/>
      <c r="E779" s="5"/>
      <c r="F779" s="164"/>
      <c r="G779" s="20"/>
      <c r="H779" s="165">
        <f>I797*0.05</f>
        <v>520</v>
      </c>
      <c r="I779" s="191"/>
    </row>
    <row r="780" spans="2:9" ht="14" thickBot="1" x14ac:dyDescent="0.2">
      <c r="B780" s="900"/>
      <c r="C780" s="901"/>
      <c r="D780" s="902"/>
      <c r="E780" s="21"/>
      <c r="F780" s="22"/>
      <c r="G780" s="23"/>
      <c r="H780" s="223"/>
      <c r="I780" s="177"/>
    </row>
    <row r="781" spans="2:9" ht="14" thickBot="1" x14ac:dyDescent="0.2">
      <c r="B781" s="1"/>
      <c r="C781" s="1"/>
      <c r="D781" s="1"/>
      <c r="E781" s="1"/>
      <c r="F781" s="1"/>
      <c r="G781" s="1"/>
      <c r="H781" s="224" t="s">
        <v>26</v>
      </c>
      <c r="I781" s="163">
        <f>SUM(H779:H779)</f>
        <v>520</v>
      </c>
    </row>
    <row r="782" spans="2:9" ht="14" thickBot="1" x14ac:dyDescent="0.2">
      <c r="B782" s="12" t="s">
        <v>27</v>
      </c>
      <c r="C782" s="12"/>
      <c r="D782" s="1"/>
      <c r="E782" s="1"/>
      <c r="F782" s="1"/>
      <c r="G782" s="1"/>
      <c r="H782" s="225"/>
      <c r="I782" s="225"/>
    </row>
    <row r="783" spans="2:9" x14ac:dyDescent="0.15">
      <c r="B783" s="903" t="s">
        <v>22</v>
      </c>
      <c r="C783" s="904"/>
      <c r="D783" s="905"/>
      <c r="E783" s="209" t="s">
        <v>28</v>
      </c>
      <c r="F783" s="209" t="s">
        <v>29</v>
      </c>
      <c r="G783" s="209" t="s">
        <v>30</v>
      </c>
      <c r="H783" s="226" t="s">
        <v>25</v>
      </c>
      <c r="I783" s="222"/>
    </row>
    <row r="784" spans="2:9" x14ac:dyDescent="0.15">
      <c r="B784" s="4"/>
      <c r="C784" s="24"/>
      <c r="D784" s="6"/>
      <c r="E784" s="3"/>
      <c r="F784" s="164"/>
      <c r="G784" s="50"/>
      <c r="H784" s="165"/>
      <c r="I784" s="191"/>
    </row>
    <row r="785" spans="2:9" x14ac:dyDescent="0.15">
      <c r="B785" s="4"/>
      <c r="C785" s="24"/>
      <c r="D785" s="6"/>
      <c r="E785" s="5"/>
      <c r="F785" s="164"/>
      <c r="G785" s="182"/>
      <c r="H785" s="186"/>
      <c r="I785" s="191"/>
    </row>
    <row r="786" spans="2:9" ht="14" thickBot="1" x14ac:dyDescent="0.2">
      <c r="B786" s="25"/>
      <c r="C786" s="26"/>
      <c r="D786" s="27"/>
      <c r="E786" s="21"/>
      <c r="F786" s="22"/>
      <c r="G786" s="23"/>
      <c r="H786" s="223"/>
      <c r="I786" s="177"/>
    </row>
    <row r="787" spans="2:9" ht="14" thickBot="1" x14ac:dyDescent="0.2">
      <c r="B787" s="1"/>
      <c r="C787" s="1"/>
      <c r="D787" s="1"/>
      <c r="E787" s="1"/>
      <c r="F787" s="1"/>
      <c r="G787" s="1"/>
      <c r="H787" s="224" t="s">
        <v>26</v>
      </c>
      <c r="I787" s="163">
        <f>SUM(H784:H786)</f>
        <v>0</v>
      </c>
    </row>
    <row r="788" spans="2:9" ht="14" thickBot="1" x14ac:dyDescent="0.2">
      <c r="B788" s="28" t="s">
        <v>31</v>
      </c>
      <c r="C788" s="28"/>
      <c r="D788" s="26"/>
      <c r="E788" s="1"/>
      <c r="F788" s="1"/>
      <c r="G788" s="1"/>
      <c r="H788" s="225"/>
      <c r="I788" s="225"/>
    </row>
    <row r="789" spans="2:9" x14ac:dyDescent="0.15">
      <c r="B789" s="51" t="s">
        <v>32</v>
      </c>
      <c r="C789" s="86"/>
      <c r="D789" s="97" t="s">
        <v>33</v>
      </c>
      <c r="E789" s="209" t="s">
        <v>34</v>
      </c>
      <c r="F789" s="209" t="s">
        <v>35</v>
      </c>
      <c r="G789" s="209" t="s">
        <v>36</v>
      </c>
      <c r="H789" s="227" t="s">
        <v>25</v>
      </c>
      <c r="I789" s="222"/>
    </row>
    <row r="790" spans="2:9" x14ac:dyDescent="0.15">
      <c r="B790" s="4"/>
      <c r="C790" s="6"/>
      <c r="D790" s="53"/>
      <c r="E790" s="2"/>
      <c r="F790" s="2"/>
      <c r="G790" s="162"/>
      <c r="H790" s="20"/>
      <c r="I790" s="191"/>
    </row>
    <row r="791" spans="2:9" ht="14" thickBot="1" x14ac:dyDescent="0.2">
      <c r="B791" s="33"/>
      <c r="C791" s="34"/>
      <c r="D791" s="98"/>
      <c r="E791" s="21"/>
      <c r="F791" s="99"/>
      <c r="G791" s="23"/>
      <c r="H791" s="167"/>
      <c r="I791" s="177"/>
    </row>
    <row r="792" spans="2:9" ht="14" thickBot="1" x14ac:dyDescent="0.2">
      <c r="B792" s="1"/>
      <c r="C792" s="1"/>
      <c r="D792" s="1"/>
      <c r="E792" s="1"/>
      <c r="F792" s="1"/>
      <c r="G792" s="1"/>
      <c r="H792" s="224" t="s">
        <v>26</v>
      </c>
      <c r="I792" s="177">
        <f>SUM(H790:H790)</f>
        <v>0</v>
      </c>
    </row>
    <row r="793" spans="2:9" ht="14" thickBot="1" x14ac:dyDescent="0.2">
      <c r="B793" s="28" t="s">
        <v>37</v>
      </c>
      <c r="C793" s="28"/>
      <c r="D793" s="1"/>
      <c r="E793" s="1"/>
      <c r="F793" s="1"/>
      <c r="G793" s="1"/>
      <c r="H793" s="225"/>
      <c r="I793" s="225"/>
    </row>
    <row r="794" spans="2:9" x14ac:dyDescent="0.15">
      <c r="B794" s="29" t="s">
        <v>38</v>
      </c>
      <c r="C794" s="30"/>
      <c r="D794" s="31" t="s">
        <v>39</v>
      </c>
      <c r="E794" s="209" t="s">
        <v>40</v>
      </c>
      <c r="F794" s="19" t="s">
        <v>41</v>
      </c>
      <c r="G794" s="31" t="s">
        <v>24</v>
      </c>
      <c r="H794" s="226" t="s">
        <v>25</v>
      </c>
      <c r="I794" s="222"/>
    </row>
    <row r="795" spans="2:9" x14ac:dyDescent="0.15">
      <c r="B795" s="4" t="s">
        <v>520</v>
      </c>
      <c r="C795" s="24"/>
      <c r="D795" s="32">
        <f>'MANO DE OBRA'!E14*4</f>
        <v>208000</v>
      </c>
      <c r="E795" s="168">
        <v>1.75</v>
      </c>
      <c r="F795" s="20">
        <f>+E795*D795</f>
        <v>364000</v>
      </c>
      <c r="G795" s="20">
        <v>35</v>
      </c>
      <c r="H795" s="169">
        <f>+F795/G795</f>
        <v>10400</v>
      </c>
      <c r="I795" s="191"/>
    </row>
    <row r="796" spans="2:9" ht="14" thickBot="1" x14ac:dyDescent="0.2">
      <c r="B796" s="33"/>
      <c r="C796" s="34"/>
      <c r="D796" s="22"/>
      <c r="E796" s="27"/>
      <c r="F796" s="27"/>
      <c r="G796" s="27"/>
      <c r="H796" s="228"/>
      <c r="I796" s="177"/>
    </row>
    <row r="797" spans="2:9" ht="14" thickBot="1" x14ac:dyDescent="0.2">
      <c r="B797" s="1"/>
      <c r="C797" s="1"/>
      <c r="D797" s="1"/>
      <c r="E797" s="1"/>
      <c r="F797" s="1"/>
      <c r="G797" s="1"/>
      <c r="H797" s="224" t="s">
        <v>26</v>
      </c>
      <c r="I797" s="163">
        <f>SUM(H795:H796)</f>
        <v>10400</v>
      </c>
    </row>
    <row r="798" spans="2:9" ht="14" thickBot="1" x14ac:dyDescent="0.2">
      <c r="B798" s="1"/>
      <c r="C798" s="1"/>
      <c r="D798" s="1"/>
      <c r="E798" s="1"/>
      <c r="F798" s="1"/>
      <c r="G798" s="1"/>
      <c r="H798" s="229"/>
      <c r="I798" s="172"/>
    </row>
    <row r="799" spans="2:9" ht="15" thickBot="1" x14ac:dyDescent="0.2">
      <c r="B799" s="1"/>
      <c r="C799" s="1"/>
      <c r="D799" s="1"/>
      <c r="E799" s="1"/>
      <c r="F799" s="35" t="s">
        <v>43</v>
      </c>
      <c r="G799" s="36"/>
      <c r="H799" s="187"/>
      <c r="I799" s="232">
        <f>ROUND((I781+I787+I792+I797),0)</f>
        <v>10920</v>
      </c>
    </row>
    <row r="800" spans="2:9" x14ac:dyDescent="0.15">
      <c r="B800" s="12"/>
      <c r="C800" s="12"/>
      <c r="D800" s="1"/>
      <c r="E800" s="1"/>
      <c r="F800" s="1"/>
      <c r="G800" s="1"/>
      <c r="H800" s="172"/>
      <c r="I800" s="172"/>
    </row>
    <row r="801" spans="2:10" x14ac:dyDescent="0.15">
      <c r="B801" s="16"/>
      <c r="C801" s="16"/>
      <c r="D801" s="16"/>
      <c r="E801" s="16"/>
      <c r="F801" s="16"/>
      <c r="G801" s="61"/>
      <c r="H801" s="173"/>
      <c r="I801" s="172"/>
    </row>
    <row r="802" spans="2:10" x14ac:dyDescent="0.15">
      <c r="B802" s="1"/>
      <c r="C802" s="1"/>
      <c r="D802" s="1"/>
      <c r="E802" s="1"/>
      <c r="F802" s="1"/>
      <c r="G802" s="161"/>
      <c r="H802" s="172"/>
      <c r="I802" s="172"/>
    </row>
    <row r="803" spans="2:10" x14ac:dyDescent="0.15">
      <c r="B803" s="1"/>
      <c r="C803" s="1"/>
      <c r="D803" s="1"/>
      <c r="E803" s="1"/>
      <c r="F803" s="1"/>
      <c r="G803" s="161"/>
      <c r="H803" s="172"/>
      <c r="I803" s="172"/>
    </row>
    <row r="804" spans="2:10" x14ac:dyDescent="0.15">
      <c r="B804" s="1"/>
      <c r="C804" s="1"/>
      <c r="D804" s="1"/>
      <c r="E804" s="1"/>
      <c r="F804" s="1"/>
      <c r="G804" s="161"/>
      <c r="H804" s="172"/>
      <c r="I804" s="172"/>
    </row>
    <row r="805" spans="2:10" x14ac:dyDescent="0.15">
      <c r="B805" s="1"/>
      <c r="C805" s="1"/>
      <c r="D805" s="1"/>
      <c r="E805" s="1"/>
      <c r="F805" s="1"/>
      <c r="G805" s="1"/>
      <c r="H805" s="37"/>
      <c r="I805" s="172"/>
    </row>
    <row r="806" spans="2:10" ht="14" x14ac:dyDescent="0.15">
      <c r="B806" s="102"/>
      <c r="C806" s="1"/>
      <c r="D806" s="1"/>
      <c r="E806" s="1"/>
      <c r="F806" s="1"/>
      <c r="G806" s="1"/>
      <c r="H806" s="1"/>
      <c r="I806" s="172"/>
    </row>
    <row r="807" spans="2:10" ht="14" x14ac:dyDescent="0.15">
      <c r="B807" s="83"/>
      <c r="C807" s="11"/>
      <c r="D807" s="1"/>
      <c r="E807" s="916"/>
      <c r="F807" s="916"/>
      <c r="G807" s="916"/>
      <c r="H807" s="916"/>
      <c r="I807" s="171"/>
    </row>
    <row r="808" spans="2:10" ht="14" x14ac:dyDescent="0.15">
      <c r="B808" s="102"/>
      <c r="C808" s="83"/>
      <c r="D808" s="84"/>
      <c r="E808" s="83"/>
      <c r="F808" s="83"/>
      <c r="G808" s="102"/>
      <c r="H808" s="83"/>
      <c r="I808" s="85"/>
      <c r="J808" s="85"/>
    </row>
    <row r="809" spans="2:10" ht="14" x14ac:dyDescent="0.15">
      <c r="B809" s="83"/>
      <c r="C809" s="83"/>
      <c r="D809" s="84"/>
      <c r="E809" s="83"/>
      <c r="F809" s="83"/>
      <c r="G809" s="119"/>
      <c r="H809" s="83"/>
      <c r="I809" s="85"/>
      <c r="J809" s="85"/>
    </row>
    <row r="810" spans="2:10" x14ac:dyDescent="0.15">
      <c r="B810" s="11"/>
      <c r="C810" s="11"/>
      <c r="D810" s="11"/>
      <c r="E810" s="11"/>
      <c r="F810" s="11"/>
      <c r="G810" s="11"/>
      <c r="H810" s="11"/>
      <c r="I810" s="11"/>
    </row>
    <row r="811" spans="2:10" x14ac:dyDescent="0.15">
      <c r="B811" s="11"/>
      <c r="C811" s="11"/>
      <c r="D811" s="11"/>
      <c r="E811" s="11"/>
      <c r="F811" s="11"/>
      <c r="G811" s="11"/>
      <c r="H811" s="11"/>
      <c r="I811" s="11"/>
    </row>
    <row r="812" spans="2:10" x14ac:dyDescent="0.15">
      <c r="B812" s="11"/>
      <c r="C812" s="11"/>
      <c r="D812" s="11"/>
      <c r="E812" s="11"/>
      <c r="F812" s="11"/>
      <c r="G812" s="11"/>
      <c r="H812" s="11"/>
      <c r="I812" s="11"/>
    </row>
    <row r="816" spans="2:10" ht="14" x14ac:dyDescent="0.15">
      <c r="B816" s="102"/>
      <c r="C816" s="83"/>
      <c r="D816" s="84"/>
      <c r="E816" s="83"/>
      <c r="F816" s="83"/>
      <c r="G816" s="103"/>
      <c r="H816" s="83"/>
      <c r="I816" s="85"/>
      <c r="J816" s="85"/>
    </row>
    <row r="817" spans="2:10" ht="14" x14ac:dyDescent="0.15">
      <c r="B817" s="102"/>
      <c r="C817" s="83"/>
      <c r="D817" s="84"/>
      <c r="E817" s="83"/>
      <c r="F817" s="83"/>
      <c r="G817" s="103"/>
      <c r="H817" s="83"/>
      <c r="I817" s="85"/>
      <c r="J817" s="85"/>
    </row>
    <row r="818" spans="2:10" ht="14" x14ac:dyDescent="0.15">
      <c r="B818" s="83"/>
      <c r="C818" s="83"/>
      <c r="D818" s="84"/>
      <c r="E818" s="83"/>
      <c r="F818" s="83"/>
      <c r="G818" s="104"/>
      <c r="H818" s="83"/>
      <c r="I818" s="85"/>
      <c r="J818" s="85"/>
    </row>
    <row r="819" spans="2:10" ht="14" x14ac:dyDescent="0.15">
      <c r="B819" s="83"/>
      <c r="C819" s="83"/>
      <c r="D819" s="84"/>
      <c r="E819" s="83"/>
      <c r="F819" s="83"/>
      <c r="G819" s="104"/>
      <c r="H819" s="83"/>
      <c r="I819" s="85"/>
      <c r="J819" s="85"/>
    </row>
    <row r="820" spans="2:10" ht="15" thickBot="1" x14ac:dyDescent="0.2">
      <c r="B820" s="83"/>
    </row>
    <row r="821" spans="2:10" s="90" customFormat="1" ht="21.75" customHeight="1" x14ac:dyDescent="0.2">
      <c r="B821" s="885" t="s">
        <v>874</v>
      </c>
      <c r="C821" s="886"/>
      <c r="D821" s="886"/>
      <c r="E821" s="886"/>
      <c r="F821" s="887"/>
      <c r="G821" s="89"/>
      <c r="H821" s="931" t="s">
        <v>20</v>
      </c>
      <c r="I821" s="932"/>
    </row>
    <row r="822" spans="2:10" s="90" customFormat="1" ht="21" customHeight="1" x14ac:dyDescent="0.2">
      <c r="B822" s="888" t="s">
        <v>875</v>
      </c>
      <c r="C822" s="889"/>
      <c r="D822" s="889"/>
      <c r="E822" s="889"/>
      <c r="F822" s="890"/>
      <c r="G822" s="91"/>
      <c r="H822" s="933"/>
      <c r="I822" s="934"/>
    </row>
    <row r="823" spans="2:10" s="90" customFormat="1" ht="15" customHeight="1" x14ac:dyDescent="0.2">
      <c r="B823" s="906" t="s">
        <v>876</v>
      </c>
      <c r="C823" s="907"/>
      <c r="D823" s="907"/>
      <c r="E823" s="907"/>
      <c r="F823" s="908"/>
      <c r="G823" s="91"/>
      <c r="H823" s="935" t="s">
        <v>1190</v>
      </c>
      <c r="I823" s="939"/>
    </row>
    <row r="824" spans="2:10" s="90" customFormat="1" ht="15.75" customHeight="1" thickBot="1" x14ac:dyDescent="0.25">
      <c r="B824" s="909"/>
      <c r="C824" s="910"/>
      <c r="D824" s="910"/>
      <c r="E824" s="910"/>
      <c r="F824" s="911"/>
      <c r="G824" s="89"/>
      <c r="H824" s="935"/>
      <c r="I824" s="939"/>
    </row>
    <row r="825" spans="2:10" ht="15.75" customHeight="1" thickBot="1" x14ac:dyDescent="0.2">
      <c r="B825" s="15"/>
      <c r="C825" s="16"/>
      <c r="D825" s="1"/>
      <c r="E825" s="1"/>
      <c r="F825" s="1"/>
      <c r="G825" s="1"/>
      <c r="H825" s="935"/>
      <c r="I825" s="939"/>
    </row>
    <row r="826" spans="2:10" ht="15.75" customHeight="1" x14ac:dyDescent="0.15">
      <c r="B826" s="922" t="s">
        <v>836</v>
      </c>
      <c r="C826" s="923"/>
      <c r="D826" s="923"/>
      <c r="E826" s="923"/>
      <c r="F826" s="924"/>
      <c r="G826" s="1"/>
      <c r="H826" s="935"/>
      <c r="I826" s="939"/>
    </row>
    <row r="827" spans="2:10" ht="15" customHeight="1" x14ac:dyDescent="0.15">
      <c r="B827" s="925"/>
      <c r="C827" s="926"/>
      <c r="D827" s="926"/>
      <c r="E827" s="926"/>
      <c r="F827" s="927"/>
      <c r="H827" s="935"/>
      <c r="I827" s="939"/>
    </row>
    <row r="828" spans="2:10" ht="15" customHeight="1" x14ac:dyDescent="0.15">
      <c r="B828" s="925"/>
      <c r="C828" s="926"/>
      <c r="D828" s="926"/>
      <c r="E828" s="926"/>
      <c r="F828" s="927"/>
      <c r="G828" s="11"/>
      <c r="H828" s="935"/>
      <c r="I828" s="939"/>
    </row>
    <row r="829" spans="2:10" ht="13.5" customHeight="1" thickBot="1" x14ac:dyDescent="0.2">
      <c r="B829" s="928"/>
      <c r="C829" s="929"/>
      <c r="D829" s="929"/>
      <c r="E829" s="929"/>
      <c r="F829" s="930"/>
      <c r="H829" s="64" t="s">
        <v>45</v>
      </c>
      <c r="I829" s="17" t="s">
        <v>7</v>
      </c>
    </row>
    <row r="830" spans="2:10" x14ac:dyDescent="0.15">
      <c r="B830" s="18"/>
      <c r="C830" s="18"/>
      <c r="D830" s="1"/>
      <c r="E830" s="18"/>
      <c r="F830" s="18"/>
      <c r="G830" s="18"/>
      <c r="H830" s="18"/>
      <c r="I830" s="1"/>
    </row>
    <row r="831" spans="2:10" ht="14" thickBot="1" x14ac:dyDescent="0.2">
      <c r="B831" s="12" t="s">
        <v>21</v>
      </c>
      <c r="C831" s="12"/>
      <c r="D831" s="1"/>
      <c r="E831" s="1"/>
      <c r="F831" s="1"/>
      <c r="G831" s="1"/>
      <c r="H831" s="1"/>
      <c r="I831" s="1"/>
    </row>
    <row r="832" spans="2:10" x14ac:dyDescent="0.15">
      <c r="B832" s="903" t="s">
        <v>22</v>
      </c>
      <c r="C832" s="904"/>
      <c r="D832" s="905"/>
      <c r="E832" s="209" t="s">
        <v>23</v>
      </c>
      <c r="F832" s="19" t="s">
        <v>623</v>
      </c>
      <c r="G832" s="209" t="s">
        <v>24</v>
      </c>
      <c r="H832" s="208" t="s">
        <v>25</v>
      </c>
      <c r="I832" s="222"/>
    </row>
    <row r="833" spans="2:9" ht="15" customHeight="1" x14ac:dyDescent="0.15">
      <c r="B833" s="897" t="s">
        <v>56</v>
      </c>
      <c r="C833" s="898"/>
      <c r="D833" s="899"/>
      <c r="E833" s="5"/>
      <c r="F833" s="164"/>
      <c r="G833" s="20"/>
      <c r="H833" s="165">
        <f>I851*0.05</f>
        <v>303.33333333333337</v>
      </c>
      <c r="I833" s="191"/>
    </row>
    <row r="834" spans="2:9" ht="14" thickBot="1" x14ac:dyDescent="0.2">
      <c r="B834" s="900"/>
      <c r="C834" s="901"/>
      <c r="D834" s="902"/>
      <c r="E834" s="21"/>
      <c r="F834" s="22"/>
      <c r="G834" s="23"/>
      <c r="H834" s="223"/>
      <c r="I834" s="177"/>
    </row>
    <row r="835" spans="2:9" ht="14" thickBot="1" x14ac:dyDescent="0.2">
      <c r="B835" s="1"/>
      <c r="C835" s="1"/>
      <c r="D835" s="1"/>
      <c r="E835" s="1"/>
      <c r="F835" s="1"/>
      <c r="G835" s="1"/>
      <c r="H835" s="224" t="s">
        <v>26</v>
      </c>
      <c r="I835" s="163">
        <f>SUM(H833:H833)</f>
        <v>303.33333333333337</v>
      </c>
    </row>
    <row r="836" spans="2:9" ht="14" thickBot="1" x14ac:dyDescent="0.2">
      <c r="B836" s="12" t="s">
        <v>27</v>
      </c>
      <c r="C836" s="12"/>
      <c r="D836" s="1"/>
      <c r="E836" s="1"/>
      <c r="F836" s="1"/>
      <c r="G836" s="1"/>
      <c r="H836" s="225"/>
      <c r="I836" s="225"/>
    </row>
    <row r="837" spans="2:9" x14ac:dyDescent="0.15">
      <c r="B837" s="903" t="s">
        <v>22</v>
      </c>
      <c r="C837" s="904"/>
      <c r="D837" s="905"/>
      <c r="E837" s="209" t="s">
        <v>28</v>
      </c>
      <c r="F837" s="209" t="s">
        <v>29</v>
      </c>
      <c r="G837" s="209" t="s">
        <v>30</v>
      </c>
      <c r="H837" s="226" t="s">
        <v>25</v>
      </c>
      <c r="I837" s="222"/>
    </row>
    <row r="838" spans="2:9" x14ac:dyDescent="0.15">
      <c r="B838" s="4"/>
      <c r="C838" s="24"/>
      <c r="D838" s="6"/>
      <c r="E838" s="3"/>
      <c r="F838" s="164"/>
      <c r="G838" s="50"/>
      <c r="H838" s="165"/>
      <c r="I838" s="191"/>
    </row>
    <row r="839" spans="2:9" x14ac:dyDescent="0.15">
      <c r="B839" s="4"/>
      <c r="C839" s="24"/>
      <c r="D839" s="6"/>
      <c r="E839" s="5"/>
      <c r="F839" s="164"/>
      <c r="G839" s="182"/>
      <c r="H839" s="186"/>
      <c r="I839" s="191"/>
    </row>
    <row r="840" spans="2:9" ht="14" thickBot="1" x14ac:dyDescent="0.2">
      <c r="B840" s="25"/>
      <c r="C840" s="26"/>
      <c r="D840" s="27"/>
      <c r="E840" s="21"/>
      <c r="F840" s="22"/>
      <c r="G840" s="23"/>
      <c r="H840" s="223"/>
      <c r="I840" s="177"/>
    </row>
    <row r="841" spans="2:9" ht="14" thickBot="1" x14ac:dyDescent="0.2">
      <c r="B841" s="1"/>
      <c r="C841" s="1"/>
      <c r="D841" s="1"/>
      <c r="E841" s="1"/>
      <c r="F841" s="1"/>
      <c r="G841" s="1"/>
      <c r="H841" s="224" t="s">
        <v>26</v>
      </c>
      <c r="I841" s="163">
        <f>SUM(H838:H840)</f>
        <v>0</v>
      </c>
    </row>
    <row r="842" spans="2:9" ht="14" thickBot="1" x14ac:dyDescent="0.2">
      <c r="B842" s="28" t="s">
        <v>31</v>
      </c>
      <c r="C842" s="28"/>
      <c r="D842" s="26"/>
      <c r="E842" s="1"/>
      <c r="F842" s="1"/>
      <c r="G842" s="1"/>
      <c r="H842" s="225"/>
      <c r="I842" s="225"/>
    </row>
    <row r="843" spans="2:9" x14ac:dyDescent="0.15">
      <c r="B843" s="51" t="s">
        <v>32</v>
      </c>
      <c r="C843" s="86"/>
      <c r="D843" s="97" t="s">
        <v>33</v>
      </c>
      <c r="E843" s="209" t="s">
        <v>34</v>
      </c>
      <c r="F843" s="209" t="s">
        <v>35</v>
      </c>
      <c r="G843" s="209" t="s">
        <v>36</v>
      </c>
      <c r="H843" s="227" t="s">
        <v>25</v>
      </c>
      <c r="I843" s="222"/>
    </row>
    <row r="844" spans="2:9" x14ac:dyDescent="0.15">
      <c r="B844" s="4"/>
      <c r="C844" s="6"/>
      <c r="D844" s="53"/>
      <c r="E844" s="2"/>
      <c r="F844" s="2"/>
      <c r="G844" s="162"/>
      <c r="H844" s="20"/>
      <c r="I844" s="191"/>
    </row>
    <row r="845" spans="2:9" ht="14" thickBot="1" x14ac:dyDescent="0.2">
      <c r="B845" s="33"/>
      <c r="C845" s="34"/>
      <c r="D845" s="98"/>
      <c r="E845" s="21"/>
      <c r="F845" s="99"/>
      <c r="G845" s="23"/>
      <c r="H845" s="167"/>
      <c r="I845" s="177"/>
    </row>
    <row r="846" spans="2:9" ht="14" thickBot="1" x14ac:dyDescent="0.2">
      <c r="B846" s="1"/>
      <c r="C846" s="1"/>
      <c r="D846" s="1"/>
      <c r="E846" s="1"/>
      <c r="F846" s="1"/>
      <c r="G846" s="1"/>
      <c r="H846" s="224" t="s">
        <v>26</v>
      </c>
      <c r="I846" s="177">
        <f>SUM(H844:H844)</f>
        <v>0</v>
      </c>
    </row>
    <row r="847" spans="2:9" ht="14" thickBot="1" x14ac:dyDescent="0.2">
      <c r="B847" s="28" t="s">
        <v>37</v>
      </c>
      <c r="C847" s="28"/>
      <c r="D847" s="1"/>
      <c r="E847" s="1"/>
      <c r="F847" s="1"/>
      <c r="G847" s="1"/>
      <c r="H847" s="225"/>
      <c r="I847" s="225"/>
    </row>
    <row r="848" spans="2:9" x14ac:dyDescent="0.15">
      <c r="B848" s="29" t="s">
        <v>38</v>
      </c>
      <c r="C848" s="30"/>
      <c r="D848" s="31" t="s">
        <v>39</v>
      </c>
      <c r="E848" s="209" t="s">
        <v>40</v>
      </c>
      <c r="F848" s="19" t="s">
        <v>41</v>
      </c>
      <c r="G848" s="31" t="s">
        <v>24</v>
      </c>
      <c r="H848" s="226" t="s">
        <v>25</v>
      </c>
      <c r="I848" s="222"/>
    </row>
    <row r="849" spans="2:10" x14ac:dyDescent="0.15">
      <c r="B849" s="4" t="s">
        <v>520</v>
      </c>
      <c r="C849" s="24"/>
      <c r="D849" s="32">
        <f>'MANO DE OBRA'!E14*4</f>
        <v>208000</v>
      </c>
      <c r="E849" s="168">
        <v>1.75</v>
      </c>
      <c r="F849" s="20">
        <f>+E849*D849</f>
        <v>364000</v>
      </c>
      <c r="G849" s="20">
        <v>60</v>
      </c>
      <c r="H849" s="169">
        <f>+F849/G849</f>
        <v>6066.666666666667</v>
      </c>
      <c r="I849" s="191"/>
    </row>
    <row r="850" spans="2:10" ht="14" thickBot="1" x14ac:dyDescent="0.2">
      <c r="B850" s="33"/>
      <c r="C850" s="34"/>
      <c r="D850" s="22"/>
      <c r="E850" s="27"/>
      <c r="F850" s="27"/>
      <c r="G850" s="27"/>
      <c r="H850" s="228"/>
      <c r="I850" s="177"/>
    </row>
    <row r="851" spans="2:10" ht="14" thickBot="1" x14ac:dyDescent="0.2">
      <c r="B851" s="1"/>
      <c r="C851" s="1"/>
      <c r="D851" s="1"/>
      <c r="E851" s="1"/>
      <c r="F851" s="1"/>
      <c r="G851" s="1"/>
      <c r="H851" s="224" t="s">
        <v>26</v>
      </c>
      <c r="I851" s="163">
        <f>SUM(H849:H850)</f>
        <v>6066.666666666667</v>
      </c>
    </row>
    <row r="852" spans="2:10" ht="14" thickBot="1" x14ac:dyDescent="0.2">
      <c r="B852" s="1"/>
      <c r="C852" s="1"/>
      <c r="D852" s="1"/>
      <c r="E852" s="1"/>
      <c r="F852" s="1"/>
      <c r="G852" s="1"/>
      <c r="H852" s="229"/>
      <c r="I852" s="172"/>
    </row>
    <row r="853" spans="2:10" ht="15" thickBot="1" x14ac:dyDescent="0.2">
      <c r="B853" s="1"/>
      <c r="C853" s="1"/>
      <c r="D853" s="1"/>
      <c r="E853" s="1"/>
      <c r="F853" s="35" t="s">
        <v>43</v>
      </c>
      <c r="G853" s="36"/>
      <c r="H853" s="187"/>
      <c r="I853" s="232">
        <f>ROUND((I835+I841+I846+I851),0)</f>
        <v>6370</v>
      </c>
    </row>
    <row r="854" spans="2:10" x14ac:dyDescent="0.15">
      <c r="B854" s="12"/>
      <c r="C854" s="12"/>
      <c r="D854" s="1"/>
      <c r="E854" s="1"/>
      <c r="F854" s="1"/>
      <c r="G854" s="1"/>
      <c r="H854" s="172"/>
      <c r="I854" s="172"/>
    </row>
    <row r="855" spans="2:10" x14ac:dyDescent="0.15">
      <c r="B855" s="16"/>
      <c r="C855" s="16"/>
      <c r="D855" s="16"/>
      <c r="E855" s="16"/>
      <c r="F855" s="16"/>
      <c r="G855" s="61"/>
      <c r="H855" s="173"/>
      <c r="I855" s="172"/>
    </row>
    <row r="856" spans="2:10" x14ac:dyDescent="0.15">
      <c r="B856" s="1"/>
      <c r="C856" s="1"/>
      <c r="D856" s="1"/>
      <c r="E856" s="1"/>
      <c r="F856" s="1"/>
      <c r="G856" s="161"/>
      <c r="H856" s="172"/>
      <c r="I856" s="172"/>
    </row>
    <row r="857" spans="2:10" x14ac:dyDescent="0.15">
      <c r="B857" s="1"/>
      <c r="C857" s="1"/>
      <c r="D857" s="1"/>
      <c r="E857" s="1"/>
      <c r="F857" s="1"/>
      <c r="G857" s="161"/>
      <c r="H857" s="172"/>
      <c r="I857" s="172"/>
    </row>
    <row r="858" spans="2:10" x14ac:dyDescent="0.15">
      <c r="B858" s="1"/>
      <c r="C858" s="1"/>
      <c r="D858" s="1"/>
      <c r="E858" s="1"/>
      <c r="F858" s="1"/>
      <c r="G858" s="161"/>
      <c r="H858" s="172"/>
      <c r="I858" s="172"/>
    </row>
    <row r="859" spans="2:10" x14ac:dyDescent="0.15">
      <c r="B859" s="1"/>
      <c r="C859" s="1"/>
      <c r="D859" s="1"/>
      <c r="E859" s="1"/>
      <c r="F859" s="1"/>
      <c r="G859" s="1"/>
      <c r="H859" s="37"/>
      <c r="I859" s="172"/>
    </row>
    <row r="860" spans="2:10" ht="14" x14ac:dyDescent="0.15">
      <c r="B860" s="102"/>
      <c r="C860" s="1"/>
      <c r="D860" s="1"/>
      <c r="E860" s="1"/>
      <c r="F860" s="1"/>
      <c r="G860" s="1"/>
      <c r="H860" s="1"/>
      <c r="I860" s="172"/>
    </row>
    <row r="861" spans="2:10" ht="14" x14ac:dyDescent="0.15">
      <c r="B861" s="83"/>
      <c r="C861" s="11"/>
      <c r="D861" s="1"/>
      <c r="E861" s="916"/>
      <c r="F861" s="916"/>
      <c r="G861" s="916"/>
      <c r="H861" s="916"/>
      <c r="I861" s="171"/>
    </row>
    <row r="862" spans="2:10" ht="14" x14ac:dyDescent="0.15">
      <c r="B862" s="102"/>
      <c r="C862" s="83"/>
      <c r="D862" s="84"/>
      <c r="E862" s="83"/>
      <c r="F862" s="83"/>
      <c r="G862" s="102"/>
      <c r="H862" s="83"/>
      <c r="I862" s="85"/>
      <c r="J862" s="85"/>
    </row>
    <row r="863" spans="2:10" ht="14" x14ac:dyDescent="0.15">
      <c r="B863" s="83"/>
      <c r="C863" s="83"/>
      <c r="D863" s="84"/>
      <c r="E863" s="83"/>
      <c r="F863" s="83"/>
      <c r="G863" s="119"/>
      <c r="H863" s="83"/>
      <c r="I863" s="85"/>
      <c r="J863" s="85"/>
    </row>
    <row r="864" spans="2:10" x14ac:dyDescent="0.15">
      <c r="B864" s="11"/>
      <c r="C864" s="11"/>
      <c r="D864" s="11"/>
      <c r="E864" s="11"/>
      <c r="F864" s="11"/>
      <c r="G864" s="11"/>
      <c r="H864" s="11"/>
      <c r="I864" s="11"/>
    </row>
    <row r="865" spans="2:10" x14ac:dyDescent="0.15">
      <c r="B865" s="11"/>
      <c r="C865" s="11"/>
      <c r="D865" s="11"/>
      <c r="E865" s="11"/>
      <c r="F865" s="11"/>
      <c r="G865" s="11"/>
      <c r="H865" s="11"/>
      <c r="I865" s="11"/>
    </row>
    <row r="866" spans="2:10" x14ac:dyDescent="0.15">
      <c r="B866" s="11"/>
      <c r="C866" s="11"/>
      <c r="D866" s="11"/>
      <c r="E866" s="11"/>
      <c r="F866" s="11"/>
      <c r="G866" s="11"/>
      <c r="H866" s="11"/>
      <c r="I866" s="11"/>
    </row>
    <row r="870" spans="2:10" ht="14" x14ac:dyDescent="0.15">
      <c r="B870" s="102"/>
      <c r="C870" s="83"/>
      <c r="D870" s="84"/>
      <c r="E870" s="83"/>
      <c r="F870" s="83"/>
      <c r="G870" s="103"/>
      <c r="H870" s="83"/>
      <c r="I870" s="85"/>
      <c r="J870" s="85"/>
    </row>
    <row r="871" spans="2:10" ht="14" x14ac:dyDescent="0.15">
      <c r="B871" s="102"/>
      <c r="C871" s="83"/>
      <c r="D871" s="84"/>
      <c r="E871" s="83"/>
      <c r="F871" s="83"/>
      <c r="G871" s="103"/>
      <c r="H871" s="83"/>
      <c r="I871" s="85"/>
      <c r="J871" s="85"/>
    </row>
    <row r="872" spans="2:10" ht="14" x14ac:dyDescent="0.15">
      <c r="B872" s="83"/>
      <c r="C872" s="83"/>
      <c r="D872" s="84"/>
      <c r="E872" s="83"/>
      <c r="F872" s="83"/>
      <c r="G872" s="104"/>
      <c r="H872" s="83"/>
      <c r="I872" s="85"/>
      <c r="J872" s="85"/>
    </row>
    <row r="873" spans="2:10" ht="14" x14ac:dyDescent="0.15">
      <c r="B873" s="83"/>
      <c r="C873" s="83"/>
      <c r="D873" s="84"/>
      <c r="E873" s="83"/>
      <c r="F873" s="83"/>
      <c r="G873" s="104"/>
      <c r="H873" s="83"/>
      <c r="I873" s="85"/>
      <c r="J873" s="85"/>
    </row>
    <row r="874" spans="2:10" ht="15" thickBot="1" x14ac:dyDescent="0.2">
      <c r="B874" s="83"/>
    </row>
    <row r="875" spans="2:10" s="90" customFormat="1" ht="21.75" customHeight="1" x14ac:dyDescent="0.2">
      <c r="B875" s="885" t="s">
        <v>874</v>
      </c>
      <c r="C875" s="886"/>
      <c r="D875" s="886"/>
      <c r="E875" s="886"/>
      <c r="F875" s="887"/>
      <c r="G875" s="89"/>
      <c r="H875" s="931" t="s">
        <v>20</v>
      </c>
      <c r="I875" s="932"/>
    </row>
    <row r="876" spans="2:10" s="90" customFormat="1" ht="21" customHeight="1" x14ac:dyDescent="0.2">
      <c r="B876" s="888" t="s">
        <v>875</v>
      </c>
      <c r="C876" s="889"/>
      <c r="D876" s="889"/>
      <c r="E876" s="889"/>
      <c r="F876" s="890"/>
      <c r="G876" s="91"/>
      <c r="H876" s="933"/>
      <c r="I876" s="934"/>
    </row>
    <row r="877" spans="2:10" s="90" customFormat="1" ht="15" customHeight="1" x14ac:dyDescent="0.2">
      <c r="B877" s="906" t="s">
        <v>876</v>
      </c>
      <c r="C877" s="907"/>
      <c r="D877" s="907"/>
      <c r="E877" s="907"/>
      <c r="F877" s="908"/>
      <c r="G877" s="91"/>
      <c r="H877" s="935" t="s">
        <v>1191</v>
      </c>
      <c r="I877" s="939"/>
    </row>
    <row r="878" spans="2:10" s="90" customFormat="1" ht="15.75" customHeight="1" thickBot="1" x14ac:dyDescent="0.25">
      <c r="B878" s="909"/>
      <c r="C878" s="910"/>
      <c r="D878" s="910"/>
      <c r="E878" s="910"/>
      <c r="F878" s="911"/>
      <c r="G878" s="89"/>
      <c r="H878" s="935"/>
      <c r="I878" s="939"/>
    </row>
    <row r="879" spans="2:10" ht="15.75" customHeight="1" thickBot="1" x14ac:dyDescent="0.2">
      <c r="B879" s="15"/>
      <c r="C879" s="16"/>
      <c r="D879" s="1"/>
      <c r="E879" s="1"/>
      <c r="F879" s="1"/>
      <c r="G879" s="1"/>
      <c r="H879" s="935"/>
      <c r="I879" s="939"/>
    </row>
    <row r="880" spans="2:10" ht="15.75" customHeight="1" x14ac:dyDescent="0.15">
      <c r="B880" s="922" t="s">
        <v>836</v>
      </c>
      <c r="C880" s="923"/>
      <c r="D880" s="923"/>
      <c r="E880" s="923"/>
      <c r="F880" s="924"/>
      <c r="G880" s="1"/>
      <c r="H880" s="935"/>
      <c r="I880" s="939"/>
    </row>
    <row r="881" spans="2:9" ht="15" customHeight="1" x14ac:dyDescent="0.15">
      <c r="B881" s="925"/>
      <c r="C881" s="926"/>
      <c r="D881" s="926"/>
      <c r="E881" s="926"/>
      <c r="F881" s="927"/>
      <c r="H881" s="935"/>
      <c r="I881" s="939"/>
    </row>
    <row r="882" spans="2:9" ht="15" customHeight="1" x14ac:dyDescent="0.15">
      <c r="B882" s="925"/>
      <c r="C882" s="926"/>
      <c r="D882" s="926"/>
      <c r="E882" s="926"/>
      <c r="F882" s="927"/>
      <c r="G882" s="11"/>
      <c r="H882" s="935"/>
      <c r="I882" s="939"/>
    </row>
    <row r="883" spans="2:9" ht="13.5" customHeight="1" thickBot="1" x14ac:dyDescent="0.2">
      <c r="B883" s="928"/>
      <c r="C883" s="929"/>
      <c r="D883" s="929"/>
      <c r="E883" s="929"/>
      <c r="F883" s="930"/>
      <c r="H883" s="64" t="s">
        <v>45</v>
      </c>
      <c r="I883" s="17" t="s">
        <v>319</v>
      </c>
    </row>
    <row r="884" spans="2:9" x14ac:dyDescent="0.15">
      <c r="B884" s="18"/>
      <c r="C884" s="18"/>
      <c r="D884" s="1"/>
      <c r="E884" s="18"/>
      <c r="F884" s="18"/>
      <c r="G884" s="18"/>
      <c r="H884" s="18"/>
      <c r="I884" s="1"/>
    </row>
    <row r="885" spans="2:9" ht="14" thickBot="1" x14ac:dyDescent="0.2">
      <c r="B885" s="12" t="s">
        <v>21</v>
      </c>
      <c r="C885" s="12"/>
      <c r="D885" s="1"/>
      <c r="E885" s="1"/>
      <c r="F885" s="1"/>
      <c r="G885" s="1"/>
      <c r="H885" s="1"/>
      <c r="I885" s="1"/>
    </row>
    <row r="886" spans="2:9" x14ac:dyDescent="0.15">
      <c r="B886" s="903" t="s">
        <v>22</v>
      </c>
      <c r="C886" s="904"/>
      <c r="D886" s="905"/>
      <c r="E886" s="209" t="s">
        <v>23</v>
      </c>
      <c r="F886" s="19" t="s">
        <v>623</v>
      </c>
      <c r="G886" s="209" t="s">
        <v>24</v>
      </c>
      <c r="H886" s="208" t="s">
        <v>25</v>
      </c>
      <c r="I886" s="222"/>
    </row>
    <row r="887" spans="2:9" ht="15" customHeight="1" x14ac:dyDescent="0.15">
      <c r="B887" s="897" t="s">
        <v>56</v>
      </c>
      <c r="C887" s="898"/>
      <c r="D887" s="899"/>
      <c r="E887" s="5"/>
      <c r="F887" s="164"/>
      <c r="G887" s="20"/>
      <c r="H887" s="165">
        <f>I905*0.05</f>
        <v>910</v>
      </c>
      <c r="I887" s="191"/>
    </row>
    <row r="888" spans="2:9" ht="14" thickBot="1" x14ac:dyDescent="0.2">
      <c r="B888" s="900"/>
      <c r="C888" s="901"/>
      <c r="D888" s="902"/>
      <c r="E888" s="21"/>
      <c r="F888" s="22"/>
      <c r="G888" s="23"/>
      <c r="H888" s="223"/>
      <c r="I888" s="177"/>
    </row>
    <row r="889" spans="2:9" ht="14" thickBot="1" x14ac:dyDescent="0.2">
      <c r="B889" s="1"/>
      <c r="C889" s="1"/>
      <c r="D889" s="1"/>
      <c r="E889" s="1"/>
      <c r="F889" s="1"/>
      <c r="G889" s="1"/>
      <c r="H889" s="224" t="s">
        <v>26</v>
      </c>
      <c r="I889" s="163">
        <f>SUM(H887:H887)</f>
        <v>910</v>
      </c>
    </row>
    <row r="890" spans="2:9" ht="14" thickBot="1" x14ac:dyDescent="0.2">
      <c r="B890" s="12" t="s">
        <v>27</v>
      </c>
      <c r="C890" s="12"/>
      <c r="D890" s="1"/>
      <c r="E890" s="1"/>
      <c r="F890" s="1"/>
      <c r="G890" s="1"/>
      <c r="H890" s="225"/>
      <c r="I890" s="225"/>
    </row>
    <row r="891" spans="2:9" x14ac:dyDescent="0.15">
      <c r="B891" s="903" t="s">
        <v>22</v>
      </c>
      <c r="C891" s="904"/>
      <c r="D891" s="905"/>
      <c r="E891" s="209" t="s">
        <v>28</v>
      </c>
      <c r="F891" s="209" t="s">
        <v>29</v>
      </c>
      <c r="G891" s="209" t="s">
        <v>30</v>
      </c>
      <c r="H891" s="226" t="s">
        <v>25</v>
      </c>
      <c r="I891" s="222"/>
    </row>
    <row r="892" spans="2:9" x14ac:dyDescent="0.15">
      <c r="B892" s="4"/>
      <c r="C892" s="24"/>
      <c r="D892" s="6"/>
      <c r="E892" s="3"/>
      <c r="F892" s="164"/>
      <c r="G892" s="50"/>
      <c r="H892" s="165"/>
      <c r="I892" s="191"/>
    </row>
    <row r="893" spans="2:9" x14ac:dyDescent="0.15">
      <c r="B893" s="4"/>
      <c r="C893" s="24"/>
      <c r="D893" s="6"/>
      <c r="E893" s="5"/>
      <c r="F893" s="164"/>
      <c r="G893" s="182"/>
      <c r="H893" s="186"/>
      <c r="I893" s="191"/>
    </row>
    <row r="894" spans="2:9" ht="14" thickBot="1" x14ac:dyDescent="0.2">
      <c r="B894" s="25"/>
      <c r="C894" s="26"/>
      <c r="D894" s="27"/>
      <c r="E894" s="21"/>
      <c r="F894" s="22"/>
      <c r="G894" s="23"/>
      <c r="H894" s="223"/>
      <c r="I894" s="177"/>
    </row>
    <row r="895" spans="2:9" ht="14" thickBot="1" x14ac:dyDescent="0.2">
      <c r="B895" s="1"/>
      <c r="C895" s="1"/>
      <c r="D895" s="1"/>
      <c r="E895" s="1"/>
      <c r="F895" s="1"/>
      <c r="G895" s="1"/>
      <c r="H895" s="224" t="s">
        <v>26</v>
      </c>
      <c r="I895" s="163">
        <f>SUM(H892:H894)</f>
        <v>0</v>
      </c>
    </row>
    <row r="896" spans="2:9" ht="14" thickBot="1" x14ac:dyDescent="0.2">
      <c r="B896" s="28" t="s">
        <v>31</v>
      </c>
      <c r="C896" s="28"/>
      <c r="D896" s="26"/>
      <c r="E896" s="1"/>
      <c r="F896" s="1"/>
      <c r="G896" s="1"/>
      <c r="H896" s="225"/>
      <c r="I896" s="225"/>
    </row>
    <row r="897" spans="2:9" x14ac:dyDescent="0.15">
      <c r="B897" s="51" t="s">
        <v>32</v>
      </c>
      <c r="C897" s="86"/>
      <c r="D897" s="97" t="s">
        <v>33</v>
      </c>
      <c r="E897" s="209" t="s">
        <v>34</v>
      </c>
      <c r="F897" s="209" t="s">
        <v>35</v>
      </c>
      <c r="G897" s="209" t="s">
        <v>36</v>
      </c>
      <c r="H897" s="227" t="s">
        <v>25</v>
      </c>
      <c r="I897" s="222"/>
    </row>
    <row r="898" spans="2:9" x14ac:dyDescent="0.15">
      <c r="B898" s="4"/>
      <c r="C898" s="6"/>
      <c r="D898" s="53"/>
      <c r="E898" s="2"/>
      <c r="F898" s="2"/>
      <c r="G898" s="162"/>
      <c r="H898" s="20"/>
      <c r="I898" s="191"/>
    </row>
    <row r="899" spans="2:9" ht="14" thickBot="1" x14ac:dyDescent="0.2">
      <c r="B899" s="33"/>
      <c r="C899" s="34"/>
      <c r="D899" s="98"/>
      <c r="E899" s="21"/>
      <c r="F899" s="99"/>
      <c r="G899" s="23"/>
      <c r="H899" s="167"/>
      <c r="I899" s="177"/>
    </row>
    <row r="900" spans="2:9" ht="14" thickBot="1" x14ac:dyDescent="0.2">
      <c r="B900" s="1"/>
      <c r="C900" s="1"/>
      <c r="D900" s="1"/>
      <c r="E900" s="1"/>
      <c r="F900" s="1"/>
      <c r="G900" s="1"/>
      <c r="H900" s="224" t="s">
        <v>26</v>
      </c>
      <c r="I900" s="177">
        <f>SUM(H898:H898)</f>
        <v>0</v>
      </c>
    </row>
    <row r="901" spans="2:9" ht="14" thickBot="1" x14ac:dyDescent="0.2">
      <c r="B901" s="28" t="s">
        <v>37</v>
      </c>
      <c r="C901" s="28"/>
      <c r="D901" s="1"/>
      <c r="E901" s="1"/>
      <c r="F901" s="1"/>
      <c r="G901" s="1"/>
      <c r="H901" s="225"/>
      <c r="I901" s="225"/>
    </row>
    <row r="902" spans="2:9" x14ac:dyDescent="0.15">
      <c r="B902" s="29" t="s">
        <v>38</v>
      </c>
      <c r="C902" s="30"/>
      <c r="D902" s="31" t="s">
        <v>39</v>
      </c>
      <c r="E902" s="209" t="s">
        <v>40</v>
      </c>
      <c r="F902" s="19" t="s">
        <v>41</v>
      </c>
      <c r="G902" s="31" t="s">
        <v>24</v>
      </c>
      <c r="H902" s="226" t="s">
        <v>25</v>
      </c>
      <c r="I902" s="222"/>
    </row>
    <row r="903" spans="2:9" x14ac:dyDescent="0.15">
      <c r="B903" s="4" t="s">
        <v>55</v>
      </c>
      <c r="C903" s="24"/>
      <c r="D903" s="32">
        <f>'MANO DE OBRA'!E14*2</f>
        <v>104000</v>
      </c>
      <c r="E903" s="168">
        <v>1.75</v>
      </c>
      <c r="F903" s="20">
        <f>+E903*D903</f>
        <v>182000</v>
      </c>
      <c r="G903" s="20">
        <v>10</v>
      </c>
      <c r="H903" s="169">
        <f>+F903/G903</f>
        <v>18200</v>
      </c>
      <c r="I903" s="191"/>
    </row>
    <row r="904" spans="2:9" ht="14" thickBot="1" x14ac:dyDescent="0.2">
      <c r="B904" s="33"/>
      <c r="C904" s="34"/>
      <c r="D904" s="22"/>
      <c r="E904" s="27"/>
      <c r="F904" s="27"/>
      <c r="G904" s="27"/>
      <c r="H904" s="228"/>
      <c r="I904" s="177"/>
    </row>
    <row r="905" spans="2:9" ht="14" thickBot="1" x14ac:dyDescent="0.2">
      <c r="B905" s="1"/>
      <c r="C905" s="1"/>
      <c r="D905" s="1"/>
      <c r="E905" s="1"/>
      <c r="F905" s="1"/>
      <c r="G905" s="1"/>
      <c r="H905" s="224" t="s">
        <v>26</v>
      </c>
      <c r="I905" s="163">
        <f>SUM(H903:H904)</f>
        <v>18200</v>
      </c>
    </row>
    <row r="906" spans="2:9" ht="14" thickBot="1" x14ac:dyDescent="0.2">
      <c r="B906" s="1"/>
      <c r="C906" s="1"/>
      <c r="D906" s="1"/>
      <c r="E906" s="1"/>
      <c r="F906" s="1"/>
      <c r="G906" s="1"/>
      <c r="H906" s="229"/>
      <c r="I906" s="172"/>
    </row>
    <row r="907" spans="2:9" ht="15" thickBot="1" x14ac:dyDescent="0.2">
      <c r="B907" s="1"/>
      <c r="C907" s="1"/>
      <c r="D907" s="1"/>
      <c r="E907" s="1"/>
      <c r="F907" s="35" t="s">
        <v>43</v>
      </c>
      <c r="G907" s="36"/>
      <c r="H907" s="187"/>
      <c r="I907" s="232">
        <f>ROUND((I889+I895+I900+I905),0)</f>
        <v>19110</v>
      </c>
    </row>
    <row r="908" spans="2:9" x14ac:dyDescent="0.15">
      <c r="B908" s="12"/>
      <c r="C908" s="12"/>
      <c r="D908" s="1"/>
      <c r="E908" s="1"/>
      <c r="F908" s="1"/>
      <c r="G908" s="1"/>
      <c r="H908" s="172"/>
      <c r="I908" s="172"/>
    </row>
    <row r="909" spans="2:9" x14ac:dyDescent="0.15">
      <c r="B909" s="16"/>
      <c r="C909" s="16"/>
      <c r="D909" s="16"/>
      <c r="E909" s="16"/>
      <c r="F909" s="16"/>
      <c r="G909" s="61"/>
      <c r="H909" s="173"/>
      <c r="I909" s="172"/>
    </row>
    <row r="910" spans="2:9" x14ac:dyDescent="0.15">
      <c r="B910" s="1"/>
      <c r="C910" s="1"/>
      <c r="D910" s="1"/>
      <c r="E910" s="1"/>
      <c r="F910" s="1"/>
      <c r="G910" s="161"/>
      <c r="H910" s="172"/>
      <c r="I910" s="172"/>
    </row>
    <row r="911" spans="2:9" x14ac:dyDescent="0.15">
      <c r="B911" s="1"/>
      <c r="C911" s="1"/>
      <c r="D911" s="1"/>
      <c r="E911" s="1"/>
      <c r="F911" s="1"/>
      <c r="G911" s="161"/>
      <c r="H911" s="172"/>
      <c r="I911" s="172"/>
    </row>
    <row r="912" spans="2:9" x14ac:dyDescent="0.15">
      <c r="B912" s="1"/>
      <c r="C912" s="1"/>
      <c r="D912" s="1"/>
      <c r="E912" s="1"/>
      <c r="F912" s="1"/>
      <c r="G912" s="161"/>
      <c r="H912" s="172"/>
      <c r="I912" s="172"/>
    </row>
    <row r="913" spans="2:10" ht="14" x14ac:dyDescent="0.15">
      <c r="B913" s="102"/>
      <c r="C913" s="1"/>
      <c r="D913" s="1"/>
      <c r="E913" s="1"/>
      <c r="F913" s="1"/>
      <c r="G913" s="1"/>
      <c r="H913" s="1"/>
      <c r="I913" s="172"/>
    </row>
    <row r="914" spans="2:10" ht="14" x14ac:dyDescent="0.15">
      <c r="B914" s="83"/>
      <c r="C914" s="11"/>
      <c r="D914" s="1"/>
      <c r="E914" s="916"/>
      <c r="F914" s="916"/>
      <c r="G914" s="916"/>
      <c r="H914" s="916"/>
      <c r="I914" s="171"/>
    </row>
    <row r="915" spans="2:10" ht="14" x14ac:dyDescent="0.15">
      <c r="B915" s="102"/>
      <c r="C915" s="83"/>
      <c r="D915" s="84"/>
      <c r="E915" s="83"/>
      <c r="F915" s="83"/>
      <c r="G915" s="102"/>
      <c r="H915" s="83"/>
      <c r="I915" s="85"/>
      <c r="J915" s="85"/>
    </row>
    <row r="916" spans="2:10" ht="14" x14ac:dyDescent="0.15">
      <c r="B916" s="83"/>
      <c r="C916" s="83"/>
      <c r="D916" s="84"/>
      <c r="E916" s="83"/>
      <c r="F916" s="83"/>
      <c r="G916" s="119"/>
      <c r="H916" s="83"/>
      <c r="I916" s="85"/>
      <c r="J916" s="85"/>
    </row>
    <row r="917" spans="2:10" x14ac:dyDescent="0.15">
      <c r="B917" s="11"/>
      <c r="C917" s="11"/>
      <c r="D917" s="11"/>
      <c r="E917" s="11"/>
      <c r="F917" s="11"/>
      <c r="G917" s="11"/>
      <c r="H917" s="11"/>
      <c r="I917" s="11"/>
    </row>
    <row r="918" spans="2:10" x14ac:dyDescent="0.15">
      <c r="B918" s="11"/>
      <c r="C918" s="11"/>
      <c r="D918" s="11"/>
      <c r="E918" s="11"/>
      <c r="F918" s="11"/>
      <c r="G918" s="11"/>
      <c r="H918" s="11"/>
      <c r="I918" s="11"/>
    </row>
    <row r="924" spans="2:10" ht="14" x14ac:dyDescent="0.15">
      <c r="B924" s="102"/>
      <c r="C924" s="83"/>
      <c r="D924" s="84"/>
      <c r="E924" s="83"/>
      <c r="F924" s="83"/>
      <c r="G924" s="103"/>
      <c r="H924" s="83"/>
      <c r="I924" s="85"/>
      <c r="J924" s="85"/>
    </row>
    <row r="925" spans="2:10" ht="14" x14ac:dyDescent="0.15">
      <c r="B925" s="102"/>
      <c r="C925" s="83"/>
      <c r="D925" s="84"/>
      <c r="E925" s="83"/>
      <c r="F925" s="83"/>
      <c r="G925" s="103"/>
      <c r="H925" s="83"/>
      <c r="I925" s="85"/>
      <c r="J925" s="85"/>
    </row>
    <row r="926" spans="2:10" ht="14" x14ac:dyDescent="0.15">
      <c r="B926" s="83"/>
      <c r="C926" s="83"/>
      <c r="D926" s="84"/>
      <c r="E926" s="83"/>
      <c r="F926" s="83"/>
      <c r="G926" s="104"/>
      <c r="H926" s="83"/>
      <c r="I926" s="85"/>
      <c r="J926" s="85"/>
    </row>
    <row r="927" spans="2:10" ht="14" x14ac:dyDescent="0.15">
      <c r="B927" s="83"/>
      <c r="C927" s="83"/>
      <c r="D927" s="84"/>
      <c r="E927" s="83"/>
      <c r="F927" s="83"/>
      <c r="G927" s="104"/>
      <c r="H927" s="83"/>
      <c r="I927" s="85"/>
      <c r="J927" s="85"/>
    </row>
    <row r="928" spans="2:10" ht="15" thickBot="1" x14ac:dyDescent="0.2">
      <c r="B928" s="83"/>
    </row>
    <row r="929" spans="2:9" s="90" customFormat="1" ht="21.75" customHeight="1" x14ac:dyDescent="0.2">
      <c r="B929" s="885" t="s">
        <v>874</v>
      </c>
      <c r="C929" s="886"/>
      <c r="D929" s="886"/>
      <c r="E929" s="886"/>
      <c r="F929" s="887"/>
      <c r="G929" s="89"/>
      <c r="H929" s="931" t="s">
        <v>20</v>
      </c>
      <c r="I929" s="932"/>
    </row>
    <row r="930" spans="2:9" s="90" customFormat="1" ht="21" customHeight="1" x14ac:dyDescent="0.2">
      <c r="B930" s="888" t="s">
        <v>875</v>
      </c>
      <c r="C930" s="889"/>
      <c r="D930" s="889"/>
      <c r="E930" s="889"/>
      <c r="F930" s="890"/>
      <c r="G930" s="91"/>
      <c r="H930" s="933"/>
      <c r="I930" s="934"/>
    </row>
    <row r="931" spans="2:9" s="90" customFormat="1" ht="15" customHeight="1" x14ac:dyDescent="0.2">
      <c r="B931" s="906" t="s">
        <v>876</v>
      </c>
      <c r="C931" s="907"/>
      <c r="D931" s="907"/>
      <c r="E931" s="907"/>
      <c r="F931" s="908"/>
      <c r="G931" s="91"/>
      <c r="H931" s="935" t="s">
        <v>1192</v>
      </c>
      <c r="I931" s="939"/>
    </row>
    <row r="932" spans="2:9" s="90" customFormat="1" ht="15.75" customHeight="1" thickBot="1" x14ac:dyDescent="0.25">
      <c r="B932" s="909"/>
      <c r="C932" s="910"/>
      <c r="D932" s="910"/>
      <c r="E932" s="910"/>
      <c r="F932" s="911"/>
      <c r="G932" s="89"/>
      <c r="H932" s="935"/>
      <c r="I932" s="939"/>
    </row>
    <row r="933" spans="2:9" ht="15.75" customHeight="1" thickBot="1" x14ac:dyDescent="0.2">
      <c r="B933" s="15"/>
      <c r="C933" s="16"/>
      <c r="D933" s="1"/>
      <c r="E933" s="1"/>
      <c r="F933" s="1"/>
      <c r="G933" s="1"/>
      <c r="H933" s="935"/>
      <c r="I933" s="939"/>
    </row>
    <row r="934" spans="2:9" ht="15.75" customHeight="1" x14ac:dyDescent="0.15">
      <c r="B934" s="922" t="s">
        <v>836</v>
      </c>
      <c r="C934" s="923"/>
      <c r="D934" s="923"/>
      <c r="E934" s="923"/>
      <c r="F934" s="924"/>
      <c r="G934" s="1"/>
      <c r="H934" s="935"/>
      <c r="I934" s="939"/>
    </row>
    <row r="935" spans="2:9" ht="15" customHeight="1" x14ac:dyDescent="0.15">
      <c r="B935" s="925"/>
      <c r="C935" s="926"/>
      <c r="D935" s="926"/>
      <c r="E935" s="926"/>
      <c r="F935" s="927"/>
      <c r="H935" s="935"/>
      <c r="I935" s="939"/>
    </row>
    <row r="936" spans="2:9" ht="15" customHeight="1" x14ac:dyDescent="0.15">
      <c r="B936" s="925"/>
      <c r="C936" s="926"/>
      <c r="D936" s="926"/>
      <c r="E936" s="926"/>
      <c r="F936" s="927"/>
      <c r="G936" s="11"/>
      <c r="H936" s="935"/>
      <c r="I936" s="939"/>
    </row>
    <row r="937" spans="2:9" ht="13.5" customHeight="1" thickBot="1" x14ac:dyDescent="0.2">
      <c r="B937" s="928"/>
      <c r="C937" s="929"/>
      <c r="D937" s="929"/>
      <c r="E937" s="929"/>
      <c r="F937" s="930"/>
      <c r="H937" s="64" t="s">
        <v>45</v>
      </c>
      <c r="I937" s="17" t="s">
        <v>319</v>
      </c>
    </row>
    <row r="938" spans="2:9" x14ac:dyDescent="0.15">
      <c r="B938" s="18"/>
      <c r="C938" s="18"/>
      <c r="D938" s="1"/>
      <c r="E938" s="18"/>
      <c r="F938" s="18"/>
      <c r="G938" s="18"/>
      <c r="H938" s="18"/>
      <c r="I938" s="1"/>
    </row>
    <row r="939" spans="2:9" ht="14" thickBot="1" x14ac:dyDescent="0.2">
      <c r="B939" s="12" t="s">
        <v>21</v>
      </c>
      <c r="C939" s="12"/>
      <c r="D939" s="1"/>
      <c r="E939" s="1"/>
      <c r="F939" s="1"/>
      <c r="G939" s="1"/>
      <c r="H939" s="1"/>
      <c r="I939" s="1"/>
    </row>
    <row r="940" spans="2:9" x14ac:dyDescent="0.15">
      <c r="B940" s="903" t="s">
        <v>22</v>
      </c>
      <c r="C940" s="904"/>
      <c r="D940" s="905"/>
      <c r="E940" s="209" t="s">
        <v>23</v>
      </c>
      <c r="F940" s="19" t="s">
        <v>623</v>
      </c>
      <c r="G940" s="209" t="s">
        <v>24</v>
      </c>
      <c r="H940" s="208" t="s">
        <v>25</v>
      </c>
      <c r="I940" s="222"/>
    </row>
    <row r="941" spans="2:9" ht="15" customHeight="1" x14ac:dyDescent="0.15">
      <c r="B941" s="897" t="s">
        <v>56</v>
      </c>
      <c r="C941" s="898"/>
      <c r="D941" s="899"/>
      <c r="E941" s="5"/>
      <c r="F941" s="164"/>
      <c r="G941" s="20"/>
      <c r="H941" s="165">
        <f>I959*0.05</f>
        <v>606.66666666666674</v>
      </c>
      <c r="I941" s="191"/>
    </row>
    <row r="942" spans="2:9" ht="14" thickBot="1" x14ac:dyDescent="0.2">
      <c r="B942" s="900"/>
      <c r="C942" s="901"/>
      <c r="D942" s="902"/>
      <c r="E942" s="21"/>
      <c r="F942" s="22"/>
      <c r="G942" s="23"/>
      <c r="H942" s="223"/>
      <c r="I942" s="177"/>
    </row>
    <row r="943" spans="2:9" ht="14" thickBot="1" x14ac:dyDescent="0.2">
      <c r="B943" s="1"/>
      <c r="C943" s="1"/>
      <c r="D943" s="1"/>
      <c r="E943" s="1"/>
      <c r="F943" s="1"/>
      <c r="G943" s="1"/>
      <c r="H943" s="224" t="s">
        <v>26</v>
      </c>
      <c r="I943" s="163">
        <f>SUM(H941:H941)</f>
        <v>606.66666666666674</v>
      </c>
    </row>
    <row r="944" spans="2:9" ht="14" thickBot="1" x14ac:dyDescent="0.2">
      <c r="B944" s="12" t="s">
        <v>27</v>
      </c>
      <c r="C944" s="12"/>
      <c r="D944" s="1"/>
      <c r="E944" s="1"/>
      <c r="F944" s="1"/>
      <c r="G944" s="1"/>
      <c r="H944" s="225"/>
      <c r="I944" s="225"/>
    </row>
    <row r="945" spans="2:9" x14ac:dyDescent="0.15">
      <c r="B945" s="903" t="s">
        <v>22</v>
      </c>
      <c r="C945" s="904"/>
      <c r="D945" s="905"/>
      <c r="E945" s="209" t="s">
        <v>28</v>
      </c>
      <c r="F945" s="209" t="s">
        <v>29</v>
      </c>
      <c r="G945" s="209" t="s">
        <v>30</v>
      </c>
      <c r="H945" s="226" t="s">
        <v>25</v>
      </c>
      <c r="I945" s="222"/>
    </row>
    <row r="946" spans="2:9" x14ac:dyDescent="0.15">
      <c r="B946" s="4"/>
      <c r="C946" s="24"/>
      <c r="D946" s="6"/>
      <c r="E946" s="3"/>
      <c r="F946" s="164"/>
      <c r="G946" s="50"/>
      <c r="H946" s="165"/>
      <c r="I946" s="191"/>
    </row>
    <row r="947" spans="2:9" x14ac:dyDescent="0.15">
      <c r="B947" s="4"/>
      <c r="C947" s="24"/>
      <c r="D947" s="6"/>
      <c r="E947" s="5"/>
      <c r="F947" s="164"/>
      <c r="G947" s="182"/>
      <c r="H947" s="186"/>
      <c r="I947" s="191"/>
    </row>
    <row r="948" spans="2:9" ht="14" thickBot="1" x14ac:dyDescent="0.2">
      <c r="B948" s="25"/>
      <c r="C948" s="26"/>
      <c r="D948" s="27"/>
      <c r="E948" s="21"/>
      <c r="F948" s="22"/>
      <c r="G948" s="23"/>
      <c r="H948" s="223"/>
      <c r="I948" s="177"/>
    </row>
    <row r="949" spans="2:9" ht="14" thickBot="1" x14ac:dyDescent="0.2">
      <c r="B949" s="1"/>
      <c r="C949" s="1"/>
      <c r="D949" s="1"/>
      <c r="E949" s="1"/>
      <c r="F949" s="1"/>
      <c r="G949" s="1"/>
      <c r="H949" s="224" t="s">
        <v>26</v>
      </c>
      <c r="I949" s="163">
        <f>SUM(H946:H948)</f>
        <v>0</v>
      </c>
    </row>
    <row r="950" spans="2:9" ht="14" thickBot="1" x14ac:dyDescent="0.2">
      <c r="B950" s="28" t="s">
        <v>31</v>
      </c>
      <c r="C950" s="28"/>
      <c r="D950" s="26"/>
      <c r="E950" s="1"/>
      <c r="F950" s="1"/>
      <c r="G950" s="1"/>
      <c r="H950" s="225"/>
      <c r="I950" s="225"/>
    </row>
    <row r="951" spans="2:9" x14ac:dyDescent="0.15">
      <c r="B951" s="51" t="s">
        <v>32</v>
      </c>
      <c r="C951" s="86"/>
      <c r="D951" s="97" t="s">
        <v>33</v>
      </c>
      <c r="E951" s="209" t="s">
        <v>34</v>
      </c>
      <c r="F951" s="209" t="s">
        <v>35</v>
      </c>
      <c r="G951" s="209" t="s">
        <v>36</v>
      </c>
      <c r="H951" s="227" t="s">
        <v>25</v>
      </c>
      <c r="I951" s="222"/>
    </row>
    <row r="952" spans="2:9" x14ac:dyDescent="0.15">
      <c r="B952" s="4"/>
      <c r="C952" s="6"/>
      <c r="D952" s="53"/>
      <c r="E952" s="2"/>
      <c r="F952" s="2"/>
      <c r="G952" s="162"/>
      <c r="H952" s="20"/>
      <c r="I952" s="191"/>
    </row>
    <row r="953" spans="2:9" ht="14" thickBot="1" x14ac:dyDescent="0.2">
      <c r="B953" s="33"/>
      <c r="C953" s="34"/>
      <c r="D953" s="98"/>
      <c r="E953" s="21"/>
      <c r="F953" s="99"/>
      <c r="G953" s="23"/>
      <c r="H953" s="167"/>
      <c r="I953" s="177"/>
    </row>
    <row r="954" spans="2:9" ht="14" thickBot="1" x14ac:dyDescent="0.2">
      <c r="B954" s="1"/>
      <c r="C954" s="1"/>
      <c r="D954" s="1"/>
      <c r="E954" s="1"/>
      <c r="F954" s="1"/>
      <c r="G954" s="1"/>
      <c r="H954" s="224" t="s">
        <v>26</v>
      </c>
      <c r="I954" s="177">
        <f>SUM(H952:H952)</f>
        <v>0</v>
      </c>
    </row>
    <row r="955" spans="2:9" ht="14" thickBot="1" x14ac:dyDescent="0.2">
      <c r="B955" s="28" t="s">
        <v>37</v>
      </c>
      <c r="C955" s="28"/>
      <c r="D955" s="1"/>
      <c r="E955" s="1"/>
      <c r="F955" s="1"/>
      <c r="G955" s="1"/>
      <c r="H955" s="225"/>
      <c r="I955" s="225"/>
    </row>
    <row r="956" spans="2:9" x14ac:dyDescent="0.15">
      <c r="B956" s="29" t="s">
        <v>38</v>
      </c>
      <c r="C956" s="30"/>
      <c r="D956" s="31" t="s">
        <v>39</v>
      </c>
      <c r="E956" s="209" t="s">
        <v>40</v>
      </c>
      <c r="F956" s="19" t="s">
        <v>41</v>
      </c>
      <c r="G956" s="31" t="s">
        <v>24</v>
      </c>
      <c r="H956" s="226" t="s">
        <v>25</v>
      </c>
      <c r="I956" s="222"/>
    </row>
    <row r="957" spans="2:9" x14ac:dyDescent="0.15">
      <c r="B957" s="4" t="s">
        <v>55</v>
      </c>
      <c r="C957" s="24"/>
      <c r="D957" s="32">
        <f>'MANO DE OBRA'!E14*2</f>
        <v>104000</v>
      </c>
      <c r="E957" s="168">
        <v>1.75</v>
      </c>
      <c r="F957" s="20">
        <f>+E957*D957</f>
        <v>182000</v>
      </c>
      <c r="G957" s="20">
        <v>15</v>
      </c>
      <c r="H957" s="169">
        <f>+F957/G957</f>
        <v>12133.333333333334</v>
      </c>
      <c r="I957" s="191"/>
    </row>
    <row r="958" spans="2:9" ht="14" thickBot="1" x14ac:dyDescent="0.2">
      <c r="B958" s="33"/>
      <c r="C958" s="34"/>
      <c r="D958" s="22"/>
      <c r="E958" s="27"/>
      <c r="F958" s="27"/>
      <c r="G958" s="27"/>
      <c r="H958" s="228"/>
      <c r="I958" s="177"/>
    </row>
    <row r="959" spans="2:9" ht="14" thickBot="1" x14ac:dyDescent="0.2">
      <c r="B959" s="1"/>
      <c r="C959" s="1"/>
      <c r="D959" s="1"/>
      <c r="E959" s="1"/>
      <c r="F959" s="1"/>
      <c r="G959" s="1"/>
      <c r="H959" s="224" t="s">
        <v>26</v>
      </c>
      <c r="I959" s="163">
        <f>SUM(H957:H958)</f>
        <v>12133.333333333334</v>
      </c>
    </row>
    <row r="960" spans="2:9" ht="14" thickBot="1" x14ac:dyDescent="0.2">
      <c r="B960" s="1"/>
      <c r="C960" s="1"/>
      <c r="D960" s="1"/>
      <c r="E960" s="1"/>
      <c r="F960" s="1"/>
      <c r="G960" s="1"/>
      <c r="H960" s="229"/>
      <c r="I960" s="172"/>
    </row>
    <row r="961" spans="2:10" ht="15" thickBot="1" x14ac:dyDescent="0.2">
      <c r="B961" s="1"/>
      <c r="C961" s="1"/>
      <c r="D961" s="1"/>
      <c r="E961" s="1"/>
      <c r="F961" s="35" t="s">
        <v>43</v>
      </c>
      <c r="G961" s="36"/>
      <c r="H961" s="187"/>
      <c r="I961" s="232">
        <f>ROUND((I943+I949+I954+I959),0)</f>
        <v>12740</v>
      </c>
    </row>
    <row r="962" spans="2:10" x14ac:dyDescent="0.15">
      <c r="B962" s="12"/>
      <c r="C962" s="12"/>
      <c r="D962" s="1"/>
      <c r="E962" s="1"/>
      <c r="F962" s="1"/>
      <c r="G962" s="1"/>
      <c r="H962" s="172"/>
      <c r="I962" s="172"/>
    </row>
    <row r="963" spans="2:10" x14ac:dyDescent="0.15">
      <c r="B963" s="16"/>
      <c r="C963" s="16"/>
      <c r="D963" s="16"/>
      <c r="E963" s="16"/>
      <c r="F963" s="16"/>
      <c r="G963" s="61"/>
      <c r="H963" s="173"/>
      <c r="I963" s="172"/>
    </row>
    <row r="964" spans="2:10" x14ac:dyDescent="0.15">
      <c r="B964" s="1"/>
      <c r="C964" s="1"/>
      <c r="D964" s="1"/>
      <c r="E964" s="1"/>
      <c r="F964" s="1"/>
      <c r="G964" s="161"/>
      <c r="H964" s="172"/>
      <c r="I964" s="172"/>
    </row>
    <row r="965" spans="2:10" x14ac:dyDescent="0.15">
      <c r="B965" s="1"/>
      <c r="C965" s="1"/>
      <c r="D965" s="1"/>
      <c r="E965" s="1"/>
      <c r="F965" s="1"/>
      <c r="G965" s="161"/>
      <c r="H965" s="172"/>
      <c r="I965" s="172"/>
    </row>
    <row r="966" spans="2:10" x14ac:dyDescent="0.15">
      <c r="B966" s="1"/>
      <c r="C966" s="1"/>
      <c r="D966" s="1"/>
      <c r="E966" s="1"/>
      <c r="F966" s="1"/>
      <c r="G966" s="161"/>
      <c r="H966" s="172"/>
      <c r="I966" s="172"/>
    </row>
    <row r="967" spans="2:10" ht="14" x14ac:dyDescent="0.15">
      <c r="B967" s="102"/>
      <c r="C967" s="1"/>
      <c r="D967" s="1"/>
      <c r="E967" s="1"/>
      <c r="F967" s="1"/>
      <c r="G967" s="1"/>
      <c r="H967" s="1"/>
      <c r="I967" s="172"/>
    </row>
    <row r="968" spans="2:10" ht="14" x14ac:dyDescent="0.15">
      <c r="B968" s="83"/>
      <c r="C968" s="11"/>
      <c r="D968" s="1"/>
      <c r="E968" s="916"/>
      <c r="F968" s="916"/>
      <c r="G968" s="916"/>
      <c r="H968" s="916"/>
      <c r="I968" s="171"/>
    </row>
    <row r="969" spans="2:10" ht="14" x14ac:dyDescent="0.15">
      <c r="B969" s="102"/>
      <c r="C969" s="83"/>
      <c r="D969" s="84"/>
      <c r="E969" s="83"/>
      <c r="F969" s="83"/>
      <c r="G969" s="102"/>
      <c r="H969" s="83"/>
      <c r="I969" s="85"/>
      <c r="J969" s="85"/>
    </row>
    <row r="970" spans="2:10" ht="14" x14ac:dyDescent="0.15">
      <c r="B970" s="83"/>
      <c r="C970" s="83"/>
      <c r="D970" s="84"/>
      <c r="E970" s="83"/>
      <c r="F970" s="83"/>
      <c r="G970" s="119"/>
      <c r="H970" s="83"/>
      <c r="I970" s="85"/>
      <c r="J970" s="85"/>
    </row>
    <row r="971" spans="2:10" x14ac:dyDescent="0.15">
      <c r="B971" s="11"/>
      <c r="C971" s="11"/>
      <c r="D971" s="11"/>
      <c r="E971" s="11"/>
      <c r="F971" s="11"/>
      <c r="G971" s="11"/>
      <c r="H971" s="11"/>
      <c r="I971" s="11"/>
    </row>
    <row r="972" spans="2:10" x14ac:dyDescent="0.15">
      <c r="B972" s="11"/>
      <c r="C972" s="11"/>
      <c r="D972" s="11"/>
      <c r="E972" s="11"/>
      <c r="F972" s="11"/>
      <c r="G972" s="11"/>
      <c r="H972" s="11"/>
      <c r="I972" s="11"/>
    </row>
    <row r="978" spans="2:10" ht="14" x14ac:dyDescent="0.15">
      <c r="B978" s="102"/>
      <c r="C978" s="83"/>
      <c r="D978" s="84"/>
      <c r="E978" s="83"/>
      <c r="F978" s="83"/>
      <c r="G978" s="103"/>
      <c r="H978" s="83"/>
      <c r="I978" s="85"/>
      <c r="J978" s="85"/>
    </row>
    <row r="979" spans="2:10" ht="14" x14ac:dyDescent="0.15">
      <c r="B979" s="102"/>
      <c r="C979" s="83"/>
      <c r="D979" s="84"/>
      <c r="E979" s="83"/>
      <c r="F979" s="83"/>
      <c r="G979" s="103"/>
      <c r="H979" s="83"/>
      <c r="I979" s="85"/>
      <c r="J979" s="85"/>
    </row>
    <row r="980" spans="2:10" ht="14" x14ac:dyDescent="0.15">
      <c r="B980" s="83"/>
      <c r="C980" s="83"/>
      <c r="D980" s="84"/>
      <c r="E980" s="83"/>
      <c r="F980" s="83"/>
      <c r="G980" s="104"/>
      <c r="H980" s="83"/>
      <c r="I980" s="85"/>
      <c r="J980" s="85"/>
    </row>
    <row r="981" spans="2:10" ht="14" x14ac:dyDescent="0.15">
      <c r="B981" s="83"/>
      <c r="C981" s="83"/>
      <c r="D981" s="84"/>
      <c r="E981" s="83"/>
      <c r="F981" s="83"/>
      <c r="G981" s="104"/>
      <c r="H981" s="83"/>
      <c r="I981" s="85"/>
      <c r="J981" s="85"/>
    </row>
    <row r="982" spans="2:10" ht="15" thickBot="1" x14ac:dyDescent="0.2">
      <c r="B982" s="83"/>
    </row>
    <row r="983" spans="2:10" s="90" customFormat="1" ht="21.75" customHeight="1" x14ac:dyDescent="0.2">
      <c r="B983" s="885" t="s">
        <v>874</v>
      </c>
      <c r="C983" s="886"/>
      <c r="D983" s="886"/>
      <c r="E983" s="886"/>
      <c r="F983" s="887"/>
      <c r="G983" s="89"/>
      <c r="H983" s="931" t="s">
        <v>20</v>
      </c>
      <c r="I983" s="932"/>
    </row>
    <row r="984" spans="2:10" s="90" customFormat="1" ht="21" customHeight="1" x14ac:dyDescent="0.2">
      <c r="B984" s="888" t="s">
        <v>875</v>
      </c>
      <c r="C984" s="889"/>
      <c r="D984" s="889"/>
      <c r="E984" s="889"/>
      <c r="F984" s="890"/>
      <c r="G984" s="91"/>
      <c r="H984" s="933"/>
      <c r="I984" s="934"/>
    </row>
    <row r="985" spans="2:10" s="90" customFormat="1" ht="15" customHeight="1" x14ac:dyDescent="0.2">
      <c r="B985" s="906" t="s">
        <v>876</v>
      </c>
      <c r="C985" s="907"/>
      <c r="D985" s="907"/>
      <c r="E985" s="907"/>
      <c r="F985" s="908"/>
      <c r="G985" s="91"/>
      <c r="H985" s="935" t="s">
        <v>1453</v>
      </c>
      <c r="I985" s="939"/>
    </row>
    <row r="986" spans="2:10" s="90" customFormat="1" ht="15.75" customHeight="1" thickBot="1" x14ac:dyDescent="0.25">
      <c r="B986" s="909"/>
      <c r="C986" s="910"/>
      <c r="D986" s="910"/>
      <c r="E986" s="910"/>
      <c r="F986" s="911"/>
      <c r="G986" s="89"/>
      <c r="H986" s="935"/>
      <c r="I986" s="939"/>
    </row>
    <row r="987" spans="2:10" ht="15.75" customHeight="1" thickBot="1" x14ac:dyDescent="0.2">
      <c r="B987" s="15"/>
      <c r="C987" s="16"/>
      <c r="D987" s="1"/>
      <c r="E987" s="1"/>
      <c r="F987" s="1"/>
      <c r="G987" s="1"/>
      <c r="H987" s="935"/>
      <c r="I987" s="939"/>
    </row>
    <row r="988" spans="2:10" ht="15.75" customHeight="1" x14ac:dyDescent="0.15">
      <c r="B988" s="922" t="s">
        <v>836</v>
      </c>
      <c r="C988" s="923"/>
      <c r="D988" s="923"/>
      <c r="E988" s="923"/>
      <c r="F988" s="924"/>
      <c r="G988" s="1"/>
      <c r="H988" s="935"/>
      <c r="I988" s="939"/>
    </row>
    <row r="989" spans="2:10" ht="15" customHeight="1" x14ac:dyDescent="0.15">
      <c r="B989" s="925"/>
      <c r="C989" s="926"/>
      <c r="D989" s="926"/>
      <c r="E989" s="926"/>
      <c r="F989" s="927"/>
      <c r="H989" s="935"/>
      <c r="I989" s="939"/>
    </row>
    <row r="990" spans="2:10" ht="15" customHeight="1" x14ac:dyDescent="0.15">
      <c r="B990" s="925"/>
      <c r="C990" s="926"/>
      <c r="D990" s="926"/>
      <c r="E990" s="926"/>
      <c r="F990" s="927"/>
      <c r="G990" s="11"/>
      <c r="H990" s="935"/>
      <c r="I990" s="939"/>
    </row>
    <row r="991" spans="2:10" ht="13.5" customHeight="1" thickBot="1" x14ac:dyDescent="0.2">
      <c r="B991" s="928"/>
      <c r="C991" s="929"/>
      <c r="D991" s="929"/>
      <c r="E991" s="929"/>
      <c r="F991" s="930"/>
      <c r="H991" s="64" t="s">
        <v>45</v>
      </c>
      <c r="I991" s="17" t="s">
        <v>319</v>
      </c>
    </row>
    <row r="992" spans="2:10" x14ac:dyDescent="0.15">
      <c r="B992" s="18"/>
      <c r="C992" s="18"/>
      <c r="D992" s="1"/>
      <c r="E992" s="18"/>
      <c r="F992" s="18"/>
      <c r="G992" s="18"/>
      <c r="H992" s="18"/>
      <c r="I992" s="1"/>
    </row>
    <row r="993" spans="2:9" ht="14" thickBot="1" x14ac:dyDescent="0.2">
      <c r="B993" s="12" t="s">
        <v>21</v>
      </c>
      <c r="C993" s="12"/>
      <c r="D993" s="1"/>
      <c r="E993" s="1"/>
      <c r="F993" s="1"/>
      <c r="G993" s="1"/>
      <c r="H993" s="1"/>
      <c r="I993" s="1"/>
    </row>
    <row r="994" spans="2:9" x14ac:dyDescent="0.15">
      <c r="B994" s="903" t="s">
        <v>22</v>
      </c>
      <c r="C994" s="904"/>
      <c r="D994" s="905"/>
      <c r="E994" s="209" t="s">
        <v>23</v>
      </c>
      <c r="F994" s="19" t="s">
        <v>623</v>
      </c>
      <c r="G994" s="209" t="s">
        <v>24</v>
      </c>
      <c r="H994" s="208" t="s">
        <v>25</v>
      </c>
      <c r="I994" s="222"/>
    </row>
    <row r="995" spans="2:9" ht="15" customHeight="1" x14ac:dyDescent="0.15">
      <c r="B995" s="897" t="s">
        <v>56</v>
      </c>
      <c r="C995" s="898"/>
      <c r="D995" s="899"/>
      <c r="E995" s="5"/>
      <c r="F995" s="164"/>
      <c r="G995" s="20"/>
      <c r="H995" s="165">
        <f>I1013*0.05</f>
        <v>2600</v>
      </c>
      <c r="I995" s="191"/>
    </row>
    <row r="996" spans="2:9" ht="14" thickBot="1" x14ac:dyDescent="0.2">
      <c r="B996" s="900"/>
      <c r="C996" s="901"/>
      <c r="D996" s="902"/>
      <c r="E996" s="21"/>
      <c r="F996" s="22"/>
      <c r="G996" s="23"/>
      <c r="H996" s="223"/>
      <c r="I996" s="177"/>
    </row>
    <row r="997" spans="2:9" ht="14" thickBot="1" x14ac:dyDescent="0.2">
      <c r="B997" s="1"/>
      <c r="C997" s="1"/>
      <c r="D997" s="1"/>
      <c r="E997" s="1"/>
      <c r="F997" s="1"/>
      <c r="G997" s="1"/>
      <c r="H997" s="224" t="s">
        <v>26</v>
      </c>
      <c r="I997" s="163">
        <f>SUM(H995:H995)</f>
        <v>2600</v>
      </c>
    </row>
    <row r="998" spans="2:9" ht="14" thickBot="1" x14ac:dyDescent="0.2">
      <c r="B998" s="12" t="s">
        <v>27</v>
      </c>
      <c r="C998" s="12"/>
      <c r="D998" s="1"/>
      <c r="E998" s="1"/>
      <c r="F998" s="1"/>
      <c r="G998" s="1"/>
      <c r="H998" s="225"/>
      <c r="I998" s="225"/>
    </row>
    <row r="999" spans="2:9" x14ac:dyDescent="0.15">
      <c r="B999" s="903" t="s">
        <v>22</v>
      </c>
      <c r="C999" s="904"/>
      <c r="D999" s="905"/>
      <c r="E999" s="209" t="s">
        <v>28</v>
      </c>
      <c r="F999" s="209" t="s">
        <v>29</v>
      </c>
      <c r="G999" s="209" t="s">
        <v>30</v>
      </c>
      <c r="H999" s="226" t="s">
        <v>25</v>
      </c>
      <c r="I999" s="222"/>
    </row>
    <row r="1000" spans="2:9" x14ac:dyDescent="0.15">
      <c r="B1000" s="4"/>
      <c r="C1000" s="24"/>
      <c r="D1000" s="6"/>
      <c r="E1000" s="3"/>
      <c r="F1000" s="164"/>
      <c r="G1000" s="50"/>
      <c r="H1000" s="165"/>
      <c r="I1000" s="191"/>
    </row>
    <row r="1001" spans="2:9" x14ac:dyDescent="0.15">
      <c r="B1001" s="4"/>
      <c r="C1001" s="24"/>
      <c r="D1001" s="6"/>
      <c r="E1001" s="5"/>
      <c r="F1001" s="164"/>
      <c r="G1001" s="182"/>
      <c r="H1001" s="186"/>
      <c r="I1001" s="191"/>
    </row>
    <row r="1002" spans="2:9" ht="14" thickBot="1" x14ac:dyDescent="0.2">
      <c r="B1002" s="25"/>
      <c r="C1002" s="26"/>
      <c r="D1002" s="27"/>
      <c r="E1002" s="21"/>
      <c r="F1002" s="22"/>
      <c r="G1002" s="23"/>
      <c r="H1002" s="223"/>
      <c r="I1002" s="177"/>
    </row>
    <row r="1003" spans="2:9" ht="14" thickBot="1" x14ac:dyDescent="0.2">
      <c r="B1003" s="1"/>
      <c r="C1003" s="1"/>
      <c r="D1003" s="1"/>
      <c r="E1003" s="1"/>
      <c r="F1003" s="1"/>
      <c r="G1003" s="1"/>
      <c r="H1003" s="224" t="s">
        <v>26</v>
      </c>
      <c r="I1003" s="163">
        <f>SUM(H1000:H1002)</f>
        <v>0</v>
      </c>
    </row>
    <row r="1004" spans="2:9" ht="14" thickBot="1" x14ac:dyDescent="0.2">
      <c r="B1004" s="28" t="s">
        <v>31</v>
      </c>
      <c r="C1004" s="28"/>
      <c r="D1004" s="26"/>
      <c r="E1004" s="1"/>
      <c r="F1004" s="1"/>
      <c r="G1004" s="1"/>
      <c r="H1004" s="225"/>
      <c r="I1004" s="225"/>
    </row>
    <row r="1005" spans="2:9" x14ac:dyDescent="0.15">
      <c r="B1005" s="51" t="s">
        <v>32</v>
      </c>
      <c r="C1005" s="86"/>
      <c r="D1005" s="97" t="s">
        <v>33</v>
      </c>
      <c r="E1005" s="209" t="s">
        <v>34</v>
      </c>
      <c r="F1005" s="209" t="s">
        <v>35</v>
      </c>
      <c r="G1005" s="209" t="s">
        <v>36</v>
      </c>
      <c r="H1005" s="227" t="s">
        <v>25</v>
      </c>
      <c r="I1005" s="222"/>
    </row>
    <row r="1006" spans="2:9" x14ac:dyDescent="0.15">
      <c r="B1006" s="4"/>
      <c r="C1006" s="6"/>
      <c r="D1006" s="53"/>
      <c r="E1006" s="2"/>
      <c r="F1006" s="2"/>
      <c r="G1006" s="162"/>
      <c r="H1006" s="20"/>
      <c r="I1006" s="191"/>
    </row>
    <row r="1007" spans="2:9" ht="14" thickBot="1" x14ac:dyDescent="0.2">
      <c r="B1007" s="33"/>
      <c r="C1007" s="34"/>
      <c r="D1007" s="98"/>
      <c r="E1007" s="21"/>
      <c r="F1007" s="99"/>
      <c r="G1007" s="23"/>
      <c r="H1007" s="167"/>
      <c r="I1007" s="177"/>
    </row>
    <row r="1008" spans="2:9" ht="14" thickBot="1" x14ac:dyDescent="0.2">
      <c r="B1008" s="1"/>
      <c r="C1008" s="1"/>
      <c r="D1008" s="1"/>
      <c r="E1008" s="1"/>
      <c r="F1008" s="1"/>
      <c r="G1008" s="1"/>
      <c r="H1008" s="224" t="s">
        <v>26</v>
      </c>
      <c r="I1008" s="177">
        <f>SUM(H1006:H1006)</f>
        <v>0</v>
      </c>
    </row>
    <row r="1009" spans="2:10" ht="14" thickBot="1" x14ac:dyDescent="0.2">
      <c r="B1009" s="28" t="s">
        <v>37</v>
      </c>
      <c r="C1009" s="28"/>
      <c r="D1009" s="1"/>
      <c r="E1009" s="1"/>
      <c r="F1009" s="1"/>
      <c r="G1009" s="1"/>
      <c r="H1009" s="225"/>
      <c r="I1009" s="225"/>
    </row>
    <row r="1010" spans="2:10" x14ac:dyDescent="0.15">
      <c r="B1010" s="29" t="s">
        <v>38</v>
      </c>
      <c r="C1010" s="30"/>
      <c r="D1010" s="31" t="s">
        <v>39</v>
      </c>
      <c r="E1010" s="209" t="s">
        <v>40</v>
      </c>
      <c r="F1010" s="19" t="s">
        <v>41</v>
      </c>
      <c r="G1010" s="31" t="s">
        <v>24</v>
      </c>
      <c r="H1010" s="226" t="s">
        <v>25</v>
      </c>
      <c r="I1010" s="222"/>
    </row>
    <row r="1011" spans="2:10" x14ac:dyDescent="0.15">
      <c r="B1011" s="4" t="s">
        <v>520</v>
      </c>
      <c r="C1011" s="24"/>
      <c r="D1011" s="32">
        <f>'MANO DE OBRA'!E14*4</f>
        <v>208000</v>
      </c>
      <c r="E1011" s="168">
        <v>1.75</v>
      </c>
      <c r="F1011" s="20">
        <f>+E1011*D1011</f>
        <v>364000</v>
      </c>
      <c r="G1011" s="20">
        <v>7</v>
      </c>
      <c r="H1011" s="169">
        <f>+F1011/G1011</f>
        <v>52000</v>
      </c>
      <c r="I1011" s="191"/>
    </row>
    <row r="1012" spans="2:10" ht="14" thickBot="1" x14ac:dyDescent="0.2">
      <c r="B1012" s="33"/>
      <c r="C1012" s="34"/>
      <c r="D1012" s="22"/>
      <c r="E1012" s="27"/>
      <c r="F1012" s="27"/>
      <c r="G1012" s="27"/>
      <c r="H1012" s="228"/>
      <c r="I1012" s="177"/>
    </row>
    <row r="1013" spans="2:10" ht="14" thickBot="1" x14ac:dyDescent="0.2">
      <c r="B1013" s="1"/>
      <c r="C1013" s="1"/>
      <c r="D1013" s="1"/>
      <c r="E1013" s="1"/>
      <c r="F1013" s="1"/>
      <c r="G1013" s="1"/>
      <c r="H1013" s="224" t="s">
        <v>26</v>
      </c>
      <c r="I1013" s="163">
        <f>SUM(H1011:H1012)</f>
        <v>52000</v>
      </c>
    </row>
    <row r="1014" spans="2:10" ht="14" thickBot="1" x14ac:dyDescent="0.2">
      <c r="B1014" s="1"/>
      <c r="C1014" s="1"/>
      <c r="D1014" s="1"/>
      <c r="E1014" s="1"/>
      <c r="F1014" s="1"/>
      <c r="G1014" s="1"/>
      <c r="H1014" s="229"/>
      <c r="I1014" s="172"/>
    </row>
    <row r="1015" spans="2:10" ht="15" thickBot="1" x14ac:dyDescent="0.2">
      <c r="B1015" s="1"/>
      <c r="C1015" s="1"/>
      <c r="D1015" s="1"/>
      <c r="E1015" s="1"/>
      <c r="F1015" s="35" t="s">
        <v>43</v>
      </c>
      <c r="G1015" s="36"/>
      <c r="H1015" s="187"/>
      <c r="I1015" s="232">
        <f>ROUND((I997+I1003+I1008+I1013),0)</f>
        <v>54600</v>
      </c>
    </row>
    <row r="1016" spans="2:10" x14ac:dyDescent="0.15">
      <c r="B1016" s="12"/>
      <c r="C1016" s="12"/>
      <c r="D1016" s="1"/>
      <c r="E1016" s="1"/>
      <c r="F1016" s="1"/>
      <c r="G1016" s="1"/>
      <c r="H1016" s="172"/>
      <c r="I1016" s="172"/>
    </row>
    <row r="1017" spans="2:10" x14ac:dyDescent="0.15">
      <c r="B1017" s="16"/>
      <c r="C1017" s="16"/>
      <c r="D1017" s="16"/>
      <c r="E1017" s="16"/>
      <c r="F1017" s="16"/>
      <c r="G1017" s="61"/>
      <c r="H1017" s="173"/>
      <c r="I1017" s="172"/>
    </row>
    <row r="1018" spans="2:10" x14ac:dyDescent="0.15">
      <c r="B1018" s="1"/>
      <c r="C1018" s="1"/>
      <c r="D1018" s="1"/>
      <c r="E1018" s="1"/>
      <c r="F1018" s="1"/>
      <c r="G1018" s="161"/>
      <c r="H1018" s="172"/>
      <c r="I1018" s="172"/>
    </row>
    <row r="1019" spans="2:10" x14ac:dyDescent="0.15">
      <c r="B1019" s="1"/>
      <c r="C1019" s="1"/>
      <c r="D1019" s="1"/>
      <c r="E1019" s="1"/>
      <c r="F1019" s="1"/>
      <c r="G1019" s="161"/>
      <c r="H1019" s="172"/>
      <c r="I1019" s="172"/>
    </row>
    <row r="1020" spans="2:10" x14ac:dyDescent="0.15">
      <c r="B1020" s="1"/>
      <c r="C1020" s="1"/>
      <c r="D1020" s="1"/>
      <c r="E1020" s="1"/>
      <c r="F1020" s="1"/>
      <c r="G1020" s="161"/>
      <c r="H1020" s="172"/>
      <c r="I1020" s="172"/>
    </row>
    <row r="1021" spans="2:10" ht="14" x14ac:dyDescent="0.15">
      <c r="B1021" s="102"/>
      <c r="C1021" s="1"/>
      <c r="D1021" s="1"/>
      <c r="E1021" s="1"/>
      <c r="F1021" s="1"/>
      <c r="G1021" s="1"/>
      <c r="H1021" s="1"/>
      <c r="I1021" s="172"/>
    </row>
    <row r="1022" spans="2:10" ht="14" x14ac:dyDescent="0.15">
      <c r="B1022" s="83"/>
      <c r="C1022" s="11"/>
      <c r="D1022" s="1"/>
      <c r="E1022" s="916"/>
      <c r="F1022" s="916"/>
      <c r="G1022" s="916"/>
      <c r="H1022" s="916"/>
      <c r="I1022" s="171"/>
    </row>
    <row r="1023" spans="2:10" ht="14" x14ac:dyDescent="0.15">
      <c r="B1023" s="102"/>
      <c r="C1023" s="83"/>
      <c r="D1023" s="84"/>
      <c r="E1023" s="83"/>
      <c r="F1023" s="83"/>
      <c r="G1023" s="102"/>
      <c r="H1023" s="83"/>
      <c r="I1023" s="85"/>
      <c r="J1023" s="85"/>
    </row>
    <row r="1024" spans="2:10" ht="14" x14ac:dyDescent="0.15">
      <c r="B1024" s="83"/>
      <c r="C1024" s="83"/>
      <c r="D1024" s="84"/>
      <c r="E1024" s="83"/>
      <c r="F1024" s="83"/>
      <c r="G1024" s="119"/>
      <c r="H1024" s="83"/>
      <c r="I1024" s="85"/>
      <c r="J1024" s="85"/>
    </row>
    <row r="1025" spans="2:10" x14ac:dyDescent="0.15">
      <c r="B1025" s="11"/>
      <c r="C1025" s="11"/>
      <c r="D1025" s="11"/>
      <c r="E1025" s="11"/>
      <c r="F1025" s="11"/>
      <c r="G1025" s="11"/>
      <c r="H1025" s="11"/>
      <c r="I1025" s="11"/>
    </row>
    <row r="1026" spans="2:10" x14ac:dyDescent="0.15">
      <c r="B1026" s="11"/>
      <c r="C1026" s="11"/>
      <c r="D1026" s="11"/>
      <c r="E1026" s="11"/>
      <c r="F1026" s="11"/>
      <c r="G1026" s="11"/>
      <c r="H1026" s="11"/>
      <c r="I1026" s="11"/>
    </row>
    <row r="1032" spans="2:10" ht="14" x14ac:dyDescent="0.15">
      <c r="B1032" s="102"/>
      <c r="C1032" s="83"/>
      <c r="D1032" s="84"/>
      <c r="E1032" s="83"/>
      <c r="F1032" s="83"/>
      <c r="G1032" s="103"/>
      <c r="H1032" s="83"/>
      <c r="I1032" s="85"/>
      <c r="J1032" s="85"/>
    </row>
    <row r="1033" spans="2:10" ht="14" x14ac:dyDescent="0.15">
      <c r="B1033" s="102"/>
      <c r="C1033" s="83"/>
      <c r="D1033" s="84"/>
      <c r="E1033" s="83"/>
      <c r="F1033" s="83"/>
      <c r="G1033" s="103"/>
      <c r="H1033" s="83"/>
      <c r="I1033" s="85"/>
      <c r="J1033" s="85"/>
    </row>
    <row r="1034" spans="2:10" ht="14" x14ac:dyDescent="0.15">
      <c r="B1034" s="83"/>
      <c r="C1034" s="83"/>
      <c r="D1034" s="84"/>
      <c r="E1034" s="83"/>
      <c r="F1034" s="83"/>
      <c r="G1034" s="104"/>
      <c r="H1034" s="83"/>
      <c r="I1034" s="85"/>
      <c r="J1034" s="85"/>
    </row>
    <row r="1035" spans="2:10" ht="14" x14ac:dyDescent="0.15">
      <c r="B1035" s="83"/>
      <c r="C1035" s="83"/>
      <c r="D1035" s="84"/>
      <c r="E1035" s="83"/>
      <c r="F1035" s="83"/>
      <c r="G1035" s="104"/>
      <c r="H1035" s="83"/>
      <c r="I1035" s="85"/>
      <c r="J1035" s="85"/>
    </row>
    <row r="1036" spans="2:10" ht="15" thickBot="1" x14ac:dyDescent="0.2">
      <c r="B1036" s="83"/>
    </row>
    <row r="1037" spans="2:10" s="90" customFormat="1" ht="21.75" customHeight="1" x14ac:dyDescent="0.2">
      <c r="B1037" s="885" t="s">
        <v>874</v>
      </c>
      <c r="C1037" s="886"/>
      <c r="D1037" s="886"/>
      <c r="E1037" s="886"/>
      <c r="F1037" s="887"/>
      <c r="G1037" s="89"/>
      <c r="H1037" s="931" t="s">
        <v>20</v>
      </c>
      <c r="I1037" s="932"/>
    </row>
    <row r="1038" spans="2:10" s="90" customFormat="1" ht="21" customHeight="1" x14ac:dyDescent="0.2">
      <c r="B1038" s="888" t="s">
        <v>875</v>
      </c>
      <c r="C1038" s="889"/>
      <c r="D1038" s="889"/>
      <c r="E1038" s="889"/>
      <c r="F1038" s="890"/>
      <c r="G1038" s="91"/>
      <c r="H1038" s="933"/>
      <c r="I1038" s="934"/>
    </row>
    <row r="1039" spans="2:10" s="90" customFormat="1" ht="15" customHeight="1" x14ac:dyDescent="0.2">
      <c r="B1039" s="906" t="s">
        <v>876</v>
      </c>
      <c r="C1039" s="907"/>
      <c r="D1039" s="907"/>
      <c r="E1039" s="907"/>
      <c r="F1039" s="908"/>
      <c r="G1039" s="91"/>
      <c r="H1039" s="956" t="s">
        <v>1454</v>
      </c>
      <c r="I1039" s="957"/>
    </row>
    <row r="1040" spans="2:10" s="90" customFormat="1" ht="15.75" customHeight="1" thickBot="1" x14ac:dyDescent="0.25">
      <c r="B1040" s="909"/>
      <c r="C1040" s="910"/>
      <c r="D1040" s="910"/>
      <c r="E1040" s="910"/>
      <c r="F1040" s="911"/>
      <c r="G1040" s="89"/>
      <c r="H1040" s="958"/>
      <c r="I1040" s="959"/>
    </row>
    <row r="1041" spans="2:9" ht="15.75" customHeight="1" thickBot="1" x14ac:dyDescent="0.2">
      <c r="B1041" s="15"/>
      <c r="C1041" s="16"/>
      <c r="D1041" s="1"/>
      <c r="E1041" s="1"/>
      <c r="F1041" s="1"/>
      <c r="G1041" s="1"/>
      <c r="H1041" s="958"/>
      <c r="I1041" s="959"/>
    </row>
    <row r="1042" spans="2:9" ht="15.75" customHeight="1" x14ac:dyDescent="0.15">
      <c r="B1042" s="922" t="s">
        <v>836</v>
      </c>
      <c r="C1042" s="923"/>
      <c r="D1042" s="923"/>
      <c r="E1042" s="923"/>
      <c r="F1042" s="924"/>
      <c r="G1042" s="1"/>
      <c r="H1042" s="958"/>
      <c r="I1042" s="959"/>
    </row>
    <row r="1043" spans="2:9" ht="15" customHeight="1" x14ac:dyDescent="0.15">
      <c r="B1043" s="925"/>
      <c r="C1043" s="926"/>
      <c r="D1043" s="926"/>
      <c r="E1043" s="926"/>
      <c r="F1043" s="927"/>
      <c r="H1043" s="958"/>
      <c r="I1043" s="959"/>
    </row>
    <row r="1044" spans="2:9" ht="23.25" customHeight="1" x14ac:dyDescent="0.15">
      <c r="B1044" s="925"/>
      <c r="C1044" s="926"/>
      <c r="D1044" s="926"/>
      <c r="E1044" s="926"/>
      <c r="F1044" s="927"/>
      <c r="G1044" s="11"/>
      <c r="H1044" s="960"/>
      <c r="I1044" s="961"/>
    </row>
    <row r="1045" spans="2:9" ht="13.5" customHeight="1" thickBot="1" x14ac:dyDescent="0.2">
      <c r="B1045" s="928"/>
      <c r="C1045" s="929"/>
      <c r="D1045" s="929"/>
      <c r="E1045" s="929"/>
      <c r="F1045" s="930"/>
      <c r="H1045" s="189" t="s">
        <v>45</v>
      </c>
      <c r="I1045" s="17" t="s">
        <v>6</v>
      </c>
    </row>
    <row r="1046" spans="2:9" x14ac:dyDescent="0.15">
      <c r="B1046" s="18"/>
      <c r="C1046" s="18"/>
      <c r="D1046" s="1"/>
      <c r="E1046" s="18"/>
      <c r="F1046" s="18"/>
      <c r="G1046" s="18"/>
      <c r="H1046" s="18"/>
      <c r="I1046" s="1"/>
    </row>
    <row r="1047" spans="2:9" ht="14" thickBot="1" x14ac:dyDescent="0.2">
      <c r="B1047" s="12" t="s">
        <v>21</v>
      </c>
      <c r="C1047" s="12"/>
      <c r="D1047" s="1"/>
      <c r="E1047" s="1"/>
      <c r="F1047" s="1"/>
      <c r="G1047" s="1"/>
      <c r="H1047" s="1"/>
      <c r="I1047" s="1"/>
    </row>
    <row r="1048" spans="2:9" x14ac:dyDescent="0.15">
      <c r="B1048" s="903" t="s">
        <v>22</v>
      </c>
      <c r="C1048" s="904"/>
      <c r="D1048" s="905"/>
      <c r="E1048" s="209" t="s">
        <v>23</v>
      </c>
      <c r="F1048" s="19" t="s">
        <v>105</v>
      </c>
      <c r="G1048" s="209" t="s">
        <v>24</v>
      </c>
      <c r="H1048" s="208" t="s">
        <v>25</v>
      </c>
      <c r="I1048" s="43"/>
    </row>
    <row r="1049" spans="2:9" ht="15" customHeight="1" x14ac:dyDescent="0.15">
      <c r="B1049" s="897" t="s">
        <v>112</v>
      </c>
      <c r="C1049" s="898"/>
      <c r="D1049" s="899"/>
      <c r="E1049" s="3"/>
      <c r="F1049" s="166">
        <f>'HERRAMIENTAS Y EQUIPOS'!C12</f>
        <v>130000</v>
      </c>
      <c r="G1049" s="20">
        <v>15.54899</v>
      </c>
      <c r="H1049" s="165">
        <f>F1049/G1049</f>
        <v>8360.6716577732695</v>
      </c>
      <c r="I1049" s="191"/>
    </row>
    <row r="1050" spans="2:9" x14ac:dyDescent="0.15">
      <c r="B1050" s="897" t="s">
        <v>498</v>
      </c>
      <c r="C1050" s="898"/>
      <c r="D1050" s="899"/>
      <c r="E1050" s="5"/>
      <c r="F1050" s="162"/>
      <c r="G1050" s="20"/>
      <c r="H1050" s="165">
        <f>I1071*0.05</f>
        <v>109.73381550827418</v>
      </c>
      <c r="I1050" s="44"/>
    </row>
    <row r="1051" spans="2:9" ht="14" thickBot="1" x14ac:dyDescent="0.2">
      <c r="B1051" s="900"/>
      <c r="C1051" s="901"/>
      <c r="D1051" s="902"/>
      <c r="E1051" s="21"/>
      <c r="F1051" s="22"/>
      <c r="G1051" s="23"/>
      <c r="H1051" s="47"/>
      <c r="I1051" s="48"/>
    </row>
    <row r="1052" spans="2:9" ht="14" thickBot="1" x14ac:dyDescent="0.2">
      <c r="B1052" s="1"/>
      <c r="C1052" s="1"/>
      <c r="D1052" s="1"/>
      <c r="E1052" s="1"/>
      <c r="F1052" s="1"/>
      <c r="G1052" s="1"/>
      <c r="H1052" s="37" t="s">
        <v>26</v>
      </c>
      <c r="I1052" s="163">
        <f>SUM(H1049:H1051)</f>
        <v>8470.4054732815439</v>
      </c>
    </row>
    <row r="1053" spans="2:9" ht="14" thickBot="1" x14ac:dyDescent="0.2">
      <c r="B1053" s="12" t="s">
        <v>27</v>
      </c>
      <c r="C1053" s="12"/>
      <c r="D1053" s="1"/>
      <c r="E1053" s="1"/>
      <c r="F1053" s="1"/>
      <c r="G1053" s="1"/>
      <c r="H1053" s="1"/>
      <c r="I1053" s="1"/>
    </row>
    <row r="1054" spans="2:9" x14ac:dyDescent="0.15">
      <c r="B1054" s="903" t="s">
        <v>22</v>
      </c>
      <c r="C1054" s="904"/>
      <c r="D1054" s="905"/>
      <c r="E1054" s="209" t="s">
        <v>28</v>
      </c>
      <c r="F1054" s="209" t="s">
        <v>29</v>
      </c>
      <c r="G1054" s="209" t="s">
        <v>30</v>
      </c>
      <c r="H1054" s="208" t="s">
        <v>25</v>
      </c>
      <c r="I1054" s="43"/>
    </row>
    <row r="1055" spans="2:9" x14ac:dyDescent="0.15">
      <c r="B1055" s="4"/>
      <c r="C1055" s="24"/>
      <c r="D1055" s="6"/>
      <c r="E1055" s="3"/>
      <c r="F1055" s="45"/>
      <c r="G1055" s="50"/>
      <c r="H1055" s="56"/>
      <c r="I1055" s="44"/>
    </row>
    <row r="1056" spans="2:9" x14ac:dyDescent="0.15">
      <c r="B1056" s="4"/>
      <c r="C1056" s="24"/>
      <c r="D1056" s="6"/>
      <c r="E1056" s="3"/>
      <c r="F1056" s="45"/>
      <c r="G1056" s="50"/>
      <c r="H1056" s="56"/>
      <c r="I1056" s="44"/>
    </row>
    <row r="1057" spans="2:9" x14ac:dyDescent="0.15">
      <c r="B1057" s="4"/>
      <c r="C1057" s="24"/>
      <c r="D1057" s="6"/>
      <c r="E1057" s="3"/>
      <c r="F1057" s="45"/>
      <c r="G1057" s="50"/>
      <c r="H1057" s="56"/>
      <c r="I1057" s="44"/>
    </row>
    <row r="1058" spans="2:9" ht="14" thickBot="1" x14ac:dyDescent="0.2">
      <c r="B1058" s="25"/>
      <c r="C1058" s="26"/>
      <c r="D1058" s="27"/>
      <c r="E1058" s="21"/>
      <c r="F1058" s="22"/>
      <c r="G1058" s="23"/>
      <c r="H1058" s="47"/>
      <c r="I1058" s="48"/>
    </row>
    <row r="1059" spans="2:9" ht="14" thickBot="1" x14ac:dyDescent="0.2">
      <c r="B1059" s="1"/>
      <c r="C1059" s="1"/>
      <c r="D1059" s="1"/>
      <c r="E1059" s="1"/>
      <c r="F1059" s="1"/>
      <c r="G1059" s="1"/>
      <c r="H1059" s="193" t="s">
        <v>26</v>
      </c>
      <c r="I1059" s="49">
        <f>SUM(H1055:H1058)</f>
        <v>0</v>
      </c>
    </row>
    <row r="1060" spans="2:9" ht="14" thickBot="1" x14ac:dyDescent="0.2">
      <c r="B1060" s="28" t="s">
        <v>31</v>
      </c>
      <c r="C1060" s="28"/>
      <c r="D1060" s="26"/>
      <c r="E1060" s="1"/>
      <c r="F1060" s="1"/>
      <c r="G1060" s="1"/>
      <c r="H1060" s="1"/>
      <c r="I1060" s="1"/>
    </row>
    <row r="1061" spans="2:9" x14ac:dyDescent="0.15">
      <c r="B1061" s="51" t="s">
        <v>32</v>
      </c>
      <c r="C1061" s="52"/>
      <c r="D1061" s="378" t="s">
        <v>33</v>
      </c>
      <c r="E1061" s="209" t="s">
        <v>34</v>
      </c>
      <c r="F1061" s="209" t="s">
        <v>35</v>
      </c>
      <c r="G1061" s="209" t="s">
        <v>36</v>
      </c>
      <c r="H1061" s="59" t="s">
        <v>25</v>
      </c>
      <c r="I1061" s="43"/>
    </row>
    <row r="1062" spans="2:9" x14ac:dyDescent="0.15">
      <c r="B1062" s="4" t="s">
        <v>202</v>
      </c>
      <c r="C1062" s="6"/>
      <c r="D1062" s="60">
        <v>1.5</v>
      </c>
      <c r="E1062" s="2">
        <v>10</v>
      </c>
      <c r="F1062" s="2">
        <f>E1062*D1062</f>
        <v>15</v>
      </c>
      <c r="G1062" s="162">
        <v>1100</v>
      </c>
      <c r="H1062" s="55">
        <f>G1062*F1062</f>
        <v>16500</v>
      </c>
      <c r="I1062" s="44"/>
    </row>
    <row r="1063" spans="2:9" x14ac:dyDescent="0.15">
      <c r="B1063" s="4" t="s">
        <v>203</v>
      </c>
      <c r="C1063" s="6"/>
      <c r="D1063" s="53">
        <v>0.1</v>
      </c>
      <c r="E1063" s="2">
        <v>15</v>
      </c>
      <c r="F1063" s="2">
        <f>E1063*D1063</f>
        <v>1.5</v>
      </c>
      <c r="G1063" s="162">
        <v>1100</v>
      </c>
      <c r="H1063" s="20">
        <f>G1063*F1063</f>
        <v>1650</v>
      </c>
      <c r="I1063" s="191"/>
    </row>
    <row r="1064" spans="2:9" ht="14" thickBot="1" x14ac:dyDescent="0.2">
      <c r="B1064" s="33"/>
      <c r="C1064" s="54"/>
      <c r="D1064" s="21"/>
      <c r="E1064" s="22"/>
      <c r="F1064" s="23"/>
      <c r="G1064" s="47"/>
      <c r="H1064" s="21"/>
      <c r="I1064" s="44"/>
    </row>
    <row r="1065" spans="2:9" ht="14" thickBot="1" x14ac:dyDescent="0.2">
      <c r="B1065" s="1"/>
      <c r="C1065" s="1"/>
      <c r="D1065" s="1"/>
      <c r="E1065" s="1"/>
      <c r="F1065" s="1"/>
      <c r="G1065" s="1"/>
      <c r="H1065" s="37" t="s">
        <v>26</v>
      </c>
      <c r="I1065" s="49">
        <f>SUM(H1062:H1064)</f>
        <v>18150</v>
      </c>
    </row>
    <row r="1066" spans="2:9" ht="14" thickBot="1" x14ac:dyDescent="0.2">
      <c r="B1066" s="28" t="s">
        <v>37</v>
      </c>
      <c r="C1066" s="28"/>
      <c r="D1066" s="1"/>
      <c r="E1066" s="1"/>
      <c r="F1066" s="1"/>
      <c r="G1066" s="1"/>
      <c r="H1066" s="1"/>
      <c r="I1066" s="1"/>
    </row>
    <row r="1067" spans="2:9" x14ac:dyDescent="0.15">
      <c r="B1067" s="51" t="s">
        <v>38</v>
      </c>
      <c r="C1067" s="86"/>
      <c r="D1067" s="31" t="s">
        <v>39</v>
      </c>
      <c r="E1067" s="209" t="s">
        <v>40</v>
      </c>
      <c r="F1067" s="19" t="s">
        <v>41</v>
      </c>
      <c r="G1067" s="31" t="s">
        <v>24</v>
      </c>
      <c r="H1067" s="208" t="s">
        <v>25</v>
      </c>
      <c r="I1067" s="43"/>
    </row>
    <row r="1068" spans="2:9" x14ac:dyDescent="0.15">
      <c r="B1068" s="4" t="s">
        <v>64</v>
      </c>
      <c r="C1068" s="24"/>
      <c r="D1068" s="32">
        <f>'MANO DE OBRA'!E14*3</f>
        <v>156000</v>
      </c>
      <c r="E1068" s="168">
        <v>1.75</v>
      </c>
      <c r="F1068" s="164">
        <f>+E1068*D1068</f>
        <v>273000</v>
      </c>
      <c r="G1068" s="20">
        <f>G1049*8</f>
        <v>124.39192</v>
      </c>
      <c r="H1068" s="169">
        <f>+F1068/G1068</f>
        <v>2194.6763101654833</v>
      </c>
      <c r="I1068" s="44"/>
    </row>
    <row r="1069" spans="2:9" x14ac:dyDescent="0.15">
      <c r="B1069" s="4"/>
      <c r="C1069" s="24"/>
      <c r="D1069" s="376"/>
      <c r="E1069" s="377"/>
      <c r="F1069" s="45"/>
      <c r="G1069" s="20"/>
      <c r="H1069" s="56"/>
      <c r="I1069" s="44"/>
    </row>
    <row r="1070" spans="2:9" ht="14" thickBot="1" x14ac:dyDescent="0.2">
      <c r="B1070" s="33"/>
      <c r="C1070" s="34"/>
      <c r="D1070" s="22"/>
      <c r="E1070" s="21"/>
      <c r="F1070" s="22"/>
      <c r="G1070" s="23"/>
      <c r="H1070" s="47"/>
      <c r="I1070" s="48"/>
    </row>
    <row r="1071" spans="2:9" ht="14" thickBot="1" x14ac:dyDescent="0.2">
      <c r="B1071" s="1"/>
      <c r="C1071" s="1"/>
      <c r="D1071" s="1"/>
      <c r="E1071" s="1"/>
      <c r="F1071" s="1"/>
      <c r="G1071" s="1"/>
      <c r="H1071" s="37" t="s">
        <v>26</v>
      </c>
      <c r="I1071" s="177">
        <f>SUM(H1068:H1070)</f>
        <v>2194.6763101654833</v>
      </c>
    </row>
    <row r="1072" spans="2:9" ht="14" thickBot="1" x14ac:dyDescent="0.2">
      <c r="B1072" s="1"/>
      <c r="C1072" s="1"/>
      <c r="D1072" s="1"/>
      <c r="E1072" s="1"/>
      <c r="F1072" s="1"/>
      <c r="G1072" s="1"/>
      <c r="H1072" s="61"/>
      <c r="I1072" s="1"/>
    </row>
    <row r="1073" spans="2:11" ht="15" thickBot="1" x14ac:dyDescent="0.2">
      <c r="B1073" s="1"/>
      <c r="C1073" s="1"/>
      <c r="D1073" s="1"/>
      <c r="E1073" s="1"/>
      <c r="F1073" s="35" t="s">
        <v>43</v>
      </c>
      <c r="G1073" s="16"/>
      <c r="H1073" s="16"/>
      <c r="I1073" s="232">
        <f>ROUND((I1052+I1059+I1065+I1071),0)</f>
        <v>28815</v>
      </c>
    </row>
    <row r="1074" spans="2:11" x14ac:dyDescent="0.15">
      <c r="B1074" s="12"/>
      <c r="C1074" s="12"/>
      <c r="D1074" s="1"/>
      <c r="E1074" s="1"/>
      <c r="F1074" s="1"/>
      <c r="G1074" s="1"/>
      <c r="H1074" s="1"/>
      <c r="I1074" s="1"/>
      <c r="K1074" s="106"/>
    </row>
    <row r="1075" spans="2:11" x14ac:dyDescent="0.15">
      <c r="B1075" s="16"/>
      <c r="C1075" s="16"/>
      <c r="D1075" s="16"/>
      <c r="E1075" s="16"/>
      <c r="F1075" s="16"/>
      <c r="G1075" s="61"/>
      <c r="H1075" s="61"/>
      <c r="I1075" s="1"/>
    </row>
    <row r="1076" spans="2:11" x14ac:dyDescent="0.15">
      <c r="B1076" s="1"/>
      <c r="C1076" s="1"/>
      <c r="D1076" s="1"/>
      <c r="E1076" s="1"/>
      <c r="F1076" s="1"/>
      <c r="G1076" s="161"/>
      <c r="H1076" s="172"/>
      <c r="I1076" s="172"/>
    </row>
    <row r="1077" spans="2:11" x14ac:dyDescent="0.15">
      <c r="B1077" s="1"/>
      <c r="C1077" s="1"/>
      <c r="D1077" s="1"/>
      <c r="E1077" s="1"/>
      <c r="F1077" s="1"/>
      <c r="G1077" s="161"/>
      <c r="H1077" s="172"/>
      <c r="I1077" s="172"/>
    </row>
    <row r="1078" spans="2:11" x14ac:dyDescent="0.15">
      <c r="B1078" s="1"/>
      <c r="C1078" s="1"/>
      <c r="D1078" s="1"/>
      <c r="E1078" s="1"/>
      <c r="F1078" s="1"/>
      <c r="G1078" s="161"/>
      <c r="H1078" s="172"/>
      <c r="I1078" s="172"/>
    </row>
    <row r="1079" spans="2:11" x14ac:dyDescent="0.15">
      <c r="B1079" s="1"/>
      <c r="C1079" s="1"/>
      <c r="D1079" s="1"/>
      <c r="E1079" s="1"/>
      <c r="F1079" s="1"/>
      <c r="G1079" s="1"/>
      <c r="H1079" s="37"/>
      <c r="I1079" s="172"/>
    </row>
    <row r="1080" spans="2:11" ht="14" x14ac:dyDescent="0.15">
      <c r="B1080" s="102"/>
      <c r="C1080" s="1"/>
      <c r="D1080" s="1"/>
      <c r="E1080" s="1"/>
      <c r="F1080" s="1"/>
      <c r="G1080" s="1"/>
      <c r="H1080" s="1"/>
      <c r="I1080" s="1"/>
    </row>
    <row r="1081" spans="2:11" ht="14" x14ac:dyDescent="0.15">
      <c r="B1081" s="83"/>
      <c r="D1081" s="1"/>
      <c r="E1081" s="15"/>
      <c r="F1081" s="16"/>
      <c r="G1081" s="16"/>
      <c r="H1081" s="16"/>
      <c r="I1081" s="171"/>
    </row>
    <row r="1082" spans="2:11" ht="14" x14ac:dyDescent="0.15">
      <c r="B1082" s="102"/>
      <c r="C1082" s="83"/>
      <c r="D1082" s="84"/>
      <c r="E1082" s="83"/>
      <c r="F1082" s="83"/>
      <c r="G1082" s="102"/>
      <c r="H1082" s="83"/>
      <c r="I1082" s="85"/>
      <c r="J1082" s="85"/>
    </row>
    <row r="1083" spans="2:11" ht="14" x14ac:dyDescent="0.15">
      <c r="B1083" s="83"/>
      <c r="C1083" s="83"/>
      <c r="D1083" s="84"/>
      <c r="E1083" s="83"/>
      <c r="F1083" s="83"/>
      <c r="G1083" s="119"/>
      <c r="H1083" s="83"/>
      <c r="I1083" s="85"/>
      <c r="J1083" s="85"/>
    </row>
    <row r="1084" spans="2:11" x14ac:dyDescent="0.15">
      <c r="D1084" s="1"/>
      <c r="E1084" s="15"/>
      <c r="F1084" s="16"/>
      <c r="G1084" s="16"/>
      <c r="H1084" s="16"/>
      <c r="I1084" s="57"/>
    </row>
    <row r="1085" spans="2:11" x14ac:dyDescent="0.15">
      <c r="D1085" s="1"/>
      <c r="E1085" s="15"/>
      <c r="F1085" s="16"/>
      <c r="G1085" s="16"/>
      <c r="H1085" s="16"/>
      <c r="I1085" s="57"/>
    </row>
    <row r="1086" spans="2:11" x14ac:dyDescent="0.15">
      <c r="D1086" s="1"/>
      <c r="E1086" s="15"/>
      <c r="F1086" s="16"/>
      <c r="G1086" s="16"/>
      <c r="H1086" s="16"/>
      <c r="I1086" s="57"/>
    </row>
    <row r="1087" spans="2:11" x14ac:dyDescent="0.15">
      <c r="D1087" s="1"/>
      <c r="E1087" s="15"/>
      <c r="F1087" s="16"/>
      <c r="G1087" s="16"/>
      <c r="H1087" s="16"/>
      <c r="I1087" s="57"/>
    </row>
    <row r="1088" spans="2:11" x14ac:dyDescent="0.15">
      <c r="D1088" s="1"/>
      <c r="E1088" s="15"/>
      <c r="F1088" s="16"/>
      <c r="G1088" s="16"/>
      <c r="H1088" s="16"/>
      <c r="I1088" s="57"/>
    </row>
    <row r="1089" spans="2:10" x14ac:dyDescent="0.15">
      <c r="D1089" s="1"/>
      <c r="E1089" s="15"/>
      <c r="F1089" s="16"/>
      <c r="G1089" s="16"/>
      <c r="H1089" s="16"/>
      <c r="I1089" s="57"/>
    </row>
    <row r="1090" spans="2:10" ht="14" x14ac:dyDescent="0.15">
      <c r="B1090" s="83"/>
      <c r="C1090" s="83"/>
      <c r="D1090" s="84"/>
      <c r="E1090" s="83"/>
      <c r="F1090" s="83"/>
      <c r="G1090" s="104"/>
      <c r="H1090" s="83"/>
      <c r="I1090" s="85"/>
      <c r="J1090" s="85"/>
    </row>
    <row r="1091" spans="2:10" ht="14" thickBot="1" x14ac:dyDescent="0.2">
      <c r="B1091" s="38"/>
      <c r="C1091" s="38"/>
      <c r="D1091" s="38"/>
      <c r="E1091" s="39"/>
      <c r="F1091" s="18"/>
      <c r="G1091" s="18"/>
      <c r="H1091" s="18"/>
    </row>
    <row r="1092" spans="2:10" s="90" customFormat="1" ht="21.75" customHeight="1" x14ac:dyDescent="0.2">
      <c r="B1092" s="885" t="s">
        <v>874</v>
      </c>
      <c r="C1092" s="886"/>
      <c r="D1092" s="886"/>
      <c r="E1092" s="886"/>
      <c r="F1092" s="887"/>
      <c r="G1092" s="89"/>
      <c r="H1092" s="931" t="s">
        <v>20</v>
      </c>
      <c r="I1092" s="932"/>
    </row>
    <row r="1093" spans="2:10" s="90" customFormat="1" ht="21" customHeight="1" x14ac:dyDescent="0.2">
      <c r="B1093" s="888" t="s">
        <v>875</v>
      </c>
      <c r="C1093" s="889"/>
      <c r="D1093" s="889"/>
      <c r="E1093" s="889"/>
      <c r="F1093" s="890"/>
      <c r="G1093" s="91"/>
      <c r="H1093" s="933"/>
      <c r="I1093" s="934"/>
    </row>
    <row r="1094" spans="2:10" s="90" customFormat="1" ht="15" customHeight="1" x14ac:dyDescent="0.2">
      <c r="B1094" s="906" t="s">
        <v>876</v>
      </c>
      <c r="C1094" s="907"/>
      <c r="D1094" s="907"/>
      <c r="E1094" s="907"/>
      <c r="F1094" s="908"/>
      <c r="G1094" s="91"/>
      <c r="H1094" s="935" t="s">
        <v>891</v>
      </c>
      <c r="I1094" s="939"/>
    </row>
    <row r="1095" spans="2:10" s="90" customFormat="1" ht="15.75" customHeight="1" thickBot="1" x14ac:dyDescent="0.25">
      <c r="B1095" s="909"/>
      <c r="C1095" s="910"/>
      <c r="D1095" s="910"/>
      <c r="E1095" s="910"/>
      <c r="F1095" s="911"/>
      <c r="G1095" s="89"/>
      <c r="H1095" s="935"/>
      <c r="I1095" s="939"/>
    </row>
    <row r="1096" spans="2:10" ht="15.75" customHeight="1" thickBot="1" x14ac:dyDescent="0.2">
      <c r="B1096" s="15"/>
      <c r="C1096" s="16"/>
      <c r="D1096" s="1"/>
      <c r="E1096" s="1"/>
      <c r="F1096" s="1"/>
      <c r="G1096" s="1"/>
      <c r="H1096" s="935"/>
      <c r="I1096" s="939"/>
    </row>
    <row r="1097" spans="2:10" ht="15.75" customHeight="1" x14ac:dyDescent="0.15">
      <c r="B1097" s="922" t="s">
        <v>836</v>
      </c>
      <c r="C1097" s="923"/>
      <c r="D1097" s="923"/>
      <c r="E1097" s="923"/>
      <c r="F1097" s="924"/>
      <c r="G1097" s="1"/>
      <c r="H1097" s="935"/>
      <c r="I1097" s="939"/>
    </row>
    <row r="1098" spans="2:10" ht="15" customHeight="1" x14ac:dyDescent="0.15">
      <c r="B1098" s="925"/>
      <c r="C1098" s="926"/>
      <c r="D1098" s="926"/>
      <c r="E1098" s="926"/>
      <c r="F1098" s="927"/>
      <c r="H1098" s="935"/>
      <c r="I1098" s="939"/>
    </row>
    <row r="1099" spans="2:10" ht="15" customHeight="1" x14ac:dyDescent="0.15">
      <c r="B1099" s="925"/>
      <c r="C1099" s="926"/>
      <c r="D1099" s="926"/>
      <c r="E1099" s="926"/>
      <c r="F1099" s="927"/>
      <c r="G1099" s="11"/>
      <c r="H1099" s="935"/>
      <c r="I1099" s="939"/>
    </row>
    <row r="1100" spans="2:10" ht="13.5" customHeight="1" thickBot="1" x14ac:dyDescent="0.2">
      <c r="B1100" s="928"/>
      <c r="C1100" s="929"/>
      <c r="D1100" s="929"/>
      <c r="E1100" s="929"/>
      <c r="F1100" s="930"/>
      <c r="H1100" s="189" t="s">
        <v>45</v>
      </c>
      <c r="I1100" s="17" t="s">
        <v>6</v>
      </c>
    </row>
    <row r="1101" spans="2:10" x14ac:dyDescent="0.15">
      <c r="B1101" s="18"/>
      <c r="C1101" s="18"/>
      <c r="D1101" s="1"/>
      <c r="E1101" s="18"/>
      <c r="F1101" s="18"/>
      <c r="G1101" s="18"/>
      <c r="H1101" s="18"/>
      <c r="I1101" s="1"/>
    </row>
    <row r="1102" spans="2:10" ht="14" thickBot="1" x14ac:dyDescent="0.2">
      <c r="B1102" s="12" t="s">
        <v>21</v>
      </c>
      <c r="C1102" s="12"/>
      <c r="D1102" s="1"/>
      <c r="E1102" s="1"/>
      <c r="F1102" s="1"/>
      <c r="G1102" s="1"/>
      <c r="H1102" s="1"/>
      <c r="I1102" s="1"/>
    </row>
    <row r="1103" spans="2:10" x14ac:dyDescent="0.15">
      <c r="B1103" s="903" t="s">
        <v>22</v>
      </c>
      <c r="C1103" s="904"/>
      <c r="D1103" s="905"/>
      <c r="E1103" s="209" t="s">
        <v>23</v>
      </c>
      <c r="F1103" s="19" t="s">
        <v>47</v>
      </c>
      <c r="G1103" s="209" t="s">
        <v>24</v>
      </c>
      <c r="H1103" s="208" t="s">
        <v>25</v>
      </c>
      <c r="I1103" s="43"/>
    </row>
    <row r="1104" spans="2:10" x14ac:dyDescent="0.15">
      <c r="B1104" s="897" t="s">
        <v>56</v>
      </c>
      <c r="C1104" s="898"/>
      <c r="D1104" s="899"/>
      <c r="E1104" s="5"/>
      <c r="F1104" s="164"/>
      <c r="G1104" s="20"/>
      <c r="H1104" s="165">
        <f>I1123*0.05</f>
        <v>1620.0744318181821</v>
      </c>
      <c r="I1104" s="44"/>
    </row>
    <row r="1105" spans="2:13" x14ac:dyDescent="0.15">
      <c r="B1105" s="897"/>
      <c r="C1105" s="898"/>
      <c r="D1105" s="899"/>
      <c r="E1105" s="3"/>
      <c r="F1105" s="45"/>
      <c r="G1105" s="20"/>
      <c r="H1105" s="55"/>
      <c r="I1105" s="44"/>
    </row>
    <row r="1106" spans="2:13" ht="14" thickBot="1" x14ac:dyDescent="0.2">
      <c r="B1106" s="900"/>
      <c r="C1106" s="901"/>
      <c r="D1106" s="902"/>
      <c r="E1106" s="21"/>
      <c r="F1106" s="22"/>
      <c r="G1106" s="23"/>
      <c r="H1106" s="47"/>
      <c r="I1106" s="48"/>
    </row>
    <row r="1107" spans="2:13" ht="14" thickBot="1" x14ac:dyDescent="0.2">
      <c r="B1107" s="1"/>
      <c r="C1107" s="1"/>
      <c r="D1107" s="1"/>
      <c r="E1107" s="1"/>
      <c r="F1107" s="1"/>
      <c r="G1107" s="1"/>
      <c r="H1107" s="37" t="s">
        <v>26</v>
      </c>
      <c r="I1107" s="163">
        <f>SUM(H1104:H1106)</f>
        <v>1620.0744318181821</v>
      </c>
    </row>
    <row r="1108" spans="2:13" ht="14" thickBot="1" x14ac:dyDescent="0.2">
      <c r="B1108" s="12" t="s">
        <v>27</v>
      </c>
      <c r="C1108" s="12"/>
      <c r="D1108" s="1"/>
      <c r="E1108" s="1"/>
      <c r="F1108" s="1"/>
      <c r="G1108" s="1"/>
      <c r="H1108" s="1"/>
      <c r="I1108" s="1"/>
    </row>
    <row r="1109" spans="2:13" x14ac:dyDescent="0.15">
      <c r="B1109" s="903" t="s">
        <v>22</v>
      </c>
      <c r="C1109" s="904"/>
      <c r="D1109" s="905"/>
      <c r="E1109" s="209" t="s">
        <v>28</v>
      </c>
      <c r="F1109" s="209" t="s">
        <v>29</v>
      </c>
      <c r="G1109" s="209" t="s">
        <v>30</v>
      </c>
      <c r="H1109" s="208" t="s">
        <v>25</v>
      </c>
      <c r="I1109" s="43"/>
    </row>
    <row r="1110" spans="2:13" x14ac:dyDescent="0.15">
      <c r="B1110" s="4"/>
      <c r="C1110" s="24"/>
      <c r="D1110" s="6"/>
      <c r="E1110" s="3"/>
      <c r="F1110" s="45"/>
      <c r="G1110" s="50"/>
      <c r="H1110" s="56"/>
      <c r="I1110" s="44"/>
    </row>
    <row r="1111" spans="2:13" ht="14" thickBot="1" x14ac:dyDescent="0.2">
      <c r="B1111" s="25"/>
      <c r="C1111" s="26"/>
      <c r="D1111" s="27"/>
      <c r="E1111" s="21"/>
      <c r="F1111" s="22"/>
      <c r="G1111" s="23"/>
      <c r="H1111" s="47"/>
      <c r="I1111" s="48"/>
    </row>
    <row r="1112" spans="2:13" ht="14" thickBot="1" x14ac:dyDescent="0.2">
      <c r="B1112" s="1"/>
      <c r="C1112" s="1"/>
      <c r="D1112" s="1"/>
      <c r="E1112" s="1"/>
      <c r="F1112" s="1"/>
      <c r="G1112" s="1"/>
      <c r="H1112" s="193" t="s">
        <v>26</v>
      </c>
      <c r="I1112" s="49">
        <f>SUM(H1110:H1111)</f>
        <v>0</v>
      </c>
      <c r="K1112" s="174"/>
      <c r="M1112" s="106"/>
    </row>
    <row r="1113" spans="2:13" ht="14" thickBot="1" x14ac:dyDescent="0.2">
      <c r="B1113" s="28" t="s">
        <v>31</v>
      </c>
      <c r="C1113" s="28"/>
      <c r="D1113" s="26"/>
      <c r="E1113" s="1"/>
      <c r="F1113" s="1"/>
      <c r="G1113" s="1"/>
      <c r="H1113" s="1"/>
      <c r="I1113" s="1"/>
    </row>
    <row r="1114" spans="2:13" x14ac:dyDescent="0.15">
      <c r="B1114" s="51" t="s">
        <v>32</v>
      </c>
      <c r="C1114" s="52"/>
      <c r="D1114" s="97" t="s">
        <v>33</v>
      </c>
      <c r="E1114" s="209" t="s">
        <v>34</v>
      </c>
      <c r="F1114" s="209" t="s">
        <v>35</v>
      </c>
      <c r="G1114" s="209" t="s">
        <v>36</v>
      </c>
      <c r="H1114" s="59" t="s">
        <v>25</v>
      </c>
      <c r="I1114" s="43"/>
      <c r="M1114" s="106"/>
    </row>
    <row r="1115" spans="2:13" x14ac:dyDescent="0.15">
      <c r="B1115" s="4"/>
      <c r="C1115" s="6"/>
      <c r="D1115" s="53"/>
      <c r="E1115" s="2"/>
      <c r="F1115" s="2"/>
      <c r="G1115" s="164"/>
      <c r="H1115" s="164"/>
      <c r="I1115" s="44"/>
    </row>
    <row r="1116" spans="2:13" ht="14" thickBot="1" x14ac:dyDescent="0.2">
      <c r="B1116" s="33"/>
      <c r="C1116" s="54"/>
      <c r="D1116" s="21"/>
      <c r="E1116" s="22"/>
      <c r="F1116" s="23"/>
      <c r="G1116" s="47"/>
      <c r="H1116" s="21"/>
      <c r="I1116" s="48"/>
    </row>
    <row r="1117" spans="2:13" ht="14" thickBot="1" x14ac:dyDescent="0.2">
      <c r="B1117" s="1"/>
      <c r="C1117" s="1"/>
      <c r="D1117" s="1"/>
      <c r="E1117" s="1"/>
      <c r="F1117" s="1"/>
      <c r="G1117" s="1"/>
      <c r="H1117" s="37" t="s">
        <v>26</v>
      </c>
      <c r="I1117" s="49">
        <f>SUM(H1115:H1116)</f>
        <v>0</v>
      </c>
    </row>
    <row r="1118" spans="2:13" ht="14" thickBot="1" x14ac:dyDescent="0.2">
      <c r="B1118" s="28" t="s">
        <v>37</v>
      </c>
      <c r="C1118" s="28"/>
      <c r="D1118" s="1"/>
      <c r="E1118" s="1"/>
      <c r="F1118" s="1"/>
      <c r="G1118" s="1"/>
      <c r="H1118" s="1"/>
      <c r="I1118" s="1"/>
    </row>
    <row r="1119" spans="2:13" x14ac:dyDescent="0.15">
      <c r="B1119" s="51" t="s">
        <v>38</v>
      </c>
      <c r="C1119" s="86"/>
      <c r="D1119" s="31" t="s">
        <v>39</v>
      </c>
      <c r="E1119" s="209" t="s">
        <v>40</v>
      </c>
      <c r="F1119" s="19" t="s">
        <v>41</v>
      </c>
      <c r="G1119" s="31" t="s">
        <v>24</v>
      </c>
      <c r="H1119" s="208" t="s">
        <v>25</v>
      </c>
      <c r="I1119" s="43"/>
    </row>
    <row r="1120" spans="2:13" x14ac:dyDescent="0.15">
      <c r="B1120" s="4" t="s">
        <v>42</v>
      </c>
      <c r="C1120" s="24"/>
      <c r="D1120" s="32">
        <f>'MANO DE OBRA'!E15</f>
        <v>95333</v>
      </c>
      <c r="E1120" s="168">
        <v>1.75</v>
      </c>
      <c r="F1120" s="164">
        <f>+E1120*D1120</f>
        <v>166832.75</v>
      </c>
      <c r="G1120" s="20">
        <v>22</v>
      </c>
      <c r="H1120" s="169">
        <f>+F1120/G1120</f>
        <v>7583.306818181818</v>
      </c>
      <c r="I1120" s="44"/>
    </row>
    <row r="1121" spans="2:10" x14ac:dyDescent="0.15">
      <c r="B1121" s="4" t="s">
        <v>94</v>
      </c>
      <c r="C1121" s="24"/>
      <c r="D1121" s="32">
        <f>'MANO DE OBRA'!E14*6</f>
        <v>312000</v>
      </c>
      <c r="E1121" s="168">
        <v>1.75</v>
      </c>
      <c r="F1121" s="164">
        <f>+E1121*D1121</f>
        <v>546000</v>
      </c>
      <c r="G1121" s="20">
        <v>22</v>
      </c>
      <c r="H1121" s="169">
        <f>+F1121/G1121</f>
        <v>24818.18181818182</v>
      </c>
      <c r="I1121" s="44"/>
    </row>
    <row r="1122" spans="2:10" ht="14" thickBot="1" x14ac:dyDescent="0.2">
      <c r="B1122" s="33"/>
      <c r="C1122" s="34"/>
      <c r="D1122" s="22"/>
      <c r="E1122" s="21"/>
      <c r="F1122" s="22"/>
      <c r="G1122" s="23"/>
      <c r="H1122" s="47"/>
      <c r="I1122" s="48"/>
    </row>
    <row r="1123" spans="2:10" ht="14" thickBot="1" x14ac:dyDescent="0.2">
      <c r="B1123" s="1"/>
      <c r="C1123" s="1"/>
      <c r="D1123" s="1"/>
      <c r="E1123" s="1"/>
      <c r="F1123" s="1"/>
      <c r="G1123" s="1"/>
      <c r="H1123" s="37" t="s">
        <v>26</v>
      </c>
      <c r="I1123" s="177">
        <f>SUM(H1120:H1122)</f>
        <v>32401.48863636364</v>
      </c>
    </row>
    <row r="1124" spans="2:10" ht="14" thickBot="1" x14ac:dyDescent="0.2">
      <c r="B1124" s="1"/>
      <c r="C1124" s="1"/>
      <c r="D1124" s="1"/>
      <c r="E1124" s="1"/>
      <c r="F1124" s="1"/>
      <c r="G1124" s="1"/>
      <c r="H1124" s="61"/>
      <c r="I1124" s="1"/>
    </row>
    <row r="1125" spans="2:10" ht="15" thickBot="1" x14ac:dyDescent="0.2">
      <c r="B1125" s="1"/>
      <c r="C1125" s="1"/>
      <c r="D1125" s="1"/>
      <c r="E1125" s="1"/>
      <c r="F1125" s="35" t="s">
        <v>43</v>
      </c>
      <c r="G1125" s="16"/>
      <c r="H1125" s="16"/>
      <c r="I1125" s="232">
        <f>ROUND((I1107+I1112+I1117+I1123),0)</f>
        <v>34022</v>
      </c>
    </row>
    <row r="1126" spans="2:10" x14ac:dyDescent="0.15">
      <c r="B1126" s="12"/>
      <c r="C1126" s="12"/>
      <c r="D1126" s="1"/>
      <c r="E1126" s="1"/>
      <c r="F1126" s="1"/>
      <c r="G1126" s="1"/>
      <c r="H1126" s="1"/>
      <c r="I1126" s="1"/>
    </row>
    <row r="1127" spans="2:10" x14ac:dyDescent="0.15">
      <c r="B1127" s="16"/>
      <c r="C1127" s="16"/>
      <c r="D1127" s="16"/>
      <c r="E1127" s="16"/>
      <c r="F1127" s="16"/>
      <c r="G1127" s="61"/>
      <c r="H1127" s="61"/>
      <c r="I1127" s="1"/>
    </row>
    <row r="1128" spans="2:10" x14ac:dyDescent="0.15">
      <c r="B1128" s="1"/>
      <c r="C1128" s="1"/>
      <c r="D1128" s="1"/>
      <c r="E1128" s="1"/>
      <c r="F1128" s="1"/>
      <c r="G1128" s="161"/>
      <c r="H1128" s="172"/>
      <c r="I1128" s="172"/>
    </row>
    <row r="1129" spans="2:10" x14ac:dyDescent="0.15">
      <c r="B1129" s="1"/>
      <c r="C1129" s="1"/>
      <c r="D1129" s="1"/>
      <c r="E1129" s="1"/>
      <c r="F1129" s="1"/>
      <c r="G1129" s="161"/>
      <c r="H1129" s="172"/>
      <c r="I1129" s="172"/>
    </row>
    <row r="1130" spans="2:10" x14ac:dyDescent="0.15">
      <c r="B1130" s="1"/>
      <c r="C1130" s="1"/>
      <c r="D1130" s="1"/>
      <c r="E1130" s="1"/>
      <c r="F1130" s="1"/>
      <c r="G1130" s="161"/>
      <c r="H1130" s="172"/>
      <c r="I1130" s="172"/>
    </row>
    <row r="1131" spans="2:10" x14ac:dyDescent="0.15">
      <c r="B1131" s="1"/>
      <c r="C1131" s="1"/>
      <c r="D1131" s="1"/>
      <c r="E1131" s="1"/>
      <c r="F1131" s="1"/>
      <c r="G1131" s="1"/>
      <c r="H1131" s="37"/>
      <c r="I1131" s="172"/>
    </row>
    <row r="1132" spans="2:10" ht="14" x14ac:dyDescent="0.15">
      <c r="B1132" s="102"/>
      <c r="C1132" s="1"/>
      <c r="D1132" s="1"/>
      <c r="E1132" s="1"/>
      <c r="F1132" s="1"/>
      <c r="G1132" s="1"/>
      <c r="H1132" s="1"/>
      <c r="I1132" s="1"/>
    </row>
    <row r="1133" spans="2:10" ht="14" x14ac:dyDescent="0.15">
      <c r="B1133" s="83"/>
      <c r="D1133" s="1"/>
      <c r="E1133" s="15"/>
      <c r="F1133" s="16"/>
      <c r="G1133" s="16"/>
      <c r="H1133" s="16"/>
      <c r="I1133" s="171"/>
    </row>
    <row r="1134" spans="2:10" ht="14" x14ac:dyDescent="0.15">
      <c r="B1134" s="102"/>
      <c r="C1134" s="83"/>
      <c r="D1134" s="84"/>
      <c r="E1134" s="83"/>
      <c r="F1134" s="83"/>
      <c r="G1134" s="102"/>
      <c r="H1134" s="83"/>
      <c r="I1134" s="85"/>
      <c r="J1134" s="85"/>
    </row>
    <row r="1135" spans="2:10" ht="14" x14ac:dyDescent="0.15">
      <c r="B1135" s="83"/>
      <c r="C1135" s="83"/>
      <c r="D1135" s="84"/>
      <c r="E1135" s="83"/>
      <c r="F1135" s="83"/>
      <c r="G1135" s="119"/>
      <c r="H1135" s="83"/>
      <c r="I1135" s="85"/>
      <c r="J1135" s="85"/>
    </row>
    <row r="1136" spans="2:10" x14ac:dyDescent="0.15">
      <c r="D1136" s="1"/>
      <c r="E1136" s="15"/>
      <c r="F1136" s="16"/>
      <c r="G1136" s="16"/>
      <c r="H1136" s="16"/>
      <c r="I1136" s="57"/>
    </row>
    <row r="1137" spans="2:10" x14ac:dyDescent="0.15">
      <c r="D1137" s="1"/>
      <c r="E1137" s="15"/>
      <c r="F1137" s="16"/>
      <c r="G1137" s="16"/>
      <c r="H1137" s="16"/>
      <c r="I1137" s="57"/>
    </row>
    <row r="1138" spans="2:10" x14ac:dyDescent="0.15">
      <c r="D1138" s="1"/>
      <c r="E1138" s="15"/>
      <c r="F1138" s="16"/>
      <c r="G1138" s="16"/>
      <c r="H1138" s="16"/>
      <c r="I1138" s="57"/>
    </row>
    <row r="1139" spans="2:10" x14ac:dyDescent="0.15">
      <c r="D1139" s="1"/>
      <c r="E1139" s="15"/>
      <c r="F1139" s="16"/>
      <c r="G1139" s="16"/>
      <c r="H1139" s="16"/>
      <c r="I1139" s="57"/>
    </row>
    <row r="1140" spans="2:10" x14ac:dyDescent="0.15">
      <c r="D1140" s="1"/>
      <c r="E1140" s="15"/>
      <c r="F1140" s="16"/>
      <c r="G1140" s="16"/>
      <c r="H1140" s="16"/>
      <c r="I1140" s="57"/>
    </row>
    <row r="1141" spans="2:10" x14ac:dyDescent="0.15">
      <c r="D1141" s="1"/>
      <c r="E1141" s="15"/>
      <c r="F1141" s="16"/>
      <c r="G1141" s="16"/>
      <c r="H1141" s="16"/>
      <c r="I1141" s="57"/>
    </row>
    <row r="1142" spans="2:10" x14ac:dyDescent="0.15">
      <c r="D1142" s="1"/>
      <c r="E1142" s="15"/>
      <c r="F1142" s="16"/>
      <c r="G1142" s="16"/>
      <c r="H1142" s="16"/>
      <c r="I1142" s="57"/>
    </row>
    <row r="1143" spans="2:10" x14ac:dyDescent="0.15">
      <c r="D1143" s="1"/>
      <c r="E1143" s="15"/>
      <c r="F1143" s="16"/>
      <c r="G1143" s="16"/>
      <c r="H1143" s="16"/>
      <c r="I1143" s="57"/>
    </row>
    <row r="1144" spans="2:10" x14ac:dyDescent="0.15">
      <c r="D1144" s="1"/>
      <c r="E1144" s="15"/>
      <c r="F1144" s="16"/>
      <c r="G1144" s="16"/>
      <c r="H1144" s="16"/>
      <c r="I1144" s="57"/>
    </row>
    <row r="1145" spans="2:10" ht="14" x14ac:dyDescent="0.15">
      <c r="B1145" s="102"/>
      <c r="C1145" s="83"/>
      <c r="D1145" s="84"/>
      <c r="E1145" s="83"/>
      <c r="F1145" s="83"/>
      <c r="G1145" s="103"/>
      <c r="H1145" s="83"/>
      <c r="I1145" s="85"/>
      <c r="J1145" s="85"/>
    </row>
    <row r="1146" spans="2:10" ht="14" x14ac:dyDescent="0.15">
      <c r="B1146" s="83"/>
      <c r="C1146" s="83"/>
      <c r="D1146" s="84"/>
      <c r="E1146" s="83"/>
      <c r="F1146" s="83"/>
      <c r="G1146" s="104"/>
      <c r="H1146" s="83"/>
      <c r="I1146" s="85"/>
      <c r="J1146" s="85"/>
    </row>
    <row r="1147" spans="2:10" ht="14" thickBot="1" x14ac:dyDescent="0.2">
      <c r="B1147" s="38"/>
      <c r="C1147" s="38"/>
      <c r="D1147" s="38"/>
      <c r="E1147" s="39"/>
      <c r="F1147" s="18"/>
      <c r="G1147" s="18"/>
      <c r="H1147" s="18"/>
    </row>
    <row r="1148" spans="2:10" s="90" customFormat="1" ht="21.75" customHeight="1" x14ac:dyDescent="0.2">
      <c r="B1148" s="885" t="s">
        <v>874</v>
      </c>
      <c r="C1148" s="886"/>
      <c r="D1148" s="886"/>
      <c r="E1148" s="886"/>
      <c r="F1148" s="887"/>
      <c r="G1148" s="89"/>
      <c r="H1148" s="931" t="s">
        <v>20</v>
      </c>
      <c r="I1148" s="932"/>
    </row>
    <row r="1149" spans="2:10" s="90" customFormat="1" ht="21" customHeight="1" x14ac:dyDescent="0.2">
      <c r="B1149" s="888" t="s">
        <v>875</v>
      </c>
      <c r="C1149" s="889"/>
      <c r="D1149" s="889"/>
      <c r="E1149" s="889"/>
      <c r="F1149" s="890"/>
      <c r="G1149" s="91"/>
      <c r="H1149" s="933"/>
      <c r="I1149" s="934"/>
    </row>
    <row r="1150" spans="2:10" s="90" customFormat="1" ht="15" customHeight="1" x14ac:dyDescent="0.2">
      <c r="B1150" s="906" t="s">
        <v>876</v>
      </c>
      <c r="C1150" s="907"/>
      <c r="D1150" s="907"/>
      <c r="E1150" s="907"/>
      <c r="F1150" s="908"/>
      <c r="G1150" s="91"/>
      <c r="H1150" s="935" t="s">
        <v>524</v>
      </c>
      <c r="I1150" s="939"/>
    </row>
    <row r="1151" spans="2:10" s="90" customFormat="1" ht="15.75" customHeight="1" thickBot="1" x14ac:dyDescent="0.25">
      <c r="B1151" s="909"/>
      <c r="C1151" s="910"/>
      <c r="D1151" s="910"/>
      <c r="E1151" s="910"/>
      <c r="F1151" s="911"/>
      <c r="G1151" s="89"/>
      <c r="H1151" s="935"/>
      <c r="I1151" s="939"/>
    </row>
    <row r="1152" spans="2:10" ht="15.75" customHeight="1" thickBot="1" x14ac:dyDescent="0.2">
      <c r="B1152" s="15"/>
      <c r="C1152" s="16"/>
      <c r="D1152" s="1"/>
      <c r="E1152" s="1"/>
      <c r="F1152" s="1"/>
      <c r="G1152" s="1"/>
      <c r="H1152" s="935"/>
      <c r="I1152" s="939"/>
    </row>
    <row r="1153" spans="2:9" ht="15.75" customHeight="1" x14ac:dyDescent="0.15">
      <c r="B1153" s="922" t="s">
        <v>836</v>
      </c>
      <c r="C1153" s="923"/>
      <c r="D1153" s="923"/>
      <c r="E1153" s="923"/>
      <c r="F1153" s="924"/>
      <c r="G1153" s="1"/>
      <c r="H1153" s="935"/>
      <c r="I1153" s="939"/>
    </row>
    <row r="1154" spans="2:9" ht="15" customHeight="1" x14ac:dyDescent="0.15">
      <c r="B1154" s="925"/>
      <c r="C1154" s="926"/>
      <c r="D1154" s="926"/>
      <c r="E1154" s="926"/>
      <c r="F1154" s="927"/>
      <c r="H1154" s="935"/>
      <c r="I1154" s="939"/>
    </row>
    <row r="1155" spans="2:9" ht="15" customHeight="1" x14ac:dyDescent="0.15">
      <c r="B1155" s="925"/>
      <c r="C1155" s="926"/>
      <c r="D1155" s="926"/>
      <c r="E1155" s="926"/>
      <c r="F1155" s="927"/>
      <c r="G1155" s="11"/>
      <c r="H1155" s="935"/>
      <c r="I1155" s="939"/>
    </row>
    <row r="1156" spans="2:9" ht="13.5" customHeight="1" thickBot="1" x14ac:dyDescent="0.2">
      <c r="B1156" s="928"/>
      <c r="C1156" s="929"/>
      <c r="D1156" s="929"/>
      <c r="E1156" s="929"/>
      <c r="F1156" s="930"/>
      <c r="H1156" s="64" t="s">
        <v>45</v>
      </c>
      <c r="I1156" s="17" t="s">
        <v>6</v>
      </c>
    </row>
    <row r="1157" spans="2:9" x14ac:dyDescent="0.15">
      <c r="B1157" s="18"/>
      <c r="C1157" s="18"/>
      <c r="D1157" s="1"/>
      <c r="E1157" s="18"/>
      <c r="F1157" s="18"/>
      <c r="G1157" s="18"/>
      <c r="H1157" s="18"/>
      <c r="I1157" s="1"/>
    </row>
    <row r="1158" spans="2:9" ht="14" thickBot="1" x14ac:dyDescent="0.2">
      <c r="B1158" s="12" t="s">
        <v>21</v>
      </c>
      <c r="C1158" s="12"/>
      <c r="D1158" s="1"/>
      <c r="E1158" s="1"/>
      <c r="F1158" s="1"/>
      <c r="G1158" s="1"/>
      <c r="H1158" s="1"/>
      <c r="I1158" s="1"/>
    </row>
    <row r="1159" spans="2:9" x14ac:dyDescent="0.15">
      <c r="B1159" s="903" t="s">
        <v>22</v>
      </c>
      <c r="C1159" s="904"/>
      <c r="D1159" s="905"/>
      <c r="E1159" s="209" t="s">
        <v>23</v>
      </c>
      <c r="F1159" s="19" t="s">
        <v>108</v>
      </c>
      <c r="G1159" s="209" t="s">
        <v>24</v>
      </c>
      <c r="H1159" s="208" t="s">
        <v>25</v>
      </c>
      <c r="I1159" s="43"/>
    </row>
    <row r="1160" spans="2:9" ht="15" customHeight="1" x14ac:dyDescent="0.15">
      <c r="B1160" s="940" t="s">
        <v>315</v>
      </c>
      <c r="C1160" s="941"/>
      <c r="D1160" s="942"/>
      <c r="E1160" s="3"/>
      <c r="F1160" s="166">
        <f>'HERRAMIENTAS Y EQUIPOS'!C20</f>
        <v>100000</v>
      </c>
      <c r="G1160" s="20">
        <v>35</v>
      </c>
      <c r="H1160" s="165">
        <f>F1160/G1160</f>
        <v>2857.1428571428573</v>
      </c>
      <c r="I1160" s="44"/>
    </row>
    <row r="1161" spans="2:9" x14ac:dyDescent="0.15">
      <c r="B1161" s="897" t="s">
        <v>56</v>
      </c>
      <c r="C1161" s="898"/>
      <c r="D1161" s="899"/>
      <c r="E1161" s="5"/>
      <c r="F1161" s="164"/>
      <c r="G1161" s="20"/>
      <c r="H1161" s="165">
        <f>I1181*0.05</f>
        <v>1018.3325000000001</v>
      </c>
      <c r="I1161" s="44"/>
    </row>
    <row r="1162" spans="2:9" ht="14" thickBot="1" x14ac:dyDescent="0.2">
      <c r="B1162" s="900"/>
      <c r="C1162" s="901"/>
      <c r="D1162" s="902"/>
      <c r="E1162" s="21"/>
      <c r="F1162" s="22"/>
      <c r="G1162" s="23"/>
      <c r="H1162" s="47"/>
      <c r="I1162" s="48"/>
    </row>
    <row r="1163" spans="2:9" ht="14" thickBot="1" x14ac:dyDescent="0.2">
      <c r="B1163" s="1"/>
      <c r="C1163" s="1"/>
      <c r="D1163" s="1"/>
      <c r="E1163" s="1"/>
      <c r="F1163" s="1"/>
      <c r="G1163" s="1"/>
      <c r="H1163" s="37" t="s">
        <v>26</v>
      </c>
      <c r="I1163" s="163">
        <f>SUM(H1160:H1162)</f>
        <v>3875.4753571428573</v>
      </c>
    </row>
    <row r="1164" spans="2:9" ht="14" thickBot="1" x14ac:dyDescent="0.2">
      <c r="B1164" s="12" t="s">
        <v>27</v>
      </c>
      <c r="C1164" s="12"/>
      <c r="D1164" s="1"/>
      <c r="E1164" s="1"/>
      <c r="F1164" s="1"/>
      <c r="G1164" s="1"/>
      <c r="H1164" s="1"/>
      <c r="I1164" s="1"/>
    </row>
    <row r="1165" spans="2:9" x14ac:dyDescent="0.15">
      <c r="B1165" s="903" t="s">
        <v>22</v>
      </c>
      <c r="C1165" s="904"/>
      <c r="D1165" s="905"/>
      <c r="E1165" s="209" t="s">
        <v>28</v>
      </c>
      <c r="F1165" s="209" t="s">
        <v>29</v>
      </c>
      <c r="G1165" s="209" t="s">
        <v>30</v>
      </c>
      <c r="H1165" s="208" t="s">
        <v>25</v>
      </c>
      <c r="I1165" s="43"/>
    </row>
    <row r="1166" spans="2:9" x14ac:dyDescent="0.15">
      <c r="B1166" s="4" t="s">
        <v>60</v>
      </c>
      <c r="C1166" s="24"/>
      <c r="D1166" s="6"/>
      <c r="E1166" s="3" t="s">
        <v>134</v>
      </c>
      <c r="F1166" s="180">
        <v>50</v>
      </c>
      <c r="G1166" s="20">
        <v>130</v>
      </c>
      <c r="H1166" s="181">
        <f>F1166*G1166</f>
        <v>6500</v>
      </c>
      <c r="I1166" s="44"/>
    </row>
    <row r="1167" spans="2:9" x14ac:dyDescent="0.15">
      <c r="B1167" s="4"/>
      <c r="C1167" s="24"/>
      <c r="D1167" s="6"/>
      <c r="E1167" s="3"/>
      <c r="F1167" s="180"/>
      <c r="G1167" s="20"/>
      <c r="H1167" s="181"/>
      <c r="I1167" s="44"/>
    </row>
    <row r="1168" spans="2:9" x14ac:dyDescent="0.15">
      <c r="B1168" s="4"/>
      <c r="C1168" s="24"/>
      <c r="D1168" s="6"/>
      <c r="E1168" s="5"/>
      <c r="F1168" s="46"/>
      <c r="G1168" s="182"/>
      <c r="H1168" s="190"/>
      <c r="I1168" s="44"/>
    </row>
    <row r="1169" spans="2:11" ht="14" thickBot="1" x14ac:dyDescent="0.2">
      <c r="B1169" s="25"/>
      <c r="C1169" s="26"/>
      <c r="D1169" s="27"/>
      <c r="E1169" s="21"/>
      <c r="F1169" s="22"/>
      <c r="G1169" s="23"/>
      <c r="H1169" s="47"/>
      <c r="I1169" s="48"/>
      <c r="K1169" s="106"/>
    </row>
    <row r="1170" spans="2:11" ht="14" thickBot="1" x14ac:dyDescent="0.2">
      <c r="B1170" s="1"/>
      <c r="C1170" s="1"/>
      <c r="D1170" s="1"/>
      <c r="E1170" s="1"/>
      <c r="F1170" s="1"/>
      <c r="G1170" s="1"/>
      <c r="H1170" s="37" t="s">
        <v>26</v>
      </c>
      <c r="I1170" s="163">
        <f>SUM(H1166:H1169)</f>
        <v>6500</v>
      </c>
    </row>
    <row r="1171" spans="2:11" ht="14" thickBot="1" x14ac:dyDescent="0.2">
      <c r="B1171" s="28" t="s">
        <v>31</v>
      </c>
      <c r="C1171" s="28"/>
      <c r="D1171" s="26"/>
      <c r="E1171" s="1"/>
      <c r="F1171" s="1"/>
      <c r="G1171" s="1"/>
      <c r="H1171" s="1"/>
      <c r="I1171" s="1"/>
    </row>
    <row r="1172" spans="2:11" x14ac:dyDescent="0.15">
      <c r="B1172" s="112" t="s">
        <v>32</v>
      </c>
      <c r="C1172" s="113"/>
      <c r="D1172" s="97" t="s">
        <v>33</v>
      </c>
      <c r="E1172" s="209" t="s">
        <v>34</v>
      </c>
      <c r="F1172" s="209" t="s">
        <v>35</v>
      </c>
      <c r="G1172" s="209" t="s">
        <v>36</v>
      </c>
      <c r="H1172" s="59" t="s">
        <v>25</v>
      </c>
      <c r="I1172" s="43"/>
    </row>
    <row r="1173" spans="2:11" x14ac:dyDescent="0.15">
      <c r="B1173" s="4"/>
      <c r="C1173" s="6"/>
      <c r="D1173" s="53"/>
      <c r="E1173" s="2"/>
      <c r="F1173" s="2"/>
      <c r="G1173" s="162"/>
      <c r="H1173" s="20"/>
      <c r="I1173" s="44"/>
      <c r="K1173" s="106"/>
    </row>
    <row r="1174" spans="2:11" ht="14" thickBot="1" x14ac:dyDescent="0.2">
      <c r="B1174" s="25"/>
      <c r="C1174" s="27"/>
      <c r="D1174" s="21"/>
      <c r="E1174" s="22"/>
      <c r="F1174" s="23"/>
      <c r="G1174" s="47"/>
      <c r="H1174" s="21"/>
      <c r="I1174" s="48"/>
    </row>
    <row r="1175" spans="2:11" ht="14" thickBot="1" x14ac:dyDescent="0.2">
      <c r="B1175" s="1"/>
      <c r="C1175" s="1"/>
      <c r="D1175" s="1"/>
      <c r="E1175" s="1"/>
      <c r="F1175" s="1"/>
      <c r="G1175" s="1"/>
      <c r="H1175" s="37" t="s">
        <v>26</v>
      </c>
      <c r="I1175" s="163">
        <f>SUM(H1173:H1173)</f>
        <v>0</v>
      </c>
    </row>
    <row r="1176" spans="2:11" ht="14" thickBot="1" x14ac:dyDescent="0.2">
      <c r="B1176" s="28" t="s">
        <v>37</v>
      </c>
      <c r="C1176" s="28"/>
      <c r="D1176" s="1"/>
      <c r="E1176" s="1"/>
      <c r="F1176" s="1"/>
      <c r="G1176" s="1"/>
      <c r="H1176" s="1"/>
      <c r="I1176" s="1"/>
    </row>
    <row r="1177" spans="2:11" x14ac:dyDescent="0.15">
      <c r="B1177" s="51" t="s">
        <v>38</v>
      </c>
      <c r="C1177" s="86"/>
      <c r="D1177" s="31" t="s">
        <v>39</v>
      </c>
      <c r="E1177" s="209" t="s">
        <v>40</v>
      </c>
      <c r="F1177" s="19" t="s">
        <v>41</v>
      </c>
      <c r="G1177" s="31" t="s">
        <v>24</v>
      </c>
      <c r="H1177" s="208" t="s">
        <v>25</v>
      </c>
      <c r="I1177" s="43"/>
    </row>
    <row r="1178" spans="2:11" x14ac:dyDescent="0.15">
      <c r="B1178" s="4" t="s">
        <v>42</v>
      </c>
      <c r="C1178" s="24"/>
      <c r="D1178" s="32">
        <f>'MANO DE OBRA'!E15</f>
        <v>95333</v>
      </c>
      <c r="E1178" s="168">
        <v>1.75</v>
      </c>
      <c r="F1178" s="164">
        <f>+E1178*D1178</f>
        <v>166832.75</v>
      </c>
      <c r="G1178" s="20">
        <f>G1160</f>
        <v>35</v>
      </c>
      <c r="H1178" s="169">
        <f>+F1178/G1178</f>
        <v>4766.6499999999996</v>
      </c>
      <c r="I1178" s="44"/>
    </row>
    <row r="1179" spans="2:11" x14ac:dyDescent="0.15">
      <c r="B1179" s="4" t="s">
        <v>94</v>
      </c>
      <c r="C1179" s="24"/>
      <c r="D1179" s="32">
        <f>'MANO DE OBRA'!E14*6</f>
        <v>312000</v>
      </c>
      <c r="E1179" s="168">
        <v>1.75</v>
      </c>
      <c r="F1179" s="164">
        <f>+E1179*D1179</f>
        <v>546000</v>
      </c>
      <c r="G1179" s="20">
        <f>G1160</f>
        <v>35</v>
      </c>
      <c r="H1179" s="169">
        <f>+F1179/G1179</f>
        <v>15600</v>
      </c>
      <c r="I1179" s="44"/>
    </row>
    <row r="1180" spans="2:11" ht="14" thickBot="1" x14ac:dyDescent="0.2">
      <c r="B1180" s="33"/>
      <c r="C1180" s="34"/>
      <c r="D1180" s="22"/>
      <c r="E1180" s="21"/>
      <c r="F1180" s="22"/>
      <c r="G1180" s="23"/>
      <c r="H1180" s="47"/>
      <c r="I1180" s="48"/>
    </row>
    <row r="1181" spans="2:11" ht="14" thickBot="1" x14ac:dyDescent="0.2">
      <c r="B1181" s="1"/>
      <c r="C1181" s="1"/>
      <c r="D1181" s="1"/>
      <c r="E1181" s="1"/>
      <c r="F1181" s="1"/>
      <c r="G1181" s="1"/>
      <c r="H1181" s="37" t="s">
        <v>26</v>
      </c>
      <c r="I1181" s="177">
        <f>SUM(H1178:H1180)</f>
        <v>20366.650000000001</v>
      </c>
    </row>
    <row r="1182" spans="2:11" ht="14" thickBot="1" x14ac:dyDescent="0.2">
      <c r="B1182" s="1"/>
      <c r="C1182" s="1"/>
      <c r="D1182" s="1"/>
      <c r="E1182" s="1"/>
      <c r="F1182" s="1"/>
      <c r="G1182" s="1"/>
      <c r="H1182" s="61"/>
      <c r="I1182" s="1"/>
    </row>
    <row r="1183" spans="2:11" ht="15" thickBot="1" x14ac:dyDescent="0.2">
      <c r="B1183" s="1"/>
      <c r="C1183" s="1"/>
      <c r="D1183" s="1"/>
      <c r="E1183" s="1"/>
      <c r="F1183" s="35" t="s">
        <v>43</v>
      </c>
      <c r="G1183" s="16"/>
      <c r="H1183" s="16"/>
      <c r="I1183" s="232">
        <f>ROUND((I1163+I1170+I1175+I1181),0)</f>
        <v>30742</v>
      </c>
    </row>
    <row r="1184" spans="2:11" x14ac:dyDescent="0.15">
      <c r="B1184" s="16"/>
      <c r="C1184" s="16"/>
      <c r="D1184" s="16"/>
      <c r="E1184" s="16"/>
      <c r="F1184" s="16"/>
      <c r="G1184" s="61"/>
      <c r="H1184" s="61"/>
      <c r="I1184" s="1"/>
    </row>
    <row r="1185" spans="2:10" x14ac:dyDescent="0.15">
      <c r="B1185" s="1"/>
      <c r="C1185" s="1"/>
      <c r="D1185" s="1"/>
      <c r="E1185" s="1"/>
      <c r="F1185" s="1"/>
      <c r="G1185" s="161"/>
      <c r="H1185" s="172"/>
      <c r="I1185" s="172"/>
    </row>
    <row r="1186" spans="2:10" x14ac:dyDescent="0.15">
      <c r="B1186" s="1"/>
      <c r="C1186" s="1"/>
      <c r="D1186" s="1"/>
      <c r="E1186" s="1"/>
      <c r="F1186" s="1"/>
      <c r="G1186" s="161"/>
      <c r="H1186" s="172"/>
      <c r="I1186" s="172"/>
    </row>
    <row r="1187" spans="2:10" x14ac:dyDescent="0.15">
      <c r="B1187" s="1"/>
      <c r="C1187" s="1"/>
      <c r="D1187" s="1"/>
      <c r="E1187" s="1"/>
      <c r="F1187" s="1"/>
      <c r="G1187" s="161"/>
      <c r="H1187" s="172"/>
      <c r="I1187" s="172"/>
    </row>
    <row r="1188" spans="2:10" x14ac:dyDescent="0.15">
      <c r="B1188" s="1"/>
      <c r="C1188" s="1"/>
      <c r="D1188" s="1"/>
      <c r="E1188" s="1"/>
      <c r="F1188" s="1"/>
      <c r="G1188" s="1"/>
      <c r="H1188" s="37"/>
      <c r="I1188" s="172"/>
    </row>
    <row r="1189" spans="2:10" ht="14" x14ac:dyDescent="0.15">
      <c r="B1189" s="102"/>
      <c r="C1189" s="1"/>
      <c r="D1189" s="1"/>
      <c r="E1189" s="1"/>
      <c r="F1189" s="1"/>
      <c r="G1189" s="1"/>
      <c r="H1189" s="1"/>
      <c r="I1189" s="1"/>
    </row>
    <row r="1190" spans="2:10" ht="14" x14ac:dyDescent="0.15">
      <c r="B1190" s="83"/>
      <c r="D1190" s="1"/>
      <c r="E1190" s="15"/>
      <c r="F1190" s="16"/>
      <c r="G1190" s="16"/>
      <c r="H1190" s="16"/>
      <c r="I1190" s="171"/>
    </row>
    <row r="1191" spans="2:10" ht="14" x14ac:dyDescent="0.15">
      <c r="B1191" s="102"/>
      <c r="D1191" s="1"/>
      <c r="E1191" s="15"/>
      <c r="F1191" s="16"/>
      <c r="G1191" s="16"/>
      <c r="H1191" s="16"/>
      <c r="I1191" s="57"/>
    </row>
    <row r="1192" spans="2:10" ht="14" x14ac:dyDescent="0.15">
      <c r="B1192" s="83"/>
      <c r="D1192" s="1"/>
      <c r="E1192" s="15"/>
      <c r="F1192" s="16"/>
      <c r="G1192" s="16"/>
      <c r="H1192" s="16"/>
      <c r="I1192" s="57"/>
    </row>
    <row r="1193" spans="2:10" x14ac:dyDescent="0.15">
      <c r="D1193" s="1"/>
      <c r="E1193" s="15"/>
      <c r="F1193" s="16"/>
      <c r="G1193" s="16"/>
      <c r="H1193" s="16"/>
      <c r="I1193" s="57"/>
    </row>
    <row r="1194" spans="2:10" x14ac:dyDescent="0.15">
      <c r="D1194" s="1"/>
      <c r="E1194" s="15"/>
      <c r="F1194" s="16"/>
      <c r="G1194" s="16"/>
      <c r="H1194" s="16"/>
      <c r="I1194" s="57"/>
    </row>
    <row r="1195" spans="2:10" x14ac:dyDescent="0.15">
      <c r="D1195" s="1"/>
      <c r="E1195" s="15"/>
      <c r="F1195" s="16"/>
      <c r="G1195" s="16"/>
      <c r="H1195" s="16"/>
      <c r="I1195" s="57"/>
    </row>
    <row r="1196" spans="2:10" x14ac:dyDescent="0.15">
      <c r="D1196" s="1"/>
      <c r="E1196" s="15"/>
      <c r="F1196" s="16"/>
      <c r="G1196" s="16"/>
      <c r="H1196" s="16"/>
      <c r="I1196" s="57"/>
    </row>
    <row r="1197" spans="2:10" x14ac:dyDescent="0.15">
      <c r="D1197" s="1"/>
      <c r="E1197" s="15"/>
      <c r="F1197" s="16"/>
      <c r="G1197" s="16"/>
      <c r="H1197" s="16"/>
      <c r="I1197" s="57"/>
    </row>
    <row r="1198" spans="2:10" x14ac:dyDescent="0.15">
      <c r="D1198" s="1"/>
      <c r="E1198" s="15"/>
      <c r="F1198" s="16"/>
      <c r="G1198" s="16"/>
      <c r="H1198" s="16"/>
      <c r="I1198" s="57"/>
    </row>
    <row r="1199" spans="2:10" ht="14" x14ac:dyDescent="0.15">
      <c r="B1199" s="102"/>
      <c r="C1199" s="83"/>
      <c r="D1199" s="84"/>
      <c r="E1199" s="83"/>
      <c r="F1199" s="83"/>
      <c r="G1199" s="103"/>
      <c r="H1199" s="83"/>
      <c r="I1199" s="85"/>
      <c r="J1199" s="85"/>
    </row>
    <row r="1200" spans="2:10" ht="14" x14ac:dyDescent="0.15">
      <c r="B1200" s="83"/>
      <c r="C1200" s="83"/>
      <c r="D1200" s="84"/>
      <c r="E1200" s="83"/>
      <c r="F1200" s="83"/>
      <c r="G1200" s="104"/>
      <c r="H1200" s="83"/>
      <c r="I1200" s="85"/>
      <c r="J1200" s="85"/>
    </row>
    <row r="1201" spans="2:10" ht="14" x14ac:dyDescent="0.15">
      <c r="B1201" s="83"/>
      <c r="C1201" s="83"/>
      <c r="D1201" s="84"/>
      <c r="E1201" s="83"/>
      <c r="F1201" s="83"/>
      <c r="G1201" s="104"/>
      <c r="H1201" s="83"/>
      <c r="I1201" s="85"/>
      <c r="J1201" s="85"/>
    </row>
    <row r="1202" spans="2:10" ht="14" thickBot="1" x14ac:dyDescent="0.2">
      <c r="B1202" s="12"/>
      <c r="C1202" s="40"/>
      <c r="D1202" s="40"/>
      <c r="E1202" s="40"/>
      <c r="F1202" s="41"/>
      <c r="I1202" s="42"/>
    </row>
    <row r="1203" spans="2:10" s="90" customFormat="1" ht="21.75" customHeight="1" x14ac:dyDescent="0.2">
      <c r="B1203" s="885" t="s">
        <v>874</v>
      </c>
      <c r="C1203" s="886"/>
      <c r="D1203" s="886"/>
      <c r="E1203" s="886"/>
      <c r="F1203" s="887"/>
      <c r="G1203" s="89"/>
      <c r="H1203" s="931" t="s">
        <v>20</v>
      </c>
      <c r="I1203" s="932"/>
    </row>
    <row r="1204" spans="2:10" s="90" customFormat="1" ht="21" customHeight="1" x14ac:dyDescent="0.2">
      <c r="B1204" s="888" t="s">
        <v>875</v>
      </c>
      <c r="C1204" s="889"/>
      <c r="D1204" s="889"/>
      <c r="E1204" s="889"/>
      <c r="F1204" s="890"/>
      <c r="G1204" s="91"/>
      <c r="H1204" s="933"/>
      <c r="I1204" s="934"/>
    </row>
    <row r="1205" spans="2:10" s="90" customFormat="1" ht="15" customHeight="1" x14ac:dyDescent="0.2">
      <c r="B1205" s="906" t="s">
        <v>876</v>
      </c>
      <c r="C1205" s="907"/>
      <c r="D1205" s="907"/>
      <c r="E1205" s="907"/>
      <c r="F1205" s="908"/>
      <c r="G1205" s="91"/>
      <c r="H1205" s="935" t="s">
        <v>1543</v>
      </c>
      <c r="I1205" s="939"/>
    </row>
    <row r="1206" spans="2:10" s="90" customFormat="1" ht="15.75" customHeight="1" thickBot="1" x14ac:dyDescent="0.25">
      <c r="B1206" s="909"/>
      <c r="C1206" s="910"/>
      <c r="D1206" s="910"/>
      <c r="E1206" s="910"/>
      <c r="F1206" s="911"/>
      <c r="G1206" s="89"/>
      <c r="H1206" s="935"/>
      <c r="I1206" s="939"/>
    </row>
    <row r="1207" spans="2:10" ht="15.75" customHeight="1" thickBot="1" x14ac:dyDescent="0.2">
      <c r="B1207" s="15"/>
      <c r="C1207" s="16"/>
      <c r="D1207" s="1"/>
      <c r="E1207" s="1"/>
      <c r="F1207" s="1"/>
      <c r="G1207" s="1"/>
      <c r="H1207" s="935"/>
      <c r="I1207" s="939"/>
    </row>
    <row r="1208" spans="2:10" ht="15.75" customHeight="1" x14ac:dyDescent="0.15">
      <c r="B1208" s="922" t="s">
        <v>836</v>
      </c>
      <c r="C1208" s="923"/>
      <c r="D1208" s="923"/>
      <c r="E1208" s="923"/>
      <c r="F1208" s="924"/>
      <c r="G1208" s="1"/>
      <c r="H1208" s="935"/>
      <c r="I1208" s="939"/>
    </row>
    <row r="1209" spans="2:10" ht="15" customHeight="1" x14ac:dyDescent="0.15">
      <c r="B1209" s="925"/>
      <c r="C1209" s="926"/>
      <c r="D1209" s="926"/>
      <c r="E1209" s="926"/>
      <c r="F1209" s="927"/>
      <c r="H1209" s="935"/>
      <c r="I1209" s="939"/>
    </row>
    <row r="1210" spans="2:10" ht="15" customHeight="1" x14ac:dyDescent="0.15">
      <c r="B1210" s="925"/>
      <c r="C1210" s="926"/>
      <c r="D1210" s="926"/>
      <c r="E1210" s="926"/>
      <c r="F1210" s="927"/>
      <c r="G1210" s="11"/>
      <c r="H1210" s="935"/>
      <c r="I1210" s="939"/>
    </row>
    <row r="1211" spans="2:10" ht="13.5" customHeight="1" thickBot="1" x14ac:dyDescent="0.2">
      <c r="B1211" s="928"/>
      <c r="C1211" s="929"/>
      <c r="D1211" s="929"/>
      <c r="E1211" s="929"/>
      <c r="F1211" s="930"/>
      <c r="H1211" s="189" t="s">
        <v>45</v>
      </c>
      <c r="I1211" s="17" t="s">
        <v>6</v>
      </c>
    </row>
    <row r="1212" spans="2:10" x14ac:dyDescent="0.15">
      <c r="B1212" s="18"/>
      <c r="C1212" s="18"/>
      <c r="D1212" s="1"/>
      <c r="E1212" s="18"/>
      <c r="F1212" s="18"/>
      <c r="G1212" s="18"/>
      <c r="H1212" s="18"/>
      <c r="I1212" s="1"/>
    </row>
    <row r="1213" spans="2:10" ht="14" thickBot="1" x14ac:dyDescent="0.2">
      <c r="B1213" s="12" t="s">
        <v>21</v>
      </c>
      <c r="C1213" s="12"/>
      <c r="D1213" s="1"/>
      <c r="E1213" s="1"/>
      <c r="F1213" s="1"/>
      <c r="G1213" s="1"/>
      <c r="H1213" s="1"/>
      <c r="I1213" s="1"/>
    </row>
    <row r="1214" spans="2:10" x14ac:dyDescent="0.15">
      <c r="B1214" s="903" t="s">
        <v>22</v>
      </c>
      <c r="C1214" s="904"/>
      <c r="D1214" s="905"/>
      <c r="E1214" s="209" t="s">
        <v>23</v>
      </c>
      <c r="F1214" s="19" t="s">
        <v>105</v>
      </c>
      <c r="G1214" s="209" t="s">
        <v>24</v>
      </c>
      <c r="H1214" s="208" t="s">
        <v>25</v>
      </c>
      <c r="I1214" s="43"/>
    </row>
    <row r="1215" spans="2:10" ht="15" customHeight="1" x14ac:dyDescent="0.15">
      <c r="B1215" s="940" t="s">
        <v>315</v>
      </c>
      <c r="C1215" s="941"/>
      <c r="D1215" s="942"/>
      <c r="E1215" s="3"/>
      <c r="F1215" s="166">
        <f>'HERRAMIENTAS Y EQUIPOS'!C20</f>
        <v>100000</v>
      </c>
      <c r="G1215" s="20">
        <v>20</v>
      </c>
      <c r="H1215" s="165">
        <f>F1215/G1215</f>
        <v>5000</v>
      </c>
      <c r="I1215" s="44"/>
    </row>
    <row r="1216" spans="2:10" x14ac:dyDescent="0.15">
      <c r="B1216" s="897" t="s">
        <v>56</v>
      </c>
      <c r="C1216" s="898"/>
      <c r="D1216" s="899"/>
      <c r="E1216" s="5"/>
      <c r="F1216" s="164"/>
      <c r="G1216" s="20"/>
      <c r="H1216" s="165">
        <f>I1236*0.05</f>
        <v>1365</v>
      </c>
      <c r="I1216" s="44"/>
    </row>
    <row r="1217" spans="2:11" ht="14" thickBot="1" x14ac:dyDescent="0.2">
      <c r="B1217" s="900"/>
      <c r="C1217" s="901"/>
      <c r="D1217" s="902"/>
      <c r="E1217" s="21"/>
      <c r="F1217" s="22"/>
      <c r="G1217" s="23"/>
      <c r="H1217" s="47"/>
      <c r="I1217" s="48"/>
    </row>
    <row r="1218" spans="2:11" ht="14" thickBot="1" x14ac:dyDescent="0.2">
      <c r="B1218" s="1"/>
      <c r="C1218" s="1"/>
      <c r="D1218" s="1"/>
      <c r="E1218" s="1"/>
      <c r="F1218" s="1"/>
      <c r="G1218" s="1"/>
      <c r="H1218" s="37" t="s">
        <v>26</v>
      </c>
      <c r="I1218" s="163">
        <f>SUM(H1215:H1217)</f>
        <v>6365</v>
      </c>
    </row>
    <row r="1219" spans="2:11" ht="14" thickBot="1" x14ac:dyDescent="0.2">
      <c r="B1219" s="12" t="s">
        <v>27</v>
      </c>
      <c r="C1219" s="12"/>
      <c r="D1219" s="1"/>
      <c r="E1219" s="1"/>
      <c r="F1219" s="1"/>
      <c r="G1219" s="1"/>
      <c r="H1219" s="1"/>
      <c r="I1219" s="1"/>
    </row>
    <row r="1220" spans="2:11" x14ac:dyDescent="0.15">
      <c r="B1220" s="903" t="s">
        <v>22</v>
      </c>
      <c r="C1220" s="904"/>
      <c r="D1220" s="905"/>
      <c r="E1220" s="209" t="s">
        <v>28</v>
      </c>
      <c r="F1220" s="209" t="s">
        <v>29</v>
      </c>
      <c r="G1220" s="209" t="s">
        <v>30</v>
      </c>
      <c r="H1220" s="208" t="s">
        <v>25</v>
      </c>
      <c r="I1220" s="43"/>
    </row>
    <row r="1221" spans="2:11" x14ac:dyDescent="0.15">
      <c r="B1221" s="4" t="s">
        <v>114</v>
      </c>
      <c r="C1221" s="24"/>
      <c r="D1221" s="6"/>
      <c r="E1221" s="3" t="s">
        <v>6</v>
      </c>
      <c r="F1221" s="180">
        <f>MATERIALES!F11</f>
        <v>43200</v>
      </c>
      <c r="G1221" s="20">
        <v>1.3</v>
      </c>
      <c r="H1221" s="181">
        <f>F1221*G1221</f>
        <v>56160</v>
      </c>
      <c r="I1221" s="44"/>
    </row>
    <row r="1222" spans="2:11" x14ac:dyDescent="0.15">
      <c r="B1222" s="4" t="s">
        <v>60</v>
      </c>
      <c r="C1222" s="24"/>
      <c r="D1222" s="6"/>
      <c r="E1222" s="3" t="s">
        <v>134</v>
      </c>
      <c r="F1222" s="180">
        <f>MATERIALES!F16</f>
        <v>50</v>
      </c>
      <c r="G1222" s="20">
        <v>130</v>
      </c>
      <c r="H1222" s="181">
        <f>F1222*G1222</f>
        <v>6500</v>
      </c>
      <c r="I1222" s="44"/>
    </row>
    <row r="1223" spans="2:11" x14ac:dyDescent="0.15">
      <c r="B1223" s="4"/>
      <c r="C1223" s="24"/>
      <c r="D1223" s="6"/>
      <c r="E1223" s="5"/>
      <c r="F1223" s="46"/>
      <c r="G1223" s="182"/>
      <c r="H1223" s="190"/>
      <c r="I1223" s="44"/>
    </row>
    <row r="1224" spans="2:11" ht="14" thickBot="1" x14ac:dyDescent="0.2">
      <c r="B1224" s="25"/>
      <c r="C1224" s="26"/>
      <c r="D1224" s="27"/>
      <c r="E1224" s="21"/>
      <c r="F1224" s="22"/>
      <c r="G1224" s="23"/>
      <c r="H1224" s="47"/>
      <c r="I1224" s="48"/>
      <c r="K1224" s="106"/>
    </row>
    <row r="1225" spans="2:11" ht="14" thickBot="1" x14ac:dyDescent="0.2">
      <c r="B1225" s="1"/>
      <c r="C1225" s="1"/>
      <c r="D1225" s="1"/>
      <c r="E1225" s="1"/>
      <c r="F1225" s="1"/>
      <c r="G1225" s="1"/>
      <c r="H1225" s="37" t="s">
        <v>26</v>
      </c>
      <c r="I1225" s="163">
        <f>SUM(H1221:H1224)</f>
        <v>62660</v>
      </c>
    </row>
    <row r="1226" spans="2:11" ht="14" thickBot="1" x14ac:dyDescent="0.2">
      <c r="B1226" s="28" t="s">
        <v>31</v>
      </c>
      <c r="C1226" s="28"/>
      <c r="D1226" s="26"/>
      <c r="E1226" s="1"/>
      <c r="F1226" s="1"/>
      <c r="G1226" s="1"/>
      <c r="H1226" s="1"/>
      <c r="I1226" s="1"/>
    </row>
    <row r="1227" spans="2:11" x14ac:dyDescent="0.15">
      <c r="B1227" s="112" t="s">
        <v>32</v>
      </c>
      <c r="C1227" s="113"/>
      <c r="D1227" s="97" t="s">
        <v>33</v>
      </c>
      <c r="E1227" s="209" t="s">
        <v>34</v>
      </c>
      <c r="F1227" s="209" t="s">
        <v>35</v>
      </c>
      <c r="G1227" s="209" t="s">
        <v>36</v>
      </c>
      <c r="H1227" s="59" t="s">
        <v>25</v>
      </c>
      <c r="I1227" s="43"/>
    </row>
    <row r="1228" spans="2:11" x14ac:dyDescent="0.15">
      <c r="B1228" s="4" t="s">
        <v>315</v>
      </c>
      <c r="C1228" s="6"/>
      <c r="D1228" s="53">
        <v>0.05</v>
      </c>
      <c r="E1228" s="2">
        <v>15</v>
      </c>
      <c r="F1228" s="2">
        <f>E1228*D1228</f>
        <v>0.75</v>
      </c>
      <c r="G1228" s="162">
        <v>1100</v>
      </c>
      <c r="H1228" s="20">
        <f>G1228*F1228</f>
        <v>825</v>
      </c>
      <c r="I1228" s="44"/>
    </row>
    <row r="1229" spans="2:11" x14ac:dyDescent="0.15">
      <c r="B1229" s="4" t="s">
        <v>100</v>
      </c>
      <c r="C1229" s="6"/>
      <c r="D1229" s="53">
        <v>1.3</v>
      </c>
      <c r="E1229" s="2">
        <v>15</v>
      </c>
      <c r="F1229" s="2">
        <f>E1229*D1229</f>
        <v>19.5</v>
      </c>
      <c r="G1229" s="162">
        <v>1100</v>
      </c>
      <c r="H1229" s="20">
        <f>G1229*F1229</f>
        <v>21450</v>
      </c>
      <c r="I1229" s="44"/>
      <c r="K1229" s="106"/>
    </row>
    <row r="1230" spans="2:11" ht="14" thickBot="1" x14ac:dyDescent="0.2">
      <c r="B1230" s="25"/>
      <c r="C1230" s="27"/>
      <c r="D1230" s="21"/>
      <c r="E1230" s="22"/>
      <c r="F1230" s="23"/>
      <c r="G1230" s="47"/>
      <c r="H1230" s="21"/>
      <c r="I1230" s="48"/>
    </row>
    <row r="1231" spans="2:11" ht="14" thickBot="1" x14ac:dyDescent="0.2">
      <c r="B1231" s="1"/>
      <c r="C1231" s="1"/>
      <c r="D1231" s="1"/>
      <c r="E1231" s="1"/>
      <c r="F1231" s="1"/>
      <c r="G1231" s="1"/>
      <c r="H1231" s="37" t="s">
        <v>26</v>
      </c>
      <c r="I1231" s="163">
        <f>SUM(H1228:H1229)</f>
        <v>22275</v>
      </c>
    </row>
    <row r="1232" spans="2:11" ht="14" thickBot="1" x14ac:dyDescent="0.2">
      <c r="B1232" s="28" t="s">
        <v>37</v>
      </c>
      <c r="C1232" s="28"/>
      <c r="D1232" s="1"/>
      <c r="E1232" s="1"/>
      <c r="F1232" s="1"/>
      <c r="G1232" s="1"/>
      <c r="H1232" s="1"/>
      <c r="I1232" s="1"/>
    </row>
    <row r="1233" spans="2:10" x14ac:dyDescent="0.15">
      <c r="B1233" s="51" t="s">
        <v>38</v>
      </c>
      <c r="C1233" s="86"/>
      <c r="D1233" s="31" t="s">
        <v>39</v>
      </c>
      <c r="E1233" s="209" t="s">
        <v>40</v>
      </c>
      <c r="F1233" s="19" t="s">
        <v>41</v>
      </c>
      <c r="G1233" s="31" t="s">
        <v>24</v>
      </c>
      <c r="H1233" s="208" t="s">
        <v>25</v>
      </c>
      <c r="I1233" s="43"/>
    </row>
    <row r="1234" spans="2:10" x14ac:dyDescent="0.15">
      <c r="B1234" s="4" t="s">
        <v>94</v>
      </c>
      <c r="C1234" s="24"/>
      <c r="D1234" s="32">
        <f>'MANO DE OBRA'!E14*6</f>
        <v>312000</v>
      </c>
      <c r="E1234" s="168">
        <v>1.75</v>
      </c>
      <c r="F1234" s="20">
        <f>+E1234*D1234</f>
        <v>546000</v>
      </c>
      <c r="G1234" s="20">
        <v>20</v>
      </c>
      <c r="H1234" s="169">
        <f>+F1234/G1234</f>
        <v>27300</v>
      </c>
      <c r="I1234" s="44"/>
    </row>
    <row r="1235" spans="2:10" ht="14" thickBot="1" x14ac:dyDescent="0.2">
      <c r="B1235" s="33"/>
      <c r="C1235" s="34"/>
      <c r="D1235" s="22"/>
      <c r="E1235" s="21"/>
      <c r="F1235" s="22"/>
      <c r="G1235" s="23"/>
      <c r="H1235" s="47"/>
      <c r="I1235" s="48"/>
    </row>
    <row r="1236" spans="2:10" ht="14" thickBot="1" x14ac:dyDescent="0.2">
      <c r="B1236" s="1"/>
      <c r="C1236" s="1"/>
      <c r="D1236" s="1"/>
      <c r="E1236" s="1"/>
      <c r="F1236" s="1"/>
      <c r="G1236" s="1"/>
      <c r="H1236" s="37" t="s">
        <v>26</v>
      </c>
      <c r="I1236" s="177">
        <f>SUM(H1234:H1235)</f>
        <v>27300</v>
      </c>
    </row>
    <row r="1237" spans="2:10" ht="14" thickBot="1" x14ac:dyDescent="0.2">
      <c r="B1237" s="1"/>
      <c r="C1237" s="1"/>
      <c r="D1237" s="1"/>
      <c r="E1237" s="1"/>
      <c r="F1237" s="1"/>
      <c r="G1237" s="1"/>
      <c r="H1237" s="61"/>
      <c r="I1237" s="1"/>
    </row>
    <row r="1238" spans="2:10" ht="15" thickBot="1" x14ac:dyDescent="0.2">
      <c r="B1238" s="1"/>
      <c r="C1238" s="1"/>
      <c r="D1238" s="1"/>
      <c r="E1238" s="1"/>
      <c r="F1238" s="35" t="s">
        <v>43</v>
      </c>
      <c r="G1238" s="16"/>
      <c r="H1238" s="16"/>
      <c r="I1238" s="232">
        <f>ROUND((I1218+I1225+I1231+I1236),0)</f>
        <v>118600</v>
      </c>
    </row>
    <row r="1239" spans="2:10" x14ac:dyDescent="0.15">
      <c r="B1239" s="12"/>
      <c r="C1239" s="12"/>
      <c r="D1239" s="1"/>
      <c r="E1239" s="1"/>
      <c r="F1239" s="1"/>
      <c r="G1239" s="1"/>
      <c r="H1239" s="1"/>
      <c r="I1239" s="1"/>
    </row>
    <row r="1240" spans="2:10" x14ac:dyDescent="0.15">
      <c r="B1240" s="16"/>
      <c r="C1240" s="16"/>
      <c r="D1240" s="16"/>
      <c r="E1240" s="16"/>
      <c r="F1240" s="16"/>
      <c r="G1240" s="61"/>
      <c r="H1240" s="61"/>
      <c r="I1240" s="1"/>
    </row>
    <row r="1241" spans="2:10" x14ac:dyDescent="0.15">
      <c r="B1241" s="1"/>
      <c r="C1241" s="1"/>
      <c r="D1241" s="1"/>
      <c r="E1241" s="1"/>
      <c r="F1241" s="1"/>
      <c r="G1241" s="161"/>
      <c r="H1241" s="172"/>
      <c r="I1241" s="172"/>
    </row>
    <row r="1242" spans="2:10" x14ac:dyDescent="0.15">
      <c r="B1242" s="1"/>
      <c r="C1242" s="1"/>
      <c r="D1242" s="1"/>
      <c r="E1242" s="1"/>
      <c r="F1242" s="1"/>
      <c r="G1242" s="161"/>
      <c r="H1242" s="172"/>
      <c r="I1242" s="172"/>
    </row>
    <row r="1243" spans="2:10" x14ac:dyDescent="0.15">
      <c r="B1243" s="1"/>
      <c r="C1243" s="1"/>
      <c r="D1243" s="1"/>
      <c r="E1243" s="1"/>
      <c r="F1243" s="1"/>
      <c r="G1243" s="161"/>
      <c r="H1243" s="172"/>
      <c r="I1243" s="172"/>
    </row>
    <row r="1244" spans="2:10" x14ac:dyDescent="0.15">
      <c r="B1244" s="1"/>
      <c r="C1244" s="1"/>
      <c r="D1244" s="1"/>
      <c r="E1244" s="1"/>
      <c r="F1244" s="1"/>
      <c r="G1244" s="1"/>
      <c r="H1244" s="37"/>
      <c r="I1244" s="172"/>
    </row>
    <row r="1245" spans="2:10" ht="14" x14ac:dyDescent="0.15">
      <c r="B1245" s="102"/>
      <c r="C1245" s="1"/>
      <c r="D1245" s="1"/>
      <c r="E1245" s="1"/>
      <c r="F1245" s="1"/>
      <c r="G1245" s="1"/>
      <c r="H1245" s="1"/>
      <c r="I1245" s="1"/>
    </row>
    <row r="1246" spans="2:10" ht="14" x14ac:dyDescent="0.15">
      <c r="B1246" s="83"/>
      <c r="D1246" s="1"/>
      <c r="E1246" s="15"/>
      <c r="F1246" s="16"/>
      <c r="G1246" s="16"/>
      <c r="H1246" s="16"/>
      <c r="I1246" s="171"/>
    </row>
    <row r="1247" spans="2:10" ht="14" x14ac:dyDescent="0.15">
      <c r="B1247" s="102"/>
      <c r="C1247" s="83"/>
      <c r="D1247" s="84"/>
      <c r="E1247" s="83"/>
      <c r="F1247" s="83"/>
      <c r="G1247" s="102"/>
      <c r="H1247" s="83"/>
      <c r="I1247" s="85"/>
      <c r="J1247" s="85"/>
    </row>
    <row r="1248" spans="2:10" ht="14" x14ac:dyDescent="0.15">
      <c r="B1248" s="83"/>
      <c r="C1248" s="83"/>
      <c r="D1248" s="84"/>
      <c r="E1248" s="83"/>
      <c r="F1248" s="83"/>
      <c r="G1248" s="119"/>
      <c r="H1248" s="83"/>
      <c r="I1248" s="85"/>
      <c r="J1248" s="85"/>
    </row>
    <row r="1249" spans="2:10" x14ac:dyDescent="0.15">
      <c r="D1249" s="1"/>
      <c r="E1249" s="15"/>
      <c r="F1249" s="16"/>
      <c r="G1249" s="16"/>
      <c r="H1249" s="16"/>
      <c r="I1249" s="57"/>
    </row>
    <row r="1250" spans="2:10" x14ac:dyDescent="0.15">
      <c r="D1250" s="1"/>
      <c r="E1250" s="15"/>
      <c r="F1250" s="16"/>
      <c r="G1250" s="16"/>
      <c r="H1250" s="16"/>
      <c r="I1250" s="57"/>
    </row>
    <row r="1251" spans="2:10" x14ac:dyDescent="0.15">
      <c r="D1251" s="1"/>
      <c r="E1251" s="15"/>
      <c r="F1251" s="16"/>
      <c r="G1251" s="16"/>
      <c r="H1251" s="16"/>
      <c r="I1251" s="57"/>
    </row>
    <row r="1252" spans="2:10" x14ac:dyDescent="0.15">
      <c r="D1252" s="1"/>
      <c r="E1252" s="15"/>
      <c r="F1252" s="16"/>
      <c r="G1252" s="16"/>
      <c r="H1252" s="16"/>
      <c r="I1252" s="57"/>
    </row>
    <row r="1253" spans="2:10" x14ac:dyDescent="0.15">
      <c r="D1253" s="1"/>
      <c r="E1253" s="15"/>
      <c r="F1253" s="16"/>
      <c r="G1253" s="16"/>
      <c r="H1253" s="16"/>
      <c r="I1253" s="57"/>
    </row>
    <row r="1254" spans="2:10" x14ac:dyDescent="0.15">
      <c r="D1254" s="1"/>
      <c r="E1254" s="15"/>
      <c r="F1254" s="16"/>
      <c r="G1254" s="16"/>
      <c r="H1254" s="16"/>
      <c r="I1254" s="57"/>
    </row>
    <row r="1255" spans="2:10" ht="14" x14ac:dyDescent="0.15">
      <c r="B1255" s="83"/>
      <c r="C1255" s="83"/>
      <c r="D1255" s="84"/>
      <c r="E1255" s="83"/>
      <c r="F1255" s="83"/>
      <c r="G1255" s="104"/>
      <c r="H1255" s="83"/>
      <c r="I1255" s="85"/>
      <c r="J1255" s="85"/>
    </row>
    <row r="1256" spans="2:10" ht="14" x14ac:dyDescent="0.15">
      <c r="B1256" s="83"/>
      <c r="C1256" s="83"/>
      <c r="D1256" s="84"/>
      <c r="E1256" s="83"/>
      <c r="F1256" s="83"/>
      <c r="G1256" s="104"/>
      <c r="H1256" s="83"/>
      <c r="I1256" s="85"/>
      <c r="J1256" s="85"/>
    </row>
    <row r="1257" spans="2:10" ht="14" thickBot="1" x14ac:dyDescent="0.2">
      <c r="B1257" s="12"/>
      <c r="C1257" s="40"/>
      <c r="D1257" s="40"/>
      <c r="E1257" s="40"/>
      <c r="F1257" s="41"/>
      <c r="I1257" s="42"/>
    </row>
    <row r="1258" spans="2:10" s="90" customFormat="1" ht="21.75" customHeight="1" x14ac:dyDescent="0.2">
      <c r="B1258" s="885" t="s">
        <v>874</v>
      </c>
      <c r="C1258" s="886"/>
      <c r="D1258" s="886"/>
      <c r="E1258" s="886"/>
      <c r="F1258" s="887"/>
      <c r="G1258" s="89"/>
      <c r="H1258" s="931" t="s">
        <v>20</v>
      </c>
      <c r="I1258" s="932"/>
    </row>
    <row r="1259" spans="2:10" s="90" customFormat="1" ht="21" customHeight="1" x14ac:dyDescent="0.2">
      <c r="B1259" s="888" t="s">
        <v>875</v>
      </c>
      <c r="C1259" s="889"/>
      <c r="D1259" s="889"/>
      <c r="E1259" s="889"/>
      <c r="F1259" s="890"/>
      <c r="G1259" s="91"/>
      <c r="H1259" s="933"/>
      <c r="I1259" s="934"/>
    </row>
    <row r="1260" spans="2:10" s="90" customFormat="1" ht="15" customHeight="1" x14ac:dyDescent="0.2">
      <c r="B1260" s="906" t="s">
        <v>876</v>
      </c>
      <c r="C1260" s="907"/>
      <c r="D1260" s="907"/>
      <c r="E1260" s="907"/>
      <c r="F1260" s="908"/>
      <c r="G1260" s="91"/>
      <c r="H1260" s="956" t="s">
        <v>892</v>
      </c>
      <c r="I1260" s="957"/>
    </row>
    <row r="1261" spans="2:10" s="90" customFormat="1" ht="15.75" customHeight="1" thickBot="1" x14ac:dyDescent="0.25">
      <c r="B1261" s="909"/>
      <c r="C1261" s="910"/>
      <c r="D1261" s="910"/>
      <c r="E1261" s="910"/>
      <c r="F1261" s="911"/>
      <c r="G1261" s="89"/>
      <c r="H1261" s="958"/>
      <c r="I1261" s="959"/>
    </row>
    <row r="1262" spans="2:10" ht="15.75" customHeight="1" thickBot="1" x14ac:dyDescent="0.2">
      <c r="B1262" s="15"/>
      <c r="C1262" s="16"/>
      <c r="D1262" s="1"/>
      <c r="E1262" s="1"/>
      <c r="F1262" s="1"/>
      <c r="G1262" s="1"/>
      <c r="H1262" s="958"/>
      <c r="I1262" s="959"/>
    </row>
    <row r="1263" spans="2:10" ht="15.75" customHeight="1" x14ac:dyDescent="0.15">
      <c r="B1263" s="922" t="s">
        <v>836</v>
      </c>
      <c r="C1263" s="923"/>
      <c r="D1263" s="923"/>
      <c r="E1263" s="923"/>
      <c r="F1263" s="924"/>
      <c r="G1263" s="1"/>
      <c r="H1263" s="958"/>
      <c r="I1263" s="959"/>
    </row>
    <row r="1264" spans="2:10" ht="15" customHeight="1" x14ac:dyDescent="0.15">
      <c r="B1264" s="925"/>
      <c r="C1264" s="926"/>
      <c r="D1264" s="926"/>
      <c r="E1264" s="926"/>
      <c r="F1264" s="927"/>
      <c r="H1264" s="958"/>
      <c r="I1264" s="959"/>
    </row>
    <row r="1265" spans="2:9" ht="23.25" customHeight="1" x14ac:dyDescent="0.15">
      <c r="B1265" s="925"/>
      <c r="C1265" s="926"/>
      <c r="D1265" s="926"/>
      <c r="E1265" s="926"/>
      <c r="F1265" s="927"/>
      <c r="G1265" s="11"/>
      <c r="H1265" s="960"/>
      <c r="I1265" s="961"/>
    </row>
    <row r="1266" spans="2:9" ht="13.5" customHeight="1" thickBot="1" x14ac:dyDescent="0.2">
      <c r="B1266" s="928"/>
      <c r="C1266" s="929"/>
      <c r="D1266" s="929"/>
      <c r="E1266" s="929"/>
      <c r="F1266" s="930"/>
      <c r="H1266" s="189" t="s">
        <v>45</v>
      </c>
      <c r="I1266" s="17" t="s">
        <v>6</v>
      </c>
    </row>
    <row r="1267" spans="2:9" x14ac:dyDescent="0.15">
      <c r="B1267" s="18"/>
      <c r="C1267" s="18"/>
      <c r="D1267" s="1"/>
      <c r="E1267" s="18"/>
      <c r="F1267" s="18"/>
      <c r="G1267" s="18"/>
      <c r="H1267" s="18"/>
      <c r="I1267" s="1"/>
    </row>
    <row r="1268" spans="2:9" ht="14" thickBot="1" x14ac:dyDescent="0.2">
      <c r="B1268" s="12" t="s">
        <v>21</v>
      </c>
      <c r="C1268" s="12"/>
      <c r="D1268" s="1"/>
      <c r="E1268" s="1"/>
      <c r="F1268" s="1"/>
      <c r="G1268" s="1"/>
      <c r="H1268" s="1"/>
      <c r="I1268" s="1"/>
    </row>
    <row r="1269" spans="2:9" x14ac:dyDescent="0.15">
      <c r="B1269" s="903" t="s">
        <v>22</v>
      </c>
      <c r="C1269" s="904"/>
      <c r="D1269" s="905"/>
      <c r="E1269" s="209" t="s">
        <v>23</v>
      </c>
      <c r="F1269" s="19" t="s">
        <v>105</v>
      </c>
      <c r="G1269" s="209" t="s">
        <v>24</v>
      </c>
      <c r="H1269" s="208" t="s">
        <v>25</v>
      </c>
      <c r="I1269" s="43"/>
    </row>
    <row r="1270" spans="2:9" ht="15" customHeight="1" x14ac:dyDescent="0.15">
      <c r="B1270" s="897" t="s">
        <v>112</v>
      </c>
      <c r="C1270" s="898"/>
      <c r="D1270" s="899"/>
      <c r="E1270" s="3"/>
      <c r="F1270" s="166">
        <f>'HERRAMIENTAS Y EQUIPOS'!C12</f>
        <v>130000</v>
      </c>
      <c r="G1270" s="20">
        <v>15.54899</v>
      </c>
      <c r="H1270" s="165">
        <f>F1270/G1270</f>
        <v>8360.6716577732695</v>
      </c>
      <c r="I1270" s="191"/>
    </row>
    <row r="1271" spans="2:9" x14ac:dyDescent="0.15">
      <c r="B1271" s="897" t="s">
        <v>498</v>
      </c>
      <c r="C1271" s="898"/>
      <c r="D1271" s="899"/>
      <c r="E1271" s="5"/>
      <c r="F1271" s="162"/>
      <c r="G1271" s="20"/>
      <c r="H1271" s="165">
        <f>I1292*0.05</f>
        <v>109.73381550827418</v>
      </c>
      <c r="I1271" s="44"/>
    </row>
    <row r="1272" spans="2:9" ht="14" thickBot="1" x14ac:dyDescent="0.2">
      <c r="B1272" s="900"/>
      <c r="C1272" s="901"/>
      <c r="D1272" s="902"/>
      <c r="E1272" s="21"/>
      <c r="F1272" s="22"/>
      <c r="G1272" s="23"/>
      <c r="H1272" s="47"/>
      <c r="I1272" s="48"/>
    </row>
    <row r="1273" spans="2:9" ht="14" thickBot="1" x14ac:dyDescent="0.2">
      <c r="B1273" s="1"/>
      <c r="C1273" s="1"/>
      <c r="D1273" s="1"/>
      <c r="E1273" s="1"/>
      <c r="F1273" s="1"/>
      <c r="G1273" s="1"/>
      <c r="H1273" s="37" t="s">
        <v>26</v>
      </c>
      <c r="I1273" s="163">
        <f>SUM(H1270:H1272)</f>
        <v>8470.4054732815439</v>
      </c>
    </row>
    <row r="1274" spans="2:9" ht="14" thickBot="1" x14ac:dyDescent="0.2">
      <c r="B1274" s="12" t="s">
        <v>27</v>
      </c>
      <c r="C1274" s="12"/>
      <c r="D1274" s="1"/>
      <c r="E1274" s="1"/>
      <c r="F1274" s="1"/>
      <c r="G1274" s="1"/>
      <c r="H1274" s="1"/>
      <c r="I1274" s="1"/>
    </row>
    <row r="1275" spans="2:9" x14ac:dyDescent="0.15">
      <c r="B1275" s="903" t="s">
        <v>22</v>
      </c>
      <c r="C1275" s="904"/>
      <c r="D1275" s="905"/>
      <c r="E1275" s="209" t="s">
        <v>28</v>
      </c>
      <c r="F1275" s="209" t="s">
        <v>29</v>
      </c>
      <c r="G1275" s="209" t="s">
        <v>30</v>
      </c>
      <c r="H1275" s="208" t="s">
        <v>25</v>
      </c>
      <c r="I1275" s="43"/>
    </row>
    <row r="1276" spans="2:9" x14ac:dyDescent="0.15">
      <c r="B1276" s="4"/>
      <c r="C1276" s="24"/>
      <c r="D1276" s="6"/>
      <c r="E1276" s="3"/>
      <c r="F1276" s="45"/>
      <c r="G1276" s="50"/>
      <c r="H1276" s="56"/>
      <c r="I1276" s="44"/>
    </row>
    <row r="1277" spans="2:9" x14ac:dyDescent="0.15">
      <c r="B1277" s="4"/>
      <c r="C1277" s="24"/>
      <c r="D1277" s="6"/>
      <c r="E1277" s="3"/>
      <c r="F1277" s="45"/>
      <c r="G1277" s="50"/>
      <c r="H1277" s="56"/>
      <c r="I1277" s="44"/>
    </row>
    <row r="1278" spans="2:9" x14ac:dyDescent="0.15">
      <c r="B1278" s="4"/>
      <c r="C1278" s="24"/>
      <c r="D1278" s="6"/>
      <c r="E1278" s="3"/>
      <c r="F1278" s="45"/>
      <c r="G1278" s="50"/>
      <c r="H1278" s="56"/>
      <c r="I1278" s="44"/>
    </row>
    <row r="1279" spans="2:9" ht="14" thickBot="1" x14ac:dyDescent="0.2">
      <c r="B1279" s="25"/>
      <c r="C1279" s="26"/>
      <c r="D1279" s="27"/>
      <c r="E1279" s="21"/>
      <c r="F1279" s="22"/>
      <c r="G1279" s="23"/>
      <c r="H1279" s="47"/>
      <c r="I1279" s="48"/>
    </row>
    <row r="1280" spans="2:9" ht="14" thickBot="1" x14ac:dyDescent="0.2">
      <c r="B1280" s="1"/>
      <c r="C1280" s="1"/>
      <c r="D1280" s="1"/>
      <c r="E1280" s="1"/>
      <c r="F1280" s="1"/>
      <c r="G1280" s="1"/>
      <c r="H1280" s="193" t="s">
        <v>26</v>
      </c>
      <c r="I1280" s="49">
        <f>SUM(H1276:H1279)</f>
        <v>0</v>
      </c>
    </row>
    <row r="1281" spans="2:9" ht="14" thickBot="1" x14ac:dyDescent="0.2">
      <c r="B1281" s="28" t="s">
        <v>31</v>
      </c>
      <c r="C1281" s="28"/>
      <c r="D1281" s="26"/>
      <c r="E1281" s="1"/>
      <c r="F1281" s="1"/>
      <c r="G1281" s="1"/>
      <c r="H1281" s="1"/>
      <c r="I1281" s="1"/>
    </row>
    <row r="1282" spans="2:9" x14ac:dyDescent="0.15">
      <c r="B1282" s="51" t="s">
        <v>32</v>
      </c>
      <c r="C1282" s="52"/>
      <c r="D1282" s="378" t="s">
        <v>33</v>
      </c>
      <c r="E1282" s="209" t="s">
        <v>34</v>
      </c>
      <c r="F1282" s="209" t="s">
        <v>35</v>
      </c>
      <c r="G1282" s="209" t="s">
        <v>36</v>
      </c>
      <c r="H1282" s="59" t="s">
        <v>25</v>
      </c>
      <c r="I1282" s="43"/>
    </row>
    <row r="1283" spans="2:9" x14ac:dyDescent="0.15">
      <c r="B1283" s="4" t="s">
        <v>202</v>
      </c>
      <c r="C1283" s="6"/>
      <c r="D1283" s="60">
        <v>1.5</v>
      </c>
      <c r="E1283" s="2">
        <v>10</v>
      </c>
      <c r="F1283" s="2">
        <f>E1283*D1283</f>
        <v>15</v>
      </c>
      <c r="G1283" s="162">
        <v>1100</v>
      </c>
      <c r="H1283" s="55">
        <f>G1283*F1283</f>
        <v>16500</v>
      </c>
      <c r="I1283" s="44"/>
    </row>
    <row r="1284" spans="2:9" x14ac:dyDescent="0.15">
      <c r="B1284" s="4" t="s">
        <v>203</v>
      </c>
      <c r="C1284" s="6"/>
      <c r="D1284" s="53">
        <v>0.1</v>
      </c>
      <c r="E1284" s="2">
        <v>15</v>
      </c>
      <c r="F1284" s="2">
        <f>E1284*D1284</f>
        <v>1.5</v>
      </c>
      <c r="G1284" s="162">
        <v>1100</v>
      </c>
      <c r="H1284" s="20">
        <f>G1284*F1284</f>
        <v>1650</v>
      </c>
      <c r="I1284" s="191"/>
    </row>
    <row r="1285" spans="2:9" ht="14" thickBot="1" x14ac:dyDescent="0.2">
      <c r="B1285" s="33"/>
      <c r="C1285" s="54"/>
      <c r="D1285" s="21"/>
      <c r="E1285" s="22"/>
      <c r="F1285" s="23"/>
      <c r="G1285" s="47"/>
      <c r="H1285" s="21"/>
      <c r="I1285" s="44"/>
    </row>
    <row r="1286" spans="2:9" ht="14" thickBot="1" x14ac:dyDescent="0.2">
      <c r="B1286" s="1"/>
      <c r="C1286" s="1"/>
      <c r="D1286" s="1"/>
      <c r="E1286" s="1"/>
      <c r="F1286" s="1"/>
      <c r="G1286" s="1"/>
      <c r="H1286" s="37" t="s">
        <v>26</v>
      </c>
      <c r="I1286" s="49">
        <f>SUM(H1283:H1285)</f>
        <v>18150</v>
      </c>
    </row>
    <row r="1287" spans="2:9" ht="14" thickBot="1" x14ac:dyDescent="0.2">
      <c r="B1287" s="28" t="s">
        <v>37</v>
      </c>
      <c r="C1287" s="28"/>
      <c r="D1287" s="1"/>
      <c r="E1287" s="1"/>
      <c r="F1287" s="1"/>
      <c r="G1287" s="1"/>
      <c r="H1287" s="1"/>
      <c r="I1287" s="1"/>
    </row>
    <row r="1288" spans="2:9" x14ac:dyDescent="0.15">
      <c r="B1288" s="51" t="s">
        <v>38</v>
      </c>
      <c r="C1288" s="86"/>
      <c r="D1288" s="31" t="s">
        <v>39</v>
      </c>
      <c r="E1288" s="209" t="s">
        <v>40</v>
      </c>
      <c r="F1288" s="19" t="s">
        <v>41</v>
      </c>
      <c r="G1288" s="31" t="s">
        <v>24</v>
      </c>
      <c r="H1288" s="208" t="s">
        <v>25</v>
      </c>
      <c r="I1288" s="43"/>
    </row>
    <row r="1289" spans="2:9" x14ac:dyDescent="0.15">
      <c r="B1289" s="4" t="s">
        <v>64</v>
      </c>
      <c r="C1289" s="24"/>
      <c r="D1289" s="32">
        <f>'MANO DE OBRA'!E14*3</f>
        <v>156000</v>
      </c>
      <c r="E1289" s="168">
        <v>1.75</v>
      </c>
      <c r="F1289" s="164">
        <f>+E1289*D1289</f>
        <v>273000</v>
      </c>
      <c r="G1289" s="20">
        <f>G1270*8</f>
        <v>124.39192</v>
      </c>
      <c r="H1289" s="169">
        <f>+F1289/G1289</f>
        <v>2194.6763101654833</v>
      </c>
      <c r="I1289" s="44"/>
    </row>
    <row r="1290" spans="2:9" x14ac:dyDescent="0.15">
      <c r="B1290" s="4"/>
      <c r="C1290" s="24"/>
      <c r="D1290" s="376"/>
      <c r="E1290" s="377"/>
      <c r="F1290" s="45"/>
      <c r="G1290" s="20"/>
      <c r="H1290" s="56"/>
      <c r="I1290" s="44"/>
    </row>
    <row r="1291" spans="2:9" ht="14" thickBot="1" x14ac:dyDescent="0.2">
      <c r="B1291" s="33"/>
      <c r="C1291" s="34"/>
      <c r="D1291" s="22"/>
      <c r="E1291" s="21"/>
      <c r="F1291" s="22"/>
      <c r="G1291" s="23"/>
      <c r="H1291" s="47"/>
      <c r="I1291" s="48"/>
    </row>
    <row r="1292" spans="2:9" ht="14" thickBot="1" x14ac:dyDescent="0.2">
      <c r="B1292" s="1"/>
      <c r="C1292" s="1"/>
      <c r="D1292" s="1"/>
      <c r="E1292" s="1"/>
      <c r="F1292" s="1"/>
      <c r="G1292" s="1"/>
      <c r="H1292" s="37" t="s">
        <v>26</v>
      </c>
      <c r="I1292" s="177">
        <f>SUM(H1289:H1291)</f>
        <v>2194.6763101654833</v>
      </c>
    </row>
    <row r="1293" spans="2:9" ht="14" thickBot="1" x14ac:dyDescent="0.2">
      <c r="B1293" s="1"/>
      <c r="C1293" s="1"/>
      <c r="D1293" s="1"/>
      <c r="E1293" s="1"/>
      <c r="F1293" s="1"/>
      <c r="G1293" s="1"/>
      <c r="H1293" s="61"/>
      <c r="I1293" s="1"/>
    </row>
    <row r="1294" spans="2:9" ht="15" thickBot="1" x14ac:dyDescent="0.2">
      <c r="B1294" s="1"/>
      <c r="C1294" s="1"/>
      <c r="D1294" s="1"/>
      <c r="E1294" s="1"/>
      <c r="F1294" s="35" t="s">
        <v>43</v>
      </c>
      <c r="G1294" s="16"/>
      <c r="H1294" s="16"/>
      <c r="I1294" s="232">
        <f>ROUND((I1273+I1280+I1286+I1292),0)</f>
        <v>28815</v>
      </c>
    </row>
    <row r="1295" spans="2:9" x14ac:dyDescent="0.15">
      <c r="B1295" s="12"/>
      <c r="C1295" s="12"/>
      <c r="D1295" s="1"/>
      <c r="E1295" s="1"/>
      <c r="F1295" s="1"/>
      <c r="G1295" s="1"/>
      <c r="H1295" s="1"/>
      <c r="I1295" s="1"/>
    </row>
    <row r="1296" spans="2:9" x14ac:dyDescent="0.15">
      <c r="B1296" s="16"/>
      <c r="C1296" s="16"/>
      <c r="D1296" s="16"/>
      <c r="E1296" s="16"/>
      <c r="F1296" s="16"/>
      <c r="G1296" s="61"/>
      <c r="H1296" s="61"/>
      <c r="I1296" s="1"/>
    </row>
    <row r="1297" spans="2:10" x14ac:dyDescent="0.15">
      <c r="B1297" s="1"/>
      <c r="C1297" s="1"/>
      <c r="D1297" s="1"/>
      <c r="E1297" s="1"/>
      <c r="F1297" s="1"/>
      <c r="G1297" s="161"/>
      <c r="H1297" s="172"/>
      <c r="I1297" s="172"/>
    </row>
    <row r="1298" spans="2:10" x14ac:dyDescent="0.15">
      <c r="B1298" s="1"/>
      <c r="C1298" s="1"/>
      <c r="D1298" s="1"/>
      <c r="E1298" s="1"/>
      <c r="F1298" s="1"/>
      <c r="G1298" s="161"/>
      <c r="H1298" s="172"/>
      <c r="I1298" s="172"/>
    </row>
    <row r="1299" spans="2:10" x14ac:dyDescent="0.15">
      <c r="B1299" s="1"/>
      <c r="C1299" s="1"/>
      <c r="D1299" s="1"/>
      <c r="E1299" s="1"/>
      <c r="F1299" s="1"/>
      <c r="G1299" s="161"/>
      <c r="H1299" s="172"/>
      <c r="I1299" s="172"/>
    </row>
    <row r="1300" spans="2:10" x14ac:dyDescent="0.15">
      <c r="B1300" s="1"/>
      <c r="C1300" s="1"/>
      <c r="D1300" s="1"/>
      <c r="E1300" s="1"/>
      <c r="F1300" s="1"/>
      <c r="G1300" s="1"/>
      <c r="H1300" s="37"/>
      <c r="I1300" s="172"/>
    </row>
    <row r="1301" spans="2:10" ht="14" x14ac:dyDescent="0.15">
      <c r="B1301" s="102"/>
      <c r="C1301" s="1"/>
      <c r="D1301" s="1"/>
      <c r="E1301" s="1"/>
      <c r="F1301" s="1"/>
      <c r="G1301" s="1"/>
      <c r="H1301" s="1"/>
      <c r="I1301" s="1"/>
    </row>
    <row r="1302" spans="2:10" ht="14" x14ac:dyDescent="0.15">
      <c r="B1302" s="83"/>
      <c r="D1302" s="1"/>
      <c r="E1302" s="15"/>
      <c r="F1302" s="16"/>
      <c r="G1302" s="16"/>
      <c r="H1302" s="16"/>
      <c r="I1302" s="171"/>
    </row>
    <row r="1303" spans="2:10" ht="14" x14ac:dyDescent="0.15">
      <c r="B1303" s="102"/>
      <c r="C1303" s="83"/>
      <c r="D1303" s="84"/>
      <c r="E1303" s="83"/>
      <c r="F1303" s="83"/>
      <c r="G1303" s="102"/>
      <c r="H1303" s="83"/>
      <c r="I1303" s="85"/>
      <c r="J1303" s="85"/>
    </row>
    <row r="1304" spans="2:10" ht="14" x14ac:dyDescent="0.15">
      <c r="B1304" s="83"/>
      <c r="C1304" s="83"/>
      <c r="D1304" s="84"/>
      <c r="E1304" s="83"/>
      <c r="F1304" s="83"/>
      <c r="G1304" s="119"/>
      <c r="H1304" s="83"/>
      <c r="I1304" s="85"/>
      <c r="J1304" s="85"/>
    </row>
    <row r="1305" spans="2:10" x14ac:dyDescent="0.15">
      <c r="D1305" s="1"/>
      <c r="E1305" s="15"/>
      <c r="F1305" s="16"/>
      <c r="G1305" s="16"/>
      <c r="H1305" s="16"/>
      <c r="I1305" s="57"/>
    </row>
    <row r="1306" spans="2:10" x14ac:dyDescent="0.15">
      <c r="D1306" s="1"/>
      <c r="E1306" s="15"/>
      <c r="F1306" s="16"/>
      <c r="G1306" s="16"/>
      <c r="H1306" s="16"/>
      <c r="I1306" s="57"/>
    </row>
    <row r="1307" spans="2:10" x14ac:dyDescent="0.15">
      <c r="D1307" s="1"/>
      <c r="E1307" s="15"/>
      <c r="F1307" s="16"/>
      <c r="G1307" s="16"/>
      <c r="H1307" s="16"/>
      <c r="I1307" s="57"/>
    </row>
    <row r="1308" spans="2:10" x14ac:dyDescent="0.15">
      <c r="D1308" s="1"/>
      <c r="E1308" s="15"/>
      <c r="F1308" s="16"/>
      <c r="G1308" s="16"/>
      <c r="H1308" s="16"/>
      <c r="I1308" s="57"/>
    </row>
    <row r="1309" spans="2:10" x14ac:dyDescent="0.15">
      <c r="D1309" s="1"/>
      <c r="E1309" s="15"/>
      <c r="F1309" s="16"/>
      <c r="G1309" s="16"/>
      <c r="H1309" s="16"/>
      <c r="I1309" s="57"/>
    </row>
    <row r="1310" spans="2:10" ht="14" x14ac:dyDescent="0.15">
      <c r="B1310" s="102"/>
      <c r="C1310" s="83"/>
      <c r="D1310" s="84"/>
      <c r="E1310" s="83"/>
      <c r="F1310" s="83"/>
      <c r="G1310" s="103"/>
      <c r="H1310" s="83"/>
      <c r="I1310" s="85"/>
      <c r="J1310" s="85"/>
    </row>
    <row r="1311" spans="2:10" ht="14" x14ac:dyDescent="0.15">
      <c r="B1311" s="83"/>
      <c r="C1311" s="83"/>
      <c r="D1311" s="84"/>
      <c r="E1311" s="83"/>
      <c r="F1311" s="83"/>
      <c r="G1311" s="104"/>
      <c r="H1311" s="83"/>
      <c r="I1311" s="85"/>
      <c r="J1311" s="85"/>
    </row>
    <row r="1312" spans="2:10" ht="14" thickBot="1" x14ac:dyDescent="0.2">
      <c r="B1312" s="38"/>
      <c r="C1312" s="38"/>
      <c r="D1312" s="38"/>
      <c r="E1312" s="39"/>
      <c r="F1312" s="18"/>
      <c r="G1312" s="18"/>
      <c r="H1312" s="18"/>
    </row>
    <row r="1313" spans="2:9" s="90" customFormat="1" ht="21.75" customHeight="1" x14ac:dyDescent="0.2">
      <c r="B1313" s="885" t="s">
        <v>874</v>
      </c>
      <c r="C1313" s="886"/>
      <c r="D1313" s="886"/>
      <c r="E1313" s="886"/>
      <c r="F1313" s="887"/>
      <c r="G1313" s="89"/>
      <c r="H1313" s="931" t="s">
        <v>20</v>
      </c>
      <c r="I1313" s="932"/>
    </row>
    <row r="1314" spans="2:9" s="90" customFormat="1" ht="21" customHeight="1" x14ac:dyDescent="0.2">
      <c r="B1314" s="888" t="s">
        <v>875</v>
      </c>
      <c r="C1314" s="889"/>
      <c r="D1314" s="889"/>
      <c r="E1314" s="889"/>
      <c r="F1314" s="890"/>
      <c r="G1314" s="91"/>
      <c r="H1314" s="933"/>
      <c r="I1314" s="934"/>
    </row>
    <row r="1315" spans="2:9" s="90" customFormat="1" ht="15" customHeight="1" x14ac:dyDescent="0.2">
      <c r="B1315" s="906" t="s">
        <v>876</v>
      </c>
      <c r="C1315" s="907"/>
      <c r="D1315" s="907"/>
      <c r="E1315" s="907"/>
      <c r="F1315" s="908"/>
      <c r="G1315" s="91"/>
      <c r="H1315" s="935" t="s">
        <v>567</v>
      </c>
      <c r="I1315" s="936"/>
    </row>
    <row r="1316" spans="2:9" s="90" customFormat="1" ht="15.75" customHeight="1" thickBot="1" x14ac:dyDescent="0.25">
      <c r="B1316" s="909"/>
      <c r="C1316" s="910"/>
      <c r="D1316" s="910"/>
      <c r="E1316" s="910"/>
      <c r="F1316" s="911"/>
      <c r="G1316" s="89"/>
      <c r="H1316" s="937"/>
      <c r="I1316" s="936"/>
    </row>
    <row r="1317" spans="2:9" ht="14" thickBot="1" x14ac:dyDescent="0.2">
      <c r="B1317" s="15"/>
      <c r="C1317" s="16"/>
      <c r="D1317" s="1"/>
      <c r="E1317" s="1"/>
      <c r="F1317" s="1"/>
      <c r="G1317" s="1"/>
      <c r="H1317" s="937"/>
      <c r="I1317" s="936"/>
    </row>
    <row r="1318" spans="2:9" ht="15.75" customHeight="1" x14ac:dyDescent="0.15">
      <c r="B1318" s="922" t="s">
        <v>836</v>
      </c>
      <c r="C1318" s="923"/>
      <c r="D1318" s="923"/>
      <c r="E1318" s="923"/>
      <c r="F1318" s="924"/>
      <c r="G1318" s="1"/>
      <c r="H1318" s="937"/>
      <c r="I1318" s="936"/>
    </row>
    <row r="1319" spans="2:9" ht="12.75" customHeight="1" x14ac:dyDescent="0.15">
      <c r="B1319" s="925"/>
      <c r="C1319" s="926"/>
      <c r="D1319" s="926"/>
      <c r="E1319" s="926"/>
      <c r="F1319" s="927"/>
      <c r="H1319" s="937"/>
      <c r="I1319" s="936"/>
    </row>
    <row r="1320" spans="2:9" ht="12.75" customHeight="1" x14ac:dyDescent="0.15">
      <c r="B1320" s="925"/>
      <c r="C1320" s="926"/>
      <c r="D1320" s="926"/>
      <c r="E1320" s="926"/>
      <c r="F1320" s="927"/>
      <c r="G1320" s="11"/>
      <c r="H1320" s="937"/>
      <c r="I1320" s="936"/>
    </row>
    <row r="1321" spans="2:9" ht="13.5" customHeight="1" thickBot="1" x14ac:dyDescent="0.2">
      <c r="B1321" s="928"/>
      <c r="C1321" s="929"/>
      <c r="D1321" s="929"/>
      <c r="E1321" s="929"/>
      <c r="F1321" s="930"/>
      <c r="H1321" s="64" t="s">
        <v>45</v>
      </c>
      <c r="I1321" s="17" t="s">
        <v>6</v>
      </c>
    </row>
    <row r="1322" spans="2:9" x14ac:dyDescent="0.15">
      <c r="B1322" s="18"/>
      <c r="C1322" s="18"/>
      <c r="D1322" s="1"/>
      <c r="E1322" s="18"/>
      <c r="F1322" s="18"/>
      <c r="G1322" s="18"/>
      <c r="H1322" s="18"/>
      <c r="I1322" s="1"/>
    </row>
    <row r="1323" spans="2:9" ht="14" thickBot="1" x14ac:dyDescent="0.2">
      <c r="B1323" s="12" t="s">
        <v>21</v>
      </c>
      <c r="C1323" s="12"/>
      <c r="D1323" s="1"/>
      <c r="E1323" s="1"/>
      <c r="F1323" s="1"/>
      <c r="G1323" s="1"/>
      <c r="H1323" s="1"/>
      <c r="I1323" s="1"/>
    </row>
    <row r="1324" spans="2:9" x14ac:dyDescent="0.15">
      <c r="B1324" s="903" t="s">
        <v>22</v>
      </c>
      <c r="C1324" s="904"/>
      <c r="D1324" s="905"/>
      <c r="E1324" s="209" t="s">
        <v>23</v>
      </c>
      <c r="F1324" s="19" t="s">
        <v>108</v>
      </c>
      <c r="G1324" s="209" t="s">
        <v>24</v>
      </c>
      <c r="H1324" s="208" t="s">
        <v>25</v>
      </c>
      <c r="I1324" s="43"/>
    </row>
    <row r="1325" spans="2:9" x14ac:dyDescent="0.15">
      <c r="B1325" s="897" t="s">
        <v>116</v>
      </c>
      <c r="C1325" s="898"/>
      <c r="D1325" s="899"/>
      <c r="E1325" s="3"/>
      <c r="F1325" s="180">
        <f>'HERRAMIENTAS Y EQUIPOS'!C21</f>
        <v>100000</v>
      </c>
      <c r="G1325" s="20">
        <v>10</v>
      </c>
      <c r="H1325" s="181">
        <f>F1325/G1325</f>
        <v>10000</v>
      </c>
      <c r="I1325" s="44"/>
    </row>
    <row r="1326" spans="2:9" x14ac:dyDescent="0.15">
      <c r="B1326" s="897" t="s">
        <v>56</v>
      </c>
      <c r="C1326" s="898"/>
      <c r="D1326" s="899"/>
      <c r="E1326" s="5"/>
      <c r="F1326" s="164"/>
      <c r="G1326" s="20"/>
      <c r="H1326" s="165">
        <v>500</v>
      </c>
      <c r="I1326" s="44"/>
    </row>
    <row r="1327" spans="2:9" ht="14" thickBot="1" x14ac:dyDescent="0.2">
      <c r="B1327" s="900"/>
      <c r="C1327" s="901"/>
      <c r="D1327" s="902"/>
      <c r="E1327" s="21"/>
      <c r="F1327" s="22"/>
      <c r="G1327" s="23"/>
      <c r="H1327" s="47"/>
      <c r="I1327" s="48"/>
    </row>
    <row r="1328" spans="2:9" ht="14" thickBot="1" x14ac:dyDescent="0.2">
      <c r="B1328" s="1"/>
      <c r="C1328" s="1"/>
      <c r="D1328" s="1"/>
      <c r="E1328" s="1"/>
      <c r="F1328" s="1"/>
      <c r="G1328" s="1"/>
      <c r="H1328" s="37" t="s">
        <v>26</v>
      </c>
      <c r="I1328" s="163">
        <f>SUM(H1325:H1326)</f>
        <v>10500</v>
      </c>
    </row>
    <row r="1329" spans="2:12" ht="14" thickBot="1" x14ac:dyDescent="0.2">
      <c r="B1329" s="12" t="s">
        <v>27</v>
      </c>
      <c r="C1329" s="12"/>
      <c r="D1329" s="1"/>
      <c r="E1329" s="1"/>
      <c r="F1329" s="1"/>
      <c r="G1329" s="1"/>
      <c r="H1329" s="1"/>
      <c r="I1329" s="1"/>
    </row>
    <row r="1330" spans="2:12" x14ac:dyDescent="0.15">
      <c r="B1330" s="903" t="s">
        <v>22</v>
      </c>
      <c r="C1330" s="904"/>
      <c r="D1330" s="905"/>
      <c r="E1330" s="209" t="s">
        <v>28</v>
      </c>
      <c r="F1330" s="209" t="s">
        <v>29</v>
      </c>
      <c r="G1330" s="209" t="s">
        <v>30</v>
      </c>
      <c r="H1330" s="208" t="s">
        <v>25</v>
      </c>
      <c r="I1330" s="43"/>
    </row>
    <row r="1331" spans="2:12" x14ac:dyDescent="0.15">
      <c r="B1331" s="4" t="s">
        <v>101</v>
      </c>
      <c r="C1331" s="24"/>
      <c r="D1331" s="6"/>
      <c r="E1331" s="3" t="s">
        <v>58</v>
      </c>
      <c r="F1331" s="180">
        <f>MATERIALES!F10</f>
        <v>810</v>
      </c>
      <c r="G1331" s="65">
        <f>6.1*50</f>
        <v>305</v>
      </c>
      <c r="H1331" s="181">
        <f t="shared" ref="H1331:H1335" si="0">G1331*F1331</f>
        <v>247050</v>
      </c>
      <c r="I1331" s="44"/>
    </row>
    <row r="1332" spans="2:12" x14ac:dyDescent="0.15">
      <c r="B1332" s="4" t="s">
        <v>565</v>
      </c>
      <c r="C1332" s="24"/>
      <c r="D1332" s="6"/>
      <c r="E1332" s="3" t="s">
        <v>6</v>
      </c>
      <c r="F1332" s="166">
        <f>MATERIALES!F12</f>
        <v>150000</v>
      </c>
      <c r="G1332" s="65">
        <v>0.78600000000000003</v>
      </c>
      <c r="H1332" s="181">
        <f t="shared" si="0"/>
        <v>117900</v>
      </c>
      <c r="I1332" s="44"/>
    </row>
    <row r="1333" spans="2:12" x14ac:dyDescent="0.15">
      <c r="B1333" s="4" t="s">
        <v>555</v>
      </c>
      <c r="C1333" s="24"/>
      <c r="D1333" s="6"/>
      <c r="E1333" s="3" t="s">
        <v>6</v>
      </c>
      <c r="F1333" s="166">
        <f>MATERIALES!F14</f>
        <v>72000</v>
      </c>
      <c r="G1333" s="65">
        <v>0.54900000000000004</v>
      </c>
      <c r="H1333" s="181">
        <f t="shared" si="0"/>
        <v>39528</v>
      </c>
      <c r="I1333" s="44"/>
    </row>
    <row r="1334" spans="2:12" x14ac:dyDescent="0.15">
      <c r="B1334" s="4" t="s">
        <v>60</v>
      </c>
      <c r="C1334" s="24"/>
      <c r="D1334" s="6"/>
      <c r="E1334" s="5" t="s">
        <v>61</v>
      </c>
      <c r="F1334" s="180">
        <f>MATERIALES!F16</f>
        <v>50</v>
      </c>
      <c r="G1334" s="65">
        <v>170</v>
      </c>
      <c r="H1334" s="183">
        <f t="shared" si="0"/>
        <v>8500</v>
      </c>
      <c r="I1334" s="44"/>
    </row>
    <row r="1335" spans="2:12" ht="14" thickBot="1" x14ac:dyDescent="0.2">
      <c r="B1335" s="33" t="s">
        <v>99</v>
      </c>
      <c r="C1335" s="34"/>
      <c r="D1335" s="54"/>
      <c r="E1335" s="21"/>
      <c r="F1335" s="184">
        <f>SUM(H1331:H1334)</f>
        <v>412978</v>
      </c>
      <c r="G1335" s="23">
        <v>0.03</v>
      </c>
      <c r="H1335" s="185">
        <f t="shared" si="0"/>
        <v>12389.34</v>
      </c>
      <c r="I1335" s="48"/>
    </row>
    <row r="1336" spans="2:12" ht="14" thickBot="1" x14ac:dyDescent="0.2">
      <c r="B1336" s="1"/>
      <c r="C1336" s="1"/>
      <c r="D1336" s="1"/>
      <c r="E1336" s="1"/>
      <c r="F1336" s="1"/>
      <c r="G1336" s="1"/>
      <c r="H1336" s="37" t="s">
        <v>26</v>
      </c>
      <c r="I1336" s="177">
        <f>SUM(H1331:H1335)</f>
        <v>425367.34</v>
      </c>
      <c r="L1336" s="106"/>
    </row>
    <row r="1337" spans="2:12" ht="14" thickBot="1" x14ac:dyDescent="0.2">
      <c r="B1337" s="28" t="s">
        <v>31</v>
      </c>
      <c r="C1337" s="28"/>
      <c r="D1337" s="26"/>
      <c r="E1337" s="1"/>
      <c r="F1337" s="1"/>
      <c r="G1337" s="1"/>
      <c r="H1337" s="1"/>
      <c r="I1337" s="1"/>
    </row>
    <row r="1338" spans="2:12" x14ac:dyDescent="0.15">
      <c r="B1338" s="51" t="s">
        <v>32</v>
      </c>
      <c r="C1338" s="52"/>
      <c r="D1338" s="97" t="s">
        <v>33</v>
      </c>
      <c r="E1338" s="209" t="s">
        <v>34</v>
      </c>
      <c r="F1338" s="209" t="s">
        <v>35</v>
      </c>
      <c r="G1338" s="209" t="s">
        <v>36</v>
      </c>
      <c r="H1338" s="59" t="s">
        <v>25</v>
      </c>
      <c r="I1338" s="43"/>
    </row>
    <row r="1339" spans="2:12" x14ac:dyDescent="0.15">
      <c r="B1339" s="4" t="s">
        <v>148</v>
      </c>
      <c r="C1339" s="6"/>
      <c r="D1339" s="60">
        <f>G1332</f>
        <v>0.78600000000000003</v>
      </c>
      <c r="E1339" s="2">
        <v>15</v>
      </c>
      <c r="F1339" s="2">
        <f t="shared" ref="F1339:F1341" si="1">E1339*D1339</f>
        <v>11.790000000000001</v>
      </c>
      <c r="G1339" s="162">
        <v>1100</v>
      </c>
      <c r="H1339" s="55">
        <f t="shared" ref="H1339:H1341" si="2">G1339*F1339</f>
        <v>12969.000000000002</v>
      </c>
      <c r="I1339" s="44"/>
    </row>
    <row r="1340" spans="2:12" x14ac:dyDescent="0.15">
      <c r="B1340" s="4" t="s">
        <v>59</v>
      </c>
      <c r="C1340" s="6"/>
      <c r="D1340" s="60">
        <f>G1333</f>
        <v>0.54900000000000004</v>
      </c>
      <c r="E1340" s="2">
        <v>15</v>
      </c>
      <c r="F1340" s="2">
        <f t="shared" si="1"/>
        <v>8.2350000000000012</v>
      </c>
      <c r="G1340" s="162">
        <v>1100</v>
      </c>
      <c r="H1340" s="55">
        <f t="shared" si="2"/>
        <v>9058.5000000000018</v>
      </c>
      <c r="I1340" s="44"/>
    </row>
    <row r="1341" spans="2:12" ht="14" thickBot="1" x14ac:dyDescent="0.2">
      <c r="B1341" s="33" t="s">
        <v>111</v>
      </c>
      <c r="C1341" s="54"/>
      <c r="D1341" s="108">
        <v>0.47</v>
      </c>
      <c r="E1341" s="109">
        <v>15</v>
      </c>
      <c r="F1341" s="109">
        <f t="shared" si="1"/>
        <v>7.05</v>
      </c>
      <c r="G1341" s="167">
        <v>1100</v>
      </c>
      <c r="H1341" s="87">
        <f t="shared" si="2"/>
        <v>7755</v>
      </c>
      <c r="I1341" s="48"/>
    </row>
    <row r="1342" spans="2:12" ht="14" thickBot="1" x14ac:dyDescent="0.2">
      <c r="B1342" s="1"/>
      <c r="C1342" s="1"/>
      <c r="D1342" s="1"/>
      <c r="E1342" s="1"/>
      <c r="F1342" s="1"/>
      <c r="G1342" s="1"/>
      <c r="H1342" s="37" t="s">
        <v>26</v>
      </c>
      <c r="I1342" s="110">
        <f>SUM(H1339:H1341)</f>
        <v>29782.500000000004</v>
      </c>
    </row>
    <row r="1343" spans="2:12" ht="14" thickBot="1" x14ac:dyDescent="0.2">
      <c r="B1343" s="28" t="s">
        <v>37</v>
      </c>
      <c r="C1343" s="28"/>
      <c r="D1343" s="1"/>
      <c r="E1343" s="1"/>
      <c r="F1343" s="1"/>
      <c r="G1343" s="1"/>
      <c r="H1343" s="1"/>
      <c r="I1343" s="1"/>
    </row>
    <row r="1344" spans="2:12" x14ac:dyDescent="0.15">
      <c r="B1344" s="51" t="s">
        <v>38</v>
      </c>
      <c r="C1344" s="86"/>
      <c r="D1344" s="31" t="s">
        <v>39</v>
      </c>
      <c r="E1344" s="209" t="s">
        <v>40</v>
      </c>
      <c r="F1344" s="19" t="s">
        <v>41</v>
      </c>
      <c r="G1344" s="31" t="s">
        <v>24</v>
      </c>
      <c r="H1344" s="208" t="s">
        <v>25</v>
      </c>
      <c r="I1344" s="43"/>
    </row>
    <row r="1345" spans="2:9" x14ac:dyDescent="0.15">
      <c r="B1345" s="4" t="s">
        <v>120</v>
      </c>
      <c r="C1345" s="24"/>
      <c r="D1345" s="32">
        <f>'MANO DE OBRA'!E14*12</f>
        <v>624000</v>
      </c>
      <c r="E1345" s="88">
        <v>1.75</v>
      </c>
      <c r="F1345" s="164">
        <f>+E1345*D1345</f>
        <v>1092000</v>
      </c>
      <c r="G1345" s="20">
        <f>G1325</f>
        <v>10</v>
      </c>
      <c r="H1345" s="169">
        <f>+F1345/G1345</f>
        <v>109200</v>
      </c>
      <c r="I1345" s="44"/>
    </row>
    <row r="1346" spans="2:9" ht="14" thickBot="1" x14ac:dyDescent="0.2">
      <c r="B1346" s="33"/>
      <c r="C1346" s="34"/>
      <c r="D1346" s="111"/>
      <c r="E1346" s="114"/>
      <c r="F1346" s="167"/>
      <c r="G1346" s="23"/>
      <c r="H1346" s="211"/>
      <c r="I1346" s="48"/>
    </row>
    <row r="1347" spans="2:9" ht="14" thickBot="1" x14ac:dyDescent="0.2">
      <c r="B1347" s="1"/>
      <c r="C1347" s="1"/>
      <c r="D1347" s="1"/>
      <c r="E1347" s="1"/>
      <c r="F1347" s="1"/>
      <c r="G1347" s="1"/>
      <c r="H1347" s="37" t="s">
        <v>26</v>
      </c>
      <c r="I1347" s="177">
        <f>SUM(H1345:H1345)</f>
        <v>109200</v>
      </c>
    </row>
    <row r="1348" spans="2:9" ht="14" thickBot="1" x14ac:dyDescent="0.2">
      <c r="B1348" s="1"/>
      <c r="C1348" s="1"/>
      <c r="D1348" s="1"/>
      <c r="E1348" s="1"/>
      <c r="F1348" s="1"/>
      <c r="G1348" s="1"/>
      <c r="H1348" s="61"/>
      <c r="I1348" s="1"/>
    </row>
    <row r="1349" spans="2:9" ht="15" thickBot="1" x14ac:dyDescent="0.2">
      <c r="B1349" s="1"/>
      <c r="C1349" s="1"/>
      <c r="D1349" s="1"/>
      <c r="E1349" s="1"/>
      <c r="F1349" s="35" t="s">
        <v>43</v>
      </c>
      <c r="G1349" s="16"/>
      <c r="H1349" s="16"/>
      <c r="I1349" s="232">
        <f>ROUND((I1328+I1336+I1342+I1347),0)</f>
        <v>574850</v>
      </c>
    </row>
    <row r="1350" spans="2:9" x14ac:dyDescent="0.15">
      <c r="B1350" s="12"/>
      <c r="C1350" s="12"/>
      <c r="D1350" s="1"/>
      <c r="E1350" s="1"/>
      <c r="F1350" s="1"/>
      <c r="G1350" s="1"/>
      <c r="H1350" s="1"/>
      <c r="I1350" s="1"/>
    </row>
    <row r="1351" spans="2:9" x14ac:dyDescent="0.15">
      <c r="B1351" s="16"/>
      <c r="C1351" s="16"/>
      <c r="D1351" s="16"/>
      <c r="E1351" s="16"/>
      <c r="F1351" s="16"/>
      <c r="G1351" s="61"/>
      <c r="H1351" s="61"/>
      <c r="I1351" s="1"/>
    </row>
    <row r="1352" spans="2:9" x14ac:dyDescent="0.15">
      <c r="B1352" s="1"/>
      <c r="C1352" s="1"/>
      <c r="D1352" s="1"/>
      <c r="E1352" s="1"/>
      <c r="F1352" s="1"/>
      <c r="G1352" s="161"/>
      <c r="H1352" s="172"/>
      <c r="I1352" s="172"/>
    </row>
    <row r="1353" spans="2:9" x14ac:dyDescent="0.15">
      <c r="B1353" s="1"/>
      <c r="C1353" s="1"/>
      <c r="D1353" s="1"/>
      <c r="E1353" s="1"/>
      <c r="F1353" s="1"/>
      <c r="G1353" s="161"/>
      <c r="H1353" s="172"/>
      <c r="I1353" s="172"/>
    </row>
    <row r="1354" spans="2:9" x14ac:dyDescent="0.15">
      <c r="B1354" s="1"/>
      <c r="C1354" s="1"/>
      <c r="D1354" s="1"/>
      <c r="E1354" s="1"/>
      <c r="F1354" s="1"/>
      <c r="G1354" s="161"/>
      <c r="H1354" s="172"/>
      <c r="I1354" s="172"/>
    </row>
    <row r="1355" spans="2:9" x14ac:dyDescent="0.15">
      <c r="B1355" s="1"/>
      <c r="C1355" s="1"/>
      <c r="D1355" s="1"/>
      <c r="E1355" s="1"/>
      <c r="F1355" s="1"/>
      <c r="G1355" s="1"/>
      <c r="H1355" s="37"/>
      <c r="I1355" s="172"/>
    </row>
    <row r="1356" spans="2:9" ht="14" x14ac:dyDescent="0.15">
      <c r="B1356" s="102"/>
      <c r="C1356" s="1"/>
      <c r="D1356" s="1"/>
      <c r="E1356" s="1"/>
      <c r="F1356" s="1"/>
      <c r="G1356" s="1"/>
      <c r="H1356" s="1"/>
      <c r="I1356" s="1"/>
    </row>
    <row r="1357" spans="2:9" ht="14" x14ac:dyDescent="0.15">
      <c r="B1357" s="83"/>
      <c r="D1357" s="1"/>
      <c r="E1357" s="15"/>
      <c r="F1357" s="16"/>
      <c r="G1357" s="16"/>
      <c r="H1357" s="16"/>
      <c r="I1357" s="171"/>
    </row>
    <row r="1358" spans="2:9" ht="14" x14ac:dyDescent="0.15">
      <c r="B1358" s="102"/>
      <c r="D1358" s="1"/>
      <c r="E1358" s="15"/>
      <c r="F1358" s="16"/>
      <c r="G1358" s="16"/>
      <c r="H1358" s="16"/>
      <c r="I1358" s="171"/>
    </row>
    <row r="1359" spans="2:9" ht="14" x14ac:dyDescent="0.15">
      <c r="B1359" s="83"/>
      <c r="D1359" s="1"/>
      <c r="E1359" s="15"/>
      <c r="F1359" s="16"/>
      <c r="G1359" s="16"/>
      <c r="H1359" s="16"/>
      <c r="I1359" s="171"/>
    </row>
    <row r="1360" spans="2:9" x14ac:dyDescent="0.15">
      <c r="D1360" s="1"/>
      <c r="E1360" s="15"/>
      <c r="F1360" s="16"/>
      <c r="G1360" s="16"/>
      <c r="H1360" s="16"/>
      <c r="I1360" s="171"/>
    </row>
    <row r="1361" spans="2:10" x14ac:dyDescent="0.15">
      <c r="D1361" s="1"/>
      <c r="E1361" s="15"/>
      <c r="F1361" s="16"/>
      <c r="G1361" s="16"/>
      <c r="H1361" s="16"/>
      <c r="I1361" s="171"/>
    </row>
    <row r="1362" spans="2:10" x14ac:dyDescent="0.15">
      <c r="D1362" s="1"/>
      <c r="E1362" s="15"/>
      <c r="F1362" s="16"/>
      <c r="G1362" s="16"/>
      <c r="H1362" s="16"/>
      <c r="I1362" s="171"/>
    </row>
    <row r="1363" spans="2:10" x14ac:dyDescent="0.15">
      <c r="D1363" s="1"/>
      <c r="E1363" s="15"/>
      <c r="F1363" s="16"/>
      <c r="G1363" s="16"/>
      <c r="H1363" s="16"/>
      <c r="I1363" s="171"/>
    </row>
    <row r="1364" spans="2:10" ht="14" x14ac:dyDescent="0.15">
      <c r="B1364" s="102"/>
      <c r="C1364" s="83"/>
      <c r="D1364" s="84"/>
      <c r="E1364" s="83"/>
      <c r="F1364" s="83"/>
      <c r="G1364" s="103"/>
      <c r="H1364" s="83"/>
      <c r="I1364" s="85"/>
      <c r="J1364" s="85"/>
    </row>
    <row r="1365" spans="2:10" ht="14" x14ac:dyDescent="0.15">
      <c r="B1365" s="83"/>
      <c r="C1365" s="83"/>
      <c r="D1365" s="84"/>
      <c r="E1365" s="83"/>
      <c r="F1365" s="83"/>
      <c r="G1365" s="104"/>
      <c r="H1365" s="83"/>
      <c r="I1365" s="85"/>
      <c r="J1365" s="85"/>
    </row>
    <row r="1366" spans="2:10" ht="14" x14ac:dyDescent="0.15">
      <c r="B1366" s="83"/>
      <c r="C1366" s="83"/>
      <c r="D1366" s="84"/>
      <c r="E1366" s="83"/>
      <c r="F1366" s="83"/>
      <c r="G1366" s="104"/>
      <c r="H1366" s="83"/>
      <c r="I1366" s="85"/>
      <c r="J1366" s="85"/>
    </row>
    <row r="1367" spans="2:10" ht="14" thickBot="1" x14ac:dyDescent="0.2">
      <c r="D1367" s="1"/>
      <c r="E1367" s="15"/>
      <c r="F1367" s="16"/>
      <c r="G1367" s="16"/>
      <c r="H1367" s="16"/>
      <c r="I1367" s="171"/>
    </row>
    <row r="1368" spans="2:10" ht="21" customHeight="1" x14ac:dyDescent="0.15">
      <c r="B1368" s="885" t="s">
        <v>874</v>
      </c>
      <c r="C1368" s="886"/>
      <c r="D1368" s="886"/>
      <c r="E1368" s="886"/>
      <c r="F1368" s="887"/>
      <c r="G1368" s="1"/>
      <c r="H1368" s="879" t="s">
        <v>20</v>
      </c>
      <c r="I1368" s="880"/>
    </row>
    <row r="1369" spans="2:10" ht="16.5" customHeight="1" x14ac:dyDescent="0.15">
      <c r="B1369" s="888" t="s">
        <v>875</v>
      </c>
      <c r="C1369" s="889"/>
      <c r="D1369" s="889"/>
      <c r="E1369" s="889"/>
      <c r="F1369" s="890"/>
      <c r="G1369" s="63"/>
      <c r="H1369" s="881"/>
      <c r="I1369" s="882"/>
    </row>
    <row r="1370" spans="2:10" ht="12.75" customHeight="1" x14ac:dyDescent="0.15">
      <c r="B1370" s="906" t="s">
        <v>876</v>
      </c>
      <c r="C1370" s="907"/>
      <c r="D1370" s="907"/>
      <c r="E1370" s="907"/>
      <c r="F1370" s="908"/>
      <c r="G1370" s="63"/>
      <c r="H1370" s="883"/>
      <c r="I1370" s="884"/>
    </row>
    <row r="1371" spans="2:10" ht="16.5" customHeight="1" thickBot="1" x14ac:dyDescent="0.2">
      <c r="B1371" s="909"/>
      <c r="C1371" s="910"/>
      <c r="D1371" s="910"/>
      <c r="E1371" s="910"/>
      <c r="F1371" s="911"/>
      <c r="G1371" s="1"/>
      <c r="H1371" s="873" t="s">
        <v>893</v>
      </c>
      <c r="I1371" s="874"/>
    </row>
    <row r="1372" spans="2:10" ht="14" thickBot="1" x14ac:dyDescent="0.2">
      <c r="B1372" s="15"/>
      <c r="C1372" s="16"/>
      <c r="D1372" s="1"/>
      <c r="E1372" s="1"/>
      <c r="F1372" s="1"/>
      <c r="G1372" s="1"/>
      <c r="H1372" s="875"/>
      <c r="I1372" s="876"/>
    </row>
    <row r="1373" spans="2:10" ht="12.75" customHeight="1" x14ac:dyDescent="0.15">
      <c r="B1373" s="922" t="s">
        <v>836</v>
      </c>
      <c r="C1373" s="923"/>
      <c r="D1373" s="923"/>
      <c r="E1373" s="923"/>
      <c r="F1373" s="924"/>
      <c r="G1373" s="1"/>
      <c r="H1373" s="875"/>
      <c r="I1373" s="876"/>
    </row>
    <row r="1374" spans="2:10" ht="12.75" customHeight="1" x14ac:dyDescent="0.15">
      <c r="B1374" s="925"/>
      <c r="C1374" s="926"/>
      <c r="D1374" s="926"/>
      <c r="E1374" s="926"/>
      <c r="F1374" s="927"/>
      <c r="H1374" s="875"/>
      <c r="I1374" s="876"/>
    </row>
    <row r="1375" spans="2:10" ht="13.5" customHeight="1" x14ac:dyDescent="0.15">
      <c r="B1375" s="925"/>
      <c r="C1375" s="926"/>
      <c r="D1375" s="926"/>
      <c r="E1375" s="926"/>
      <c r="F1375" s="927"/>
      <c r="G1375" s="11"/>
      <c r="H1375" s="877"/>
      <c r="I1375" s="878"/>
    </row>
    <row r="1376" spans="2:10" ht="21.75" customHeight="1" thickBot="1" x14ac:dyDescent="0.2">
      <c r="B1376" s="928"/>
      <c r="C1376" s="929"/>
      <c r="D1376" s="929"/>
      <c r="E1376" s="929"/>
      <c r="F1376" s="930"/>
      <c r="H1376" s="64" t="s">
        <v>45</v>
      </c>
      <c r="I1376" s="17" t="s">
        <v>319</v>
      </c>
    </row>
    <row r="1377" spans="2:9" x14ac:dyDescent="0.15">
      <c r="B1377" s="18"/>
      <c r="C1377" s="18"/>
      <c r="D1377" s="1"/>
      <c r="E1377" s="18"/>
      <c r="F1377" s="18"/>
      <c r="G1377" s="18"/>
      <c r="H1377" s="18"/>
      <c r="I1377" s="1"/>
    </row>
    <row r="1378" spans="2:9" ht="14" thickBot="1" x14ac:dyDescent="0.2">
      <c r="B1378" s="12" t="s">
        <v>21</v>
      </c>
      <c r="C1378" s="12"/>
      <c r="D1378" s="1"/>
      <c r="E1378" s="1"/>
      <c r="F1378" s="1"/>
      <c r="G1378" s="1"/>
      <c r="H1378" s="1"/>
      <c r="I1378" s="1"/>
    </row>
    <row r="1379" spans="2:9" x14ac:dyDescent="0.15">
      <c r="B1379" s="903" t="s">
        <v>22</v>
      </c>
      <c r="C1379" s="904"/>
      <c r="D1379" s="905"/>
      <c r="E1379" s="209" t="s">
        <v>23</v>
      </c>
      <c r="F1379" s="19" t="s">
        <v>47</v>
      </c>
      <c r="G1379" s="209" t="s">
        <v>24</v>
      </c>
      <c r="H1379" s="208" t="s">
        <v>25</v>
      </c>
      <c r="I1379" s="43"/>
    </row>
    <row r="1380" spans="2:9" x14ac:dyDescent="0.15">
      <c r="B1380" s="897" t="s">
        <v>56</v>
      </c>
      <c r="C1380" s="898"/>
      <c r="D1380" s="899"/>
      <c r="E1380" s="5"/>
      <c r="F1380" s="162"/>
      <c r="G1380" s="58"/>
      <c r="H1380" s="162">
        <f>I1403*0.05</f>
        <v>7128.3274999999994</v>
      </c>
      <c r="I1380" s="44"/>
    </row>
    <row r="1381" spans="2:9" x14ac:dyDescent="0.15">
      <c r="B1381" s="897"/>
      <c r="C1381" s="898"/>
      <c r="D1381" s="899"/>
      <c r="E1381" s="5"/>
      <c r="F1381" s="46"/>
      <c r="G1381" s="20"/>
      <c r="H1381" s="56"/>
      <c r="I1381" s="44"/>
    </row>
    <row r="1382" spans="2:9" ht="14" thickBot="1" x14ac:dyDescent="0.2">
      <c r="B1382" s="900"/>
      <c r="C1382" s="901"/>
      <c r="D1382" s="902"/>
      <c r="E1382" s="21"/>
      <c r="F1382" s="22"/>
      <c r="G1382" s="23"/>
      <c r="H1382" s="47"/>
      <c r="I1382" s="48"/>
    </row>
    <row r="1383" spans="2:9" ht="14" thickBot="1" x14ac:dyDescent="0.2">
      <c r="B1383" s="1"/>
      <c r="C1383" s="1"/>
      <c r="D1383" s="1"/>
      <c r="E1383" s="1"/>
      <c r="F1383" s="1"/>
      <c r="G1383" s="1"/>
      <c r="H1383" s="37" t="s">
        <v>26</v>
      </c>
      <c r="I1383" s="163">
        <f>SUM(H1380:H1382)</f>
        <v>7128.3274999999994</v>
      </c>
    </row>
    <row r="1384" spans="2:9" ht="14" thickBot="1" x14ac:dyDescent="0.2">
      <c r="B1384" s="12" t="s">
        <v>27</v>
      </c>
      <c r="C1384" s="12"/>
      <c r="D1384" s="1"/>
      <c r="E1384" s="1"/>
      <c r="F1384" s="1"/>
      <c r="G1384" s="1"/>
      <c r="H1384" s="1"/>
      <c r="I1384" s="1"/>
    </row>
    <row r="1385" spans="2:9" x14ac:dyDescent="0.15">
      <c r="B1385" s="903" t="s">
        <v>22</v>
      </c>
      <c r="C1385" s="904"/>
      <c r="D1385" s="905"/>
      <c r="E1385" s="209" t="s">
        <v>28</v>
      </c>
      <c r="F1385" s="209" t="s">
        <v>29</v>
      </c>
      <c r="G1385" s="209" t="s">
        <v>30</v>
      </c>
      <c r="H1385" s="208" t="s">
        <v>25</v>
      </c>
      <c r="I1385" s="43"/>
    </row>
    <row r="1386" spans="2:9" x14ac:dyDescent="0.15">
      <c r="B1386" s="4" t="s">
        <v>66</v>
      </c>
      <c r="C1386" s="24"/>
      <c r="D1386" s="6"/>
      <c r="E1386" s="3" t="s">
        <v>58</v>
      </c>
      <c r="F1386" s="166">
        <f>'APU -BASICOS'!H204</f>
        <v>9182</v>
      </c>
      <c r="G1386" s="73">
        <f>1.1*10</f>
        <v>11</v>
      </c>
      <c r="H1386" s="165">
        <f>G1386*F1386</f>
        <v>101002</v>
      </c>
      <c r="I1386" s="44"/>
    </row>
    <row r="1387" spans="2:9" x14ac:dyDescent="0.15">
      <c r="B1387" s="4" t="s">
        <v>63</v>
      </c>
      <c r="C1387" s="24"/>
      <c r="D1387" s="6"/>
      <c r="E1387" s="3" t="s">
        <v>6</v>
      </c>
      <c r="F1387" s="164">
        <f>'APU -BASICOS'!H96</f>
        <v>555217</v>
      </c>
      <c r="G1387" s="65">
        <f>1*1*0.3</f>
        <v>0.3</v>
      </c>
      <c r="H1387" s="165">
        <f>G1387*F1387</f>
        <v>166565.1</v>
      </c>
      <c r="I1387" s="44"/>
    </row>
    <row r="1388" spans="2:9" x14ac:dyDescent="0.15">
      <c r="B1388" s="4"/>
      <c r="C1388" s="24"/>
      <c r="D1388" s="6"/>
      <c r="E1388" s="3"/>
      <c r="F1388" s="164"/>
      <c r="G1388" s="65"/>
      <c r="H1388" s="165"/>
      <c r="I1388" s="44"/>
    </row>
    <row r="1389" spans="2:9" ht="14" thickBot="1" x14ac:dyDescent="0.2">
      <c r="B1389" s="25"/>
      <c r="C1389" s="26"/>
      <c r="D1389" s="27"/>
      <c r="E1389" s="21"/>
      <c r="F1389" s="22"/>
      <c r="G1389" s="167"/>
      <c r="H1389" s="47"/>
      <c r="I1389" s="48"/>
    </row>
    <row r="1390" spans="2:9" ht="14" thickBot="1" x14ac:dyDescent="0.2">
      <c r="B1390" s="1"/>
      <c r="C1390" s="1"/>
      <c r="D1390" s="1"/>
      <c r="E1390" s="1"/>
      <c r="F1390" s="1"/>
      <c r="G1390" s="1"/>
      <c r="H1390" s="37" t="s">
        <v>26</v>
      </c>
      <c r="I1390" s="163">
        <f>SUM(H1386:H1389)</f>
        <v>267567.09999999998</v>
      </c>
    </row>
    <row r="1391" spans="2:9" ht="14" thickBot="1" x14ac:dyDescent="0.2">
      <c r="B1391" s="28" t="s">
        <v>31</v>
      </c>
      <c r="C1391" s="28"/>
      <c r="D1391" s="26"/>
      <c r="E1391" s="1"/>
      <c r="F1391" s="1"/>
      <c r="G1391" s="1"/>
      <c r="H1391" s="1"/>
      <c r="I1391" s="1"/>
    </row>
    <row r="1392" spans="2:9" x14ac:dyDescent="0.15">
      <c r="B1392" s="51" t="s">
        <v>32</v>
      </c>
      <c r="C1392" s="52"/>
      <c r="D1392" s="378" t="s">
        <v>33</v>
      </c>
      <c r="E1392" s="209" t="s">
        <v>34</v>
      </c>
      <c r="F1392" s="209" t="s">
        <v>600</v>
      </c>
      <c r="G1392" s="209" t="s">
        <v>36</v>
      </c>
      <c r="H1392" s="59" t="s">
        <v>25</v>
      </c>
      <c r="I1392" s="43"/>
    </row>
    <row r="1393" spans="2:11" x14ac:dyDescent="0.15">
      <c r="B1393" s="24"/>
      <c r="C1393" s="6"/>
      <c r="D1393" s="53"/>
      <c r="E1393" s="2"/>
      <c r="F1393" s="2"/>
      <c r="G1393" s="60"/>
      <c r="H1393" s="20"/>
      <c r="I1393" s="44"/>
    </row>
    <row r="1394" spans="2:11" x14ac:dyDescent="0.15">
      <c r="B1394" s="415"/>
      <c r="C1394" s="66"/>
      <c r="D1394" s="67"/>
      <c r="E1394" s="68"/>
      <c r="F1394" s="68"/>
      <c r="G1394" s="69"/>
      <c r="H1394" s="65"/>
      <c r="I1394" s="44"/>
    </row>
    <row r="1395" spans="2:11" ht="14" thickBot="1" x14ac:dyDescent="0.2">
      <c r="B1395" s="33"/>
      <c r="C1395" s="54"/>
      <c r="D1395" s="21"/>
      <c r="E1395" s="22"/>
      <c r="F1395" s="23"/>
      <c r="G1395" s="47"/>
      <c r="H1395" s="21"/>
      <c r="I1395" s="44"/>
    </row>
    <row r="1396" spans="2:11" ht="14" thickBot="1" x14ac:dyDescent="0.2">
      <c r="B1396" s="1"/>
      <c r="C1396" s="1"/>
      <c r="D1396" s="1"/>
      <c r="E1396" s="1"/>
      <c r="F1396" s="1"/>
      <c r="G1396" s="1"/>
      <c r="H1396" s="37" t="s">
        <v>26</v>
      </c>
      <c r="I1396" s="163">
        <f>SUM(H1393:H1395)</f>
        <v>0</v>
      </c>
    </row>
    <row r="1397" spans="2:11" ht="14" thickBot="1" x14ac:dyDescent="0.2">
      <c r="B1397" s="28" t="s">
        <v>37</v>
      </c>
      <c r="C1397" s="28"/>
      <c r="D1397" s="1"/>
      <c r="E1397" s="1"/>
      <c r="F1397" s="1"/>
      <c r="G1397" s="1"/>
      <c r="H1397" s="1"/>
      <c r="I1397" s="1"/>
    </row>
    <row r="1398" spans="2:11" x14ac:dyDescent="0.15">
      <c r="B1398" s="51" t="s">
        <v>38</v>
      </c>
      <c r="C1398" s="86"/>
      <c r="D1398" s="31" t="s">
        <v>39</v>
      </c>
      <c r="E1398" s="209" t="s">
        <v>40</v>
      </c>
      <c r="F1398" s="19" t="s">
        <v>41</v>
      </c>
      <c r="G1398" s="31" t="s">
        <v>24</v>
      </c>
      <c r="H1398" s="208" t="s">
        <v>25</v>
      </c>
      <c r="I1398" s="43"/>
    </row>
    <row r="1399" spans="2:11" x14ac:dyDescent="0.15">
      <c r="B1399" s="4" t="s">
        <v>65</v>
      </c>
      <c r="C1399" s="24"/>
      <c r="D1399" s="32">
        <f>'MANO DE OBRA'!E15</f>
        <v>95333</v>
      </c>
      <c r="E1399" s="88">
        <v>1.75</v>
      </c>
      <c r="F1399" s="164">
        <f>+E1399*D1399</f>
        <v>166832.75</v>
      </c>
      <c r="G1399" s="20">
        <v>5</v>
      </c>
      <c r="H1399" s="169">
        <f>+F1399/G1399</f>
        <v>33366.550000000003</v>
      </c>
      <c r="I1399" s="44"/>
    </row>
    <row r="1400" spans="2:11" x14ac:dyDescent="0.15">
      <c r="B1400" s="4" t="s">
        <v>94</v>
      </c>
      <c r="C1400" s="24"/>
      <c r="D1400" s="32">
        <f>'MANO DE OBRA'!E14*6</f>
        <v>312000</v>
      </c>
      <c r="E1400" s="88">
        <v>1.75</v>
      </c>
      <c r="F1400" s="164">
        <f>+E1400*D1400</f>
        <v>546000</v>
      </c>
      <c r="G1400" s="20">
        <v>5</v>
      </c>
      <c r="H1400" s="169">
        <f>+F1400/G1400</f>
        <v>109200</v>
      </c>
      <c r="I1400" s="44"/>
    </row>
    <row r="1401" spans="2:11" x14ac:dyDescent="0.15">
      <c r="B1401" s="4"/>
      <c r="C1401" s="24"/>
      <c r="D1401" s="32"/>
      <c r="E1401" s="168"/>
      <c r="F1401" s="20"/>
      <c r="G1401" s="20"/>
      <c r="H1401" s="55"/>
      <c r="I1401" s="44"/>
      <c r="K1401" s="106"/>
    </row>
    <row r="1402" spans="2:11" ht="14" thickBot="1" x14ac:dyDescent="0.2">
      <c r="B1402" s="33"/>
      <c r="C1402" s="34"/>
      <c r="D1402" s="22"/>
      <c r="E1402" s="21"/>
      <c r="F1402" s="22"/>
      <c r="G1402" s="23"/>
      <c r="H1402" s="47"/>
      <c r="I1402" s="48"/>
    </row>
    <row r="1403" spans="2:11" ht="14" thickBot="1" x14ac:dyDescent="0.2">
      <c r="B1403" s="1"/>
      <c r="C1403" s="1"/>
      <c r="D1403" s="1"/>
      <c r="E1403" s="1"/>
      <c r="F1403" s="1"/>
      <c r="G1403" s="1"/>
      <c r="H1403" s="37" t="s">
        <v>26</v>
      </c>
      <c r="I1403" s="177">
        <f>SUM(H1399:H1402)</f>
        <v>142566.54999999999</v>
      </c>
    </row>
    <row r="1404" spans="2:11" ht="14" thickBot="1" x14ac:dyDescent="0.2">
      <c r="B1404" s="1"/>
      <c r="C1404" s="1"/>
      <c r="D1404" s="1"/>
      <c r="E1404" s="1"/>
      <c r="F1404" s="1"/>
      <c r="G1404" s="1"/>
      <c r="H1404" s="61"/>
      <c r="I1404" s="1"/>
    </row>
    <row r="1405" spans="2:11" ht="15" thickBot="1" x14ac:dyDescent="0.2">
      <c r="B1405" s="1"/>
      <c r="C1405" s="1"/>
      <c r="D1405" s="1"/>
      <c r="E1405" s="1"/>
      <c r="F1405" s="15" t="s">
        <v>182</v>
      </c>
      <c r="G1405" s="16"/>
      <c r="H1405" s="16"/>
      <c r="I1405" s="232">
        <f>ROUND((I1383+I1390+I1396+I1403),0)</f>
        <v>417262</v>
      </c>
    </row>
    <row r="1406" spans="2:11" x14ac:dyDescent="0.15">
      <c r="B1406" s="1"/>
      <c r="C1406" s="1"/>
      <c r="D1406" s="1"/>
      <c r="E1406" s="1"/>
      <c r="F1406" s="1"/>
      <c r="G1406" s="1"/>
      <c r="H1406" s="61"/>
      <c r="I1406" s="1"/>
    </row>
    <row r="1407" spans="2:11" x14ac:dyDescent="0.15">
      <c r="B1407" s="1"/>
      <c r="C1407" s="1"/>
      <c r="D1407" s="1"/>
      <c r="E1407" s="1"/>
      <c r="F1407" s="1"/>
      <c r="G1407" s="1"/>
      <c r="H1407" s="61"/>
      <c r="I1407" s="1"/>
    </row>
    <row r="1408" spans="2:11" x14ac:dyDescent="0.15">
      <c r="B1408" s="1"/>
      <c r="C1408" s="1"/>
      <c r="D1408" s="1"/>
      <c r="E1408" s="1"/>
      <c r="F1408" s="1"/>
      <c r="G1408" s="1"/>
      <c r="H1408" s="61"/>
      <c r="I1408" s="1"/>
    </row>
    <row r="1409" spans="2:9" x14ac:dyDescent="0.15">
      <c r="B1409" s="1"/>
      <c r="C1409" s="1"/>
      <c r="D1409" s="1"/>
      <c r="E1409" s="1"/>
      <c r="F1409" s="1"/>
      <c r="G1409" s="1"/>
      <c r="H1409" s="61"/>
      <c r="I1409" s="1"/>
    </row>
    <row r="1410" spans="2:9" x14ac:dyDescent="0.15">
      <c r="B1410" s="1"/>
      <c r="C1410" s="1"/>
      <c r="D1410" s="1"/>
      <c r="E1410" s="1"/>
      <c r="F1410" s="1"/>
      <c r="G1410" s="1"/>
      <c r="H1410" s="61"/>
      <c r="I1410" s="1"/>
    </row>
    <row r="1411" spans="2:9" x14ac:dyDescent="0.15">
      <c r="B1411" s="1"/>
      <c r="C1411" s="1"/>
      <c r="D1411" s="1"/>
      <c r="E1411" s="1"/>
      <c r="F1411" s="1"/>
      <c r="G1411" s="1"/>
      <c r="H1411" s="61"/>
      <c r="I1411" s="1"/>
    </row>
    <row r="1412" spans="2:9" x14ac:dyDescent="0.15">
      <c r="B1412" s="1"/>
      <c r="C1412" s="1"/>
      <c r="D1412" s="1"/>
      <c r="E1412" s="1"/>
      <c r="F1412" s="1"/>
      <c r="G1412" s="1"/>
      <c r="H1412" s="61"/>
      <c r="I1412" s="1"/>
    </row>
    <row r="1413" spans="2:9" x14ac:dyDescent="0.15">
      <c r="B1413" s="1"/>
      <c r="C1413" s="1"/>
      <c r="D1413" s="1"/>
      <c r="E1413" s="1"/>
      <c r="F1413" s="1"/>
      <c r="G1413" s="1"/>
      <c r="H1413" s="61"/>
      <c r="I1413" s="1"/>
    </row>
    <row r="1414" spans="2:9" x14ac:dyDescent="0.15">
      <c r="B1414" s="11"/>
      <c r="C1414" s="11"/>
      <c r="D1414" s="1"/>
      <c r="E1414" s="155"/>
      <c r="F1414" s="155"/>
      <c r="G1414" s="155"/>
      <c r="H1414" s="155"/>
      <c r="I1414" s="171"/>
    </row>
    <row r="1415" spans="2:9" x14ac:dyDescent="0.15">
      <c r="B1415" s="11"/>
      <c r="C1415" s="11"/>
      <c r="D1415" s="1"/>
      <c r="E1415" s="155"/>
      <c r="F1415" s="155"/>
      <c r="G1415" s="155"/>
      <c r="H1415" s="155"/>
      <c r="I1415" s="171"/>
    </row>
    <row r="1416" spans="2:9" ht="14" x14ac:dyDescent="0.15">
      <c r="B1416" s="83"/>
      <c r="C1416" s="11"/>
      <c r="D1416" s="1"/>
      <c r="E1416" s="916"/>
      <c r="F1416" s="916"/>
      <c r="G1416" s="916"/>
      <c r="H1416" s="916"/>
      <c r="I1416" s="171"/>
    </row>
    <row r="1417" spans="2:9" ht="14" x14ac:dyDescent="0.15">
      <c r="B1417" s="102"/>
      <c r="C1417" s="11"/>
      <c r="D1417" s="1"/>
      <c r="E1417" s="155"/>
      <c r="F1417" s="155"/>
      <c r="G1417" s="155"/>
      <c r="H1417" s="155"/>
      <c r="I1417" s="171"/>
    </row>
    <row r="1418" spans="2:9" ht="14" x14ac:dyDescent="0.15">
      <c r="B1418" s="83"/>
      <c r="C1418" s="11"/>
      <c r="D1418" s="1"/>
      <c r="E1418" s="155"/>
      <c r="F1418" s="155"/>
      <c r="G1418" s="155"/>
      <c r="H1418" s="155"/>
      <c r="I1418" s="171"/>
    </row>
    <row r="1419" spans="2:9" x14ac:dyDescent="0.15">
      <c r="B1419" s="11"/>
      <c r="C1419" s="11"/>
      <c r="D1419" s="1"/>
      <c r="E1419" s="155"/>
      <c r="F1419" s="155"/>
      <c r="G1419" s="155"/>
      <c r="H1419" s="155"/>
      <c r="I1419" s="171"/>
    </row>
    <row r="1420" spans="2:9" x14ac:dyDescent="0.15">
      <c r="B1420" s="11"/>
      <c r="C1420" s="11"/>
      <c r="D1420" s="1"/>
      <c r="E1420" s="155"/>
      <c r="F1420" s="155"/>
      <c r="G1420" s="155"/>
      <c r="H1420" s="155"/>
      <c r="I1420" s="171"/>
    </row>
    <row r="1421" spans="2:9" x14ac:dyDescent="0.15">
      <c r="B1421" s="11"/>
      <c r="C1421" s="11"/>
      <c r="D1421" s="1"/>
      <c r="E1421" s="155"/>
      <c r="F1421" s="155"/>
      <c r="G1421" s="155"/>
      <c r="H1421" s="155"/>
      <c r="I1421" s="171"/>
    </row>
    <row r="1422" spans="2:9" x14ac:dyDescent="0.15">
      <c r="B1422" s="11"/>
      <c r="C1422" s="11"/>
      <c r="D1422" s="1"/>
      <c r="E1422" s="155"/>
      <c r="F1422" s="155"/>
      <c r="G1422" s="155"/>
      <c r="H1422" s="155"/>
      <c r="I1422" s="171"/>
    </row>
    <row r="1423" spans="2:9" x14ac:dyDescent="0.15">
      <c r="B1423" s="11"/>
      <c r="C1423" s="11"/>
      <c r="D1423" s="1"/>
      <c r="E1423" s="155"/>
      <c r="F1423" s="155"/>
      <c r="G1423" s="155"/>
      <c r="H1423" s="155"/>
      <c r="I1423" s="171"/>
    </row>
    <row r="1424" spans="2:9" ht="14" thickBot="1" x14ac:dyDescent="0.2"/>
    <row r="1425" spans="2:9" ht="21" customHeight="1" x14ac:dyDescent="0.15">
      <c r="B1425" s="885" t="s">
        <v>874</v>
      </c>
      <c r="C1425" s="886"/>
      <c r="D1425" s="886"/>
      <c r="E1425" s="886"/>
      <c r="F1425" s="887"/>
      <c r="G1425" s="1"/>
      <c r="H1425" s="879" t="s">
        <v>20</v>
      </c>
      <c r="I1425" s="880"/>
    </row>
    <row r="1426" spans="2:9" ht="16.5" customHeight="1" x14ac:dyDescent="0.15">
      <c r="B1426" s="888" t="s">
        <v>875</v>
      </c>
      <c r="C1426" s="889"/>
      <c r="D1426" s="889"/>
      <c r="E1426" s="889"/>
      <c r="F1426" s="890"/>
      <c r="G1426" s="63"/>
      <c r="H1426" s="881"/>
      <c r="I1426" s="882"/>
    </row>
    <row r="1427" spans="2:9" ht="12.75" customHeight="1" x14ac:dyDescent="0.15">
      <c r="B1427" s="906" t="s">
        <v>876</v>
      </c>
      <c r="C1427" s="907"/>
      <c r="D1427" s="907"/>
      <c r="E1427" s="907"/>
      <c r="F1427" s="908"/>
      <c r="G1427" s="63"/>
      <c r="H1427" s="883"/>
      <c r="I1427" s="884"/>
    </row>
    <row r="1428" spans="2:9" ht="16.5" customHeight="1" thickBot="1" x14ac:dyDescent="0.2">
      <c r="B1428" s="909"/>
      <c r="C1428" s="910"/>
      <c r="D1428" s="910"/>
      <c r="E1428" s="910"/>
      <c r="F1428" s="911"/>
      <c r="G1428" s="1"/>
      <c r="H1428" s="873" t="s">
        <v>1545</v>
      </c>
      <c r="I1428" s="874"/>
    </row>
    <row r="1429" spans="2:9" ht="14" thickBot="1" x14ac:dyDescent="0.2">
      <c r="B1429" s="15"/>
      <c r="C1429" s="16"/>
      <c r="D1429" s="1"/>
      <c r="E1429" s="1"/>
      <c r="F1429" s="1"/>
      <c r="G1429" s="1"/>
      <c r="H1429" s="875"/>
      <c r="I1429" s="876"/>
    </row>
    <row r="1430" spans="2:9" ht="12.75" customHeight="1" x14ac:dyDescent="0.15">
      <c r="B1430" s="922" t="s">
        <v>836</v>
      </c>
      <c r="C1430" s="923"/>
      <c r="D1430" s="923"/>
      <c r="E1430" s="923"/>
      <c r="F1430" s="924"/>
      <c r="G1430" s="1"/>
      <c r="H1430" s="875"/>
      <c r="I1430" s="876"/>
    </row>
    <row r="1431" spans="2:9" ht="39" customHeight="1" x14ac:dyDescent="0.15">
      <c r="B1431" s="925"/>
      <c r="C1431" s="926"/>
      <c r="D1431" s="926"/>
      <c r="E1431" s="926"/>
      <c r="F1431" s="927"/>
      <c r="H1431" s="875"/>
      <c r="I1431" s="876"/>
    </row>
    <row r="1432" spans="2:9" ht="13.5" customHeight="1" x14ac:dyDescent="0.15">
      <c r="B1432" s="925"/>
      <c r="C1432" s="926"/>
      <c r="D1432" s="926"/>
      <c r="E1432" s="926"/>
      <c r="F1432" s="927"/>
      <c r="G1432" s="11"/>
      <c r="H1432" s="877"/>
      <c r="I1432" s="878"/>
    </row>
    <row r="1433" spans="2:9" ht="21.75" customHeight="1" thickBot="1" x14ac:dyDescent="0.2">
      <c r="B1433" s="928"/>
      <c r="C1433" s="929"/>
      <c r="D1433" s="929"/>
      <c r="E1433" s="929"/>
      <c r="F1433" s="930"/>
      <c r="H1433" s="64" t="s">
        <v>45</v>
      </c>
      <c r="I1433" s="17" t="s">
        <v>319</v>
      </c>
    </row>
    <row r="1434" spans="2:9" x14ac:dyDescent="0.15">
      <c r="B1434" s="18"/>
      <c r="C1434" s="18"/>
      <c r="D1434" s="1"/>
      <c r="E1434" s="18"/>
      <c r="F1434" s="18"/>
      <c r="G1434" s="18"/>
      <c r="H1434" s="18"/>
      <c r="I1434" s="1"/>
    </row>
    <row r="1435" spans="2:9" ht="14" thickBot="1" x14ac:dyDescent="0.2">
      <c r="B1435" s="12" t="s">
        <v>21</v>
      </c>
      <c r="C1435" s="12"/>
      <c r="D1435" s="1"/>
      <c r="E1435" s="1"/>
      <c r="F1435" s="1"/>
      <c r="G1435" s="1"/>
      <c r="H1435" s="1"/>
      <c r="I1435" s="1"/>
    </row>
    <row r="1436" spans="2:9" x14ac:dyDescent="0.15">
      <c r="B1436" s="903" t="s">
        <v>22</v>
      </c>
      <c r="C1436" s="904"/>
      <c r="D1436" s="905"/>
      <c r="E1436" s="209" t="s">
        <v>23</v>
      </c>
      <c r="F1436" s="19" t="s">
        <v>47</v>
      </c>
      <c r="G1436" s="209" t="s">
        <v>24</v>
      </c>
      <c r="H1436" s="208" t="s">
        <v>25</v>
      </c>
      <c r="I1436" s="43"/>
    </row>
    <row r="1437" spans="2:9" x14ac:dyDescent="0.15">
      <c r="B1437" s="897" t="s">
        <v>56</v>
      </c>
      <c r="C1437" s="898"/>
      <c r="D1437" s="899"/>
      <c r="E1437" s="5"/>
      <c r="F1437" s="162"/>
      <c r="G1437" s="58"/>
      <c r="H1437" s="162">
        <f>I1460*0.05</f>
        <v>4455.2046875000005</v>
      </c>
      <c r="I1437" s="44"/>
    </row>
    <row r="1438" spans="2:9" x14ac:dyDescent="0.15">
      <c r="B1438" s="897"/>
      <c r="C1438" s="898"/>
      <c r="D1438" s="899"/>
      <c r="E1438" s="5"/>
      <c r="F1438" s="46"/>
      <c r="G1438" s="20"/>
      <c r="H1438" s="56"/>
      <c r="I1438" s="44"/>
    </row>
    <row r="1439" spans="2:9" ht="14" thickBot="1" x14ac:dyDescent="0.2">
      <c r="B1439" s="900"/>
      <c r="C1439" s="901"/>
      <c r="D1439" s="902"/>
      <c r="E1439" s="21"/>
      <c r="F1439" s="22"/>
      <c r="G1439" s="23"/>
      <c r="H1439" s="47"/>
      <c r="I1439" s="48"/>
    </row>
    <row r="1440" spans="2:9" ht="14" thickBot="1" x14ac:dyDescent="0.2">
      <c r="B1440" s="1"/>
      <c r="C1440" s="1"/>
      <c r="D1440" s="1"/>
      <c r="E1440" s="1"/>
      <c r="F1440" s="1"/>
      <c r="G1440" s="1"/>
      <c r="H1440" s="37" t="s">
        <v>26</v>
      </c>
      <c r="I1440" s="163">
        <f>SUM(H1437:H1439)</f>
        <v>4455.2046875000005</v>
      </c>
    </row>
    <row r="1441" spans="2:11" ht="14" thickBot="1" x14ac:dyDescent="0.2">
      <c r="B1441" s="12" t="s">
        <v>27</v>
      </c>
      <c r="C1441" s="12"/>
      <c r="D1441" s="1"/>
      <c r="E1441" s="1"/>
      <c r="F1441" s="1"/>
      <c r="G1441" s="1"/>
      <c r="H1441" s="1"/>
      <c r="I1441" s="1"/>
    </row>
    <row r="1442" spans="2:11" x14ac:dyDescent="0.15">
      <c r="B1442" s="903" t="s">
        <v>22</v>
      </c>
      <c r="C1442" s="904"/>
      <c r="D1442" s="905"/>
      <c r="E1442" s="209" t="s">
        <v>28</v>
      </c>
      <c r="F1442" s="209" t="s">
        <v>29</v>
      </c>
      <c r="G1442" s="209" t="s">
        <v>30</v>
      </c>
      <c r="H1442" s="208" t="s">
        <v>25</v>
      </c>
      <c r="I1442" s="43"/>
    </row>
    <row r="1443" spans="2:11" x14ac:dyDescent="0.15">
      <c r="B1443" s="4" t="s">
        <v>66</v>
      </c>
      <c r="C1443" s="24"/>
      <c r="D1443" s="6"/>
      <c r="E1443" s="3" t="s">
        <v>58</v>
      </c>
      <c r="F1443" s="166">
        <f>'APU -BASICOS'!H204</f>
        <v>9182</v>
      </c>
      <c r="G1443" s="73">
        <f>0.7*8</f>
        <v>5.6</v>
      </c>
      <c r="H1443" s="165">
        <f>G1443*F1443</f>
        <v>51419.199999999997</v>
      </c>
      <c r="I1443" s="44"/>
    </row>
    <row r="1444" spans="2:11" x14ac:dyDescent="0.15">
      <c r="B1444" s="4" t="s">
        <v>63</v>
      </c>
      <c r="C1444" s="24"/>
      <c r="D1444" s="6"/>
      <c r="E1444" s="3" t="s">
        <v>6</v>
      </c>
      <c r="F1444" s="164">
        <f>'APU -BASICOS'!H96</f>
        <v>555217</v>
      </c>
      <c r="G1444" s="65">
        <f>0.6*0.6*0.25</f>
        <v>0.09</v>
      </c>
      <c r="H1444" s="165">
        <f>G1444*F1444</f>
        <v>49969.53</v>
      </c>
      <c r="I1444" s="44"/>
    </row>
    <row r="1445" spans="2:11" x14ac:dyDescent="0.15">
      <c r="B1445" s="4"/>
      <c r="C1445" s="24"/>
      <c r="D1445" s="6"/>
      <c r="E1445" s="3"/>
      <c r="F1445" s="164"/>
      <c r="G1445" s="65"/>
      <c r="H1445" s="165"/>
      <c r="I1445" s="44"/>
    </row>
    <row r="1446" spans="2:11" ht="14" thickBot="1" x14ac:dyDescent="0.2">
      <c r="B1446" s="25"/>
      <c r="C1446" s="26"/>
      <c r="D1446" s="27"/>
      <c r="E1446" s="21"/>
      <c r="F1446" s="22"/>
      <c r="G1446" s="167"/>
      <c r="H1446" s="47"/>
      <c r="I1446" s="48"/>
    </row>
    <row r="1447" spans="2:11" ht="14" thickBot="1" x14ac:dyDescent="0.2">
      <c r="B1447" s="1"/>
      <c r="C1447" s="1"/>
      <c r="D1447" s="1"/>
      <c r="E1447" s="1"/>
      <c r="F1447" s="1"/>
      <c r="G1447" s="1"/>
      <c r="H1447" s="37" t="s">
        <v>26</v>
      </c>
      <c r="I1447" s="163">
        <f>SUM(H1443:H1446)</f>
        <v>101388.73</v>
      </c>
    </row>
    <row r="1448" spans="2:11" ht="14" thickBot="1" x14ac:dyDescent="0.2">
      <c r="B1448" s="28" t="s">
        <v>31</v>
      </c>
      <c r="C1448" s="28"/>
      <c r="D1448" s="26"/>
      <c r="E1448" s="1"/>
      <c r="F1448" s="1"/>
      <c r="G1448" s="1"/>
      <c r="H1448" s="1"/>
      <c r="I1448" s="1"/>
    </row>
    <row r="1449" spans="2:11" x14ac:dyDescent="0.15">
      <c r="B1449" s="51" t="s">
        <v>32</v>
      </c>
      <c r="C1449" s="52"/>
      <c r="D1449" s="378" t="s">
        <v>33</v>
      </c>
      <c r="E1449" s="209" t="s">
        <v>34</v>
      </c>
      <c r="F1449" s="209" t="s">
        <v>600</v>
      </c>
      <c r="G1449" s="209" t="s">
        <v>36</v>
      </c>
      <c r="H1449" s="59" t="s">
        <v>25</v>
      </c>
      <c r="I1449" s="43"/>
    </row>
    <row r="1450" spans="2:11" x14ac:dyDescent="0.15">
      <c r="B1450" s="24"/>
      <c r="C1450" s="6"/>
      <c r="D1450" s="53"/>
      <c r="E1450" s="2"/>
      <c r="F1450" s="2"/>
      <c r="G1450" s="60"/>
      <c r="H1450" s="20"/>
      <c r="I1450" s="44"/>
      <c r="K1450" s="106"/>
    </row>
    <row r="1451" spans="2:11" x14ac:dyDescent="0.15">
      <c r="B1451" s="415"/>
      <c r="C1451" s="66"/>
      <c r="D1451" s="67"/>
      <c r="E1451" s="68"/>
      <c r="F1451" s="68"/>
      <c r="G1451" s="69"/>
      <c r="H1451" s="65"/>
      <c r="I1451" s="44"/>
    </row>
    <row r="1452" spans="2:11" ht="14" thickBot="1" x14ac:dyDescent="0.2">
      <c r="B1452" s="33"/>
      <c r="C1452" s="54"/>
      <c r="D1452" s="21"/>
      <c r="E1452" s="22"/>
      <c r="F1452" s="23"/>
      <c r="G1452" s="47"/>
      <c r="H1452" s="21"/>
      <c r="I1452" s="44"/>
    </row>
    <row r="1453" spans="2:11" ht="14" thickBot="1" x14ac:dyDescent="0.2">
      <c r="B1453" s="1"/>
      <c r="C1453" s="1"/>
      <c r="D1453" s="1"/>
      <c r="E1453" s="1"/>
      <c r="F1453" s="1"/>
      <c r="G1453" s="1"/>
      <c r="H1453" s="37" t="s">
        <v>26</v>
      </c>
      <c r="I1453" s="163">
        <f>SUM(H1450:H1452)</f>
        <v>0</v>
      </c>
    </row>
    <row r="1454" spans="2:11" ht="14" thickBot="1" x14ac:dyDescent="0.2">
      <c r="B1454" s="28" t="s">
        <v>37</v>
      </c>
      <c r="C1454" s="28"/>
      <c r="D1454" s="1"/>
      <c r="E1454" s="1"/>
      <c r="F1454" s="1"/>
      <c r="G1454" s="1"/>
      <c r="H1454" s="1"/>
      <c r="I1454" s="1"/>
    </row>
    <row r="1455" spans="2:11" x14ac:dyDescent="0.15">
      <c r="B1455" s="51" t="s">
        <v>38</v>
      </c>
      <c r="C1455" s="86"/>
      <c r="D1455" s="31" t="s">
        <v>39</v>
      </c>
      <c r="E1455" s="209" t="s">
        <v>40</v>
      </c>
      <c r="F1455" s="19" t="s">
        <v>41</v>
      </c>
      <c r="G1455" s="31" t="s">
        <v>24</v>
      </c>
      <c r="H1455" s="208" t="s">
        <v>25</v>
      </c>
      <c r="I1455" s="43"/>
    </row>
    <row r="1456" spans="2:11" x14ac:dyDescent="0.15">
      <c r="B1456" s="4" t="s">
        <v>65</v>
      </c>
      <c r="C1456" s="24"/>
      <c r="D1456" s="32">
        <f>'MANO DE OBRA'!E15</f>
        <v>95333</v>
      </c>
      <c r="E1456" s="88">
        <v>1.75</v>
      </c>
      <c r="F1456" s="164">
        <f>+E1456*D1456</f>
        <v>166832.75</v>
      </c>
      <c r="G1456" s="20">
        <v>8</v>
      </c>
      <c r="H1456" s="169">
        <f>+F1456/G1456</f>
        <v>20854.09375</v>
      </c>
      <c r="I1456" s="44"/>
    </row>
    <row r="1457" spans="2:9" x14ac:dyDescent="0.15">
      <c r="B1457" s="4" t="s">
        <v>94</v>
      </c>
      <c r="C1457" s="24"/>
      <c r="D1457" s="32">
        <f>'MANO DE OBRA'!E14*6</f>
        <v>312000</v>
      </c>
      <c r="E1457" s="88">
        <v>1.75</v>
      </c>
      <c r="F1457" s="164">
        <f>+E1457*D1457</f>
        <v>546000</v>
      </c>
      <c r="G1457" s="20">
        <v>8</v>
      </c>
      <c r="H1457" s="169">
        <f>+F1457/G1457</f>
        <v>68250</v>
      </c>
      <c r="I1457" s="44"/>
    </row>
    <row r="1458" spans="2:9" x14ac:dyDescent="0.15">
      <c r="B1458" s="4"/>
      <c r="C1458" s="24"/>
      <c r="D1458" s="32"/>
      <c r="E1458" s="168"/>
      <c r="F1458" s="20"/>
      <c r="G1458" s="20"/>
      <c r="H1458" s="55"/>
      <c r="I1458" s="44"/>
    </row>
    <row r="1459" spans="2:9" ht="14" thickBot="1" x14ac:dyDescent="0.2">
      <c r="B1459" s="33"/>
      <c r="C1459" s="34"/>
      <c r="D1459" s="22"/>
      <c r="E1459" s="21"/>
      <c r="F1459" s="22"/>
      <c r="G1459" s="23"/>
      <c r="H1459" s="47"/>
      <c r="I1459" s="48"/>
    </row>
    <row r="1460" spans="2:9" ht="14" thickBot="1" x14ac:dyDescent="0.2">
      <c r="B1460" s="1"/>
      <c r="C1460" s="1"/>
      <c r="D1460" s="1"/>
      <c r="E1460" s="1"/>
      <c r="F1460" s="1"/>
      <c r="G1460" s="1"/>
      <c r="H1460" s="37" t="s">
        <v>26</v>
      </c>
      <c r="I1460" s="177">
        <f>SUM(H1456:H1459)</f>
        <v>89104.09375</v>
      </c>
    </row>
    <row r="1461" spans="2:9" ht="14" thickBot="1" x14ac:dyDescent="0.2">
      <c r="B1461" s="1"/>
      <c r="C1461" s="1"/>
      <c r="D1461" s="1"/>
      <c r="E1461" s="1"/>
      <c r="F1461" s="1"/>
      <c r="G1461" s="1"/>
      <c r="H1461" s="61"/>
      <c r="I1461" s="1"/>
    </row>
    <row r="1462" spans="2:9" ht="15" thickBot="1" x14ac:dyDescent="0.2">
      <c r="B1462" s="1"/>
      <c r="C1462" s="1"/>
      <c r="D1462" s="1"/>
      <c r="E1462" s="1"/>
      <c r="F1462" s="15" t="s">
        <v>182</v>
      </c>
      <c r="G1462" s="16"/>
      <c r="H1462" s="16"/>
      <c r="I1462" s="232">
        <f>ROUND((I1440+I1447+I1453+I1460),0)</f>
        <v>194948</v>
      </c>
    </row>
    <row r="1463" spans="2:9" x14ac:dyDescent="0.15">
      <c r="B1463" s="1"/>
      <c r="C1463" s="1"/>
      <c r="D1463" s="1"/>
      <c r="E1463" s="1"/>
      <c r="F1463" s="1"/>
      <c r="G1463" s="1"/>
      <c r="H1463" s="61"/>
      <c r="I1463" s="1"/>
    </row>
    <row r="1464" spans="2:9" x14ac:dyDescent="0.15">
      <c r="B1464" s="1"/>
      <c r="C1464" s="1"/>
      <c r="D1464" s="1"/>
      <c r="E1464" s="1"/>
      <c r="F1464" s="1"/>
      <c r="G1464" s="1"/>
      <c r="H1464" s="61"/>
      <c r="I1464" s="1"/>
    </row>
    <row r="1465" spans="2:9" x14ac:dyDescent="0.15">
      <c r="B1465" s="1"/>
      <c r="C1465" s="1"/>
      <c r="D1465" s="1"/>
      <c r="E1465" s="1"/>
      <c r="F1465" s="1"/>
      <c r="G1465" s="1"/>
      <c r="H1465" s="61"/>
      <c r="I1465" s="1"/>
    </row>
    <row r="1466" spans="2:9" x14ac:dyDescent="0.15">
      <c r="B1466" s="1"/>
      <c r="C1466" s="1"/>
      <c r="D1466" s="1"/>
      <c r="E1466" s="1"/>
      <c r="F1466" s="1"/>
      <c r="G1466" s="1"/>
      <c r="H1466" s="61"/>
      <c r="I1466" s="1"/>
    </row>
    <row r="1467" spans="2:9" x14ac:dyDescent="0.15">
      <c r="B1467" s="1"/>
      <c r="C1467" s="1"/>
      <c r="D1467" s="1"/>
      <c r="E1467" s="1"/>
      <c r="F1467" s="1"/>
      <c r="G1467" s="1"/>
      <c r="H1467" s="61"/>
      <c r="I1467" s="1"/>
    </row>
    <row r="1468" spans="2:9" x14ac:dyDescent="0.15">
      <c r="B1468" s="1"/>
      <c r="C1468" s="1"/>
      <c r="D1468" s="1"/>
      <c r="E1468" s="1"/>
      <c r="F1468" s="1"/>
      <c r="G1468" s="1"/>
      <c r="H1468" s="61"/>
      <c r="I1468" s="1"/>
    </row>
    <row r="1469" spans="2:9" x14ac:dyDescent="0.15">
      <c r="B1469" s="1"/>
      <c r="C1469" s="1"/>
      <c r="D1469" s="1"/>
      <c r="E1469" s="1"/>
      <c r="F1469" s="1"/>
      <c r="G1469" s="1"/>
      <c r="H1469" s="61"/>
      <c r="I1469" s="1"/>
    </row>
    <row r="1470" spans="2:9" x14ac:dyDescent="0.15">
      <c r="B1470" s="1"/>
      <c r="C1470" s="1"/>
      <c r="D1470" s="1"/>
      <c r="E1470" s="1"/>
      <c r="F1470" s="1"/>
      <c r="G1470" s="1"/>
      <c r="H1470" s="61"/>
      <c r="I1470" s="1"/>
    </row>
    <row r="1471" spans="2:9" x14ac:dyDescent="0.15">
      <c r="B1471" s="11"/>
      <c r="C1471" s="11"/>
      <c r="D1471" s="1"/>
      <c r="E1471" s="155"/>
      <c r="F1471" s="155"/>
      <c r="G1471" s="155"/>
      <c r="H1471" s="155"/>
      <c r="I1471" s="171"/>
    </row>
    <row r="1472" spans="2:9" x14ac:dyDescent="0.15">
      <c r="B1472" s="11"/>
      <c r="C1472" s="11"/>
      <c r="D1472" s="1"/>
      <c r="E1472" s="155"/>
      <c r="F1472" s="155"/>
      <c r="G1472" s="155"/>
      <c r="H1472" s="155"/>
      <c r="I1472" s="171"/>
    </row>
    <row r="1473" spans="2:9" ht="14" x14ac:dyDescent="0.15">
      <c r="B1473" s="83"/>
      <c r="C1473" s="11"/>
      <c r="D1473" s="1"/>
      <c r="E1473" s="916"/>
      <c r="F1473" s="916"/>
      <c r="G1473" s="916"/>
      <c r="H1473" s="916"/>
      <c r="I1473" s="171"/>
    </row>
    <row r="1474" spans="2:9" ht="14" x14ac:dyDescent="0.15">
      <c r="B1474" s="102"/>
      <c r="C1474" s="11"/>
      <c r="D1474" s="1"/>
      <c r="E1474" s="155"/>
      <c r="F1474" s="155"/>
      <c r="G1474" s="155"/>
      <c r="H1474" s="155"/>
      <c r="I1474" s="171"/>
    </row>
    <row r="1475" spans="2:9" ht="14" x14ac:dyDescent="0.15">
      <c r="B1475" s="83"/>
      <c r="C1475" s="11"/>
      <c r="D1475" s="1"/>
      <c r="E1475" s="155"/>
      <c r="F1475" s="155"/>
      <c r="G1475" s="155"/>
      <c r="H1475" s="155"/>
      <c r="I1475" s="171"/>
    </row>
    <row r="1476" spans="2:9" x14ac:dyDescent="0.15">
      <c r="B1476" s="11"/>
      <c r="C1476" s="11"/>
      <c r="D1476" s="1"/>
      <c r="E1476" s="155"/>
      <c r="F1476" s="155"/>
      <c r="G1476" s="155"/>
      <c r="H1476" s="155"/>
      <c r="I1476" s="171"/>
    </row>
    <row r="1477" spans="2:9" x14ac:dyDescent="0.15">
      <c r="B1477" s="11"/>
      <c r="C1477" s="11"/>
      <c r="D1477" s="1"/>
      <c r="E1477" s="155"/>
      <c r="F1477" s="155"/>
      <c r="G1477" s="155"/>
      <c r="H1477" s="155"/>
      <c r="I1477" s="171"/>
    </row>
    <row r="1478" spans="2:9" x14ac:dyDescent="0.15">
      <c r="B1478" s="11"/>
      <c r="C1478" s="11"/>
      <c r="D1478" s="1"/>
      <c r="E1478" s="155"/>
      <c r="F1478" s="155"/>
      <c r="G1478" s="155"/>
      <c r="H1478" s="155"/>
      <c r="I1478" s="171"/>
    </row>
    <row r="1479" spans="2:9" ht="14" thickBot="1" x14ac:dyDescent="0.2">
      <c r="B1479" s="11"/>
      <c r="C1479" s="11"/>
      <c r="D1479" s="1"/>
      <c r="E1479" s="155"/>
      <c r="F1479" s="155"/>
      <c r="G1479" s="155"/>
      <c r="H1479" s="155"/>
      <c r="I1479" s="171"/>
    </row>
    <row r="1480" spans="2:9" ht="21" customHeight="1" x14ac:dyDescent="0.15">
      <c r="B1480" s="885" t="s">
        <v>874</v>
      </c>
      <c r="C1480" s="886"/>
      <c r="D1480" s="886"/>
      <c r="E1480" s="886"/>
      <c r="F1480" s="887"/>
      <c r="G1480" s="1"/>
      <c r="H1480" s="879" t="s">
        <v>20</v>
      </c>
      <c r="I1480" s="880"/>
    </row>
    <row r="1481" spans="2:9" ht="16.5" customHeight="1" x14ac:dyDescent="0.15">
      <c r="B1481" s="888" t="s">
        <v>875</v>
      </c>
      <c r="C1481" s="889"/>
      <c r="D1481" s="889"/>
      <c r="E1481" s="889"/>
      <c r="F1481" s="890"/>
      <c r="G1481" s="63"/>
      <c r="H1481" s="881"/>
      <c r="I1481" s="882"/>
    </row>
    <row r="1482" spans="2:9" ht="12.75" customHeight="1" x14ac:dyDescent="0.15">
      <c r="B1482" s="906" t="s">
        <v>876</v>
      </c>
      <c r="C1482" s="907"/>
      <c r="D1482" s="907"/>
      <c r="E1482" s="907"/>
      <c r="F1482" s="908"/>
      <c r="G1482" s="63"/>
      <c r="H1482" s="883"/>
      <c r="I1482" s="884"/>
    </row>
    <row r="1483" spans="2:9" ht="16.5" customHeight="1" thickBot="1" x14ac:dyDescent="0.2">
      <c r="B1483" s="909"/>
      <c r="C1483" s="910"/>
      <c r="D1483" s="910"/>
      <c r="E1483" s="910"/>
      <c r="F1483" s="911"/>
      <c r="G1483" s="1"/>
      <c r="H1483" s="873" t="s">
        <v>1555</v>
      </c>
      <c r="I1483" s="874"/>
    </row>
    <row r="1484" spans="2:9" ht="14" thickBot="1" x14ac:dyDescent="0.2">
      <c r="B1484" s="15"/>
      <c r="C1484" s="16"/>
      <c r="D1484" s="1"/>
      <c r="E1484" s="1"/>
      <c r="F1484" s="1"/>
      <c r="G1484" s="1"/>
      <c r="H1484" s="875"/>
      <c r="I1484" s="876"/>
    </row>
    <row r="1485" spans="2:9" ht="12.75" customHeight="1" x14ac:dyDescent="0.15">
      <c r="B1485" s="922" t="s">
        <v>836</v>
      </c>
      <c r="C1485" s="923"/>
      <c r="D1485" s="923"/>
      <c r="E1485" s="923"/>
      <c r="F1485" s="924"/>
      <c r="G1485" s="1"/>
      <c r="H1485" s="875"/>
      <c r="I1485" s="876"/>
    </row>
    <row r="1486" spans="2:9" ht="12.75" customHeight="1" x14ac:dyDescent="0.15">
      <c r="B1486" s="925"/>
      <c r="C1486" s="926"/>
      <c r="D1486" s="926"/>
      <c r="E1486" s="926"/>
      <c r="F1486" s="927"/>
      <c r="H1486" s="875"/>
      <c r="I1486" s="876"/>
    </row>
    <row r="1487" spans="2:9" ht="13.5" customHeight="1" x14ac:dyDescent="0.15">
      <c r="B1487" s="925"/>
      <c r="C1487" s="926"/>
      <c r="D1487" s="926"/>
      <c r="E1487" s="926"/>
      <c r="F1487" s="927"/>
      <c r="G1487" s="11"/>
      <c r="H1487" s="877"/>
      <c r="I1487" s="878"/>
    </row>
    <row r="1488" spans="2:9" ht="21.75" customHeight="1" thickBot="1" x14ac:dyDescent="0.2">
      <c r="B1488" s="928"/>
      <c r="C1488" s="929"/>
      <c r="D1488" s="929"/>
      <c r="E1488" s="929"/>
      <c r="F1488" s="930"/>
      <c r="H1488" s="64" t="s">
        <v>45</v>
      </c>
      <c r="I1488" s="17" t="s">
        <v>319</v>
      </c>
    </row>
    <row r="1489" spans="2:9" x14ac:dyDescent="0.15">
      <c r="B1489" s="18"/>
      <c r="C1489" s="18"/>
      <c r="D1489" s="1"/>
      <c r="E1489" s="18"/>
      <c r="F1489" s="18"/>
      <c r="G1489" s="18"/>
      <c r="H1489" s="18"/>
      <c r="I1489" s="1"/>
    </row>
    <row r="1490" spans="2:9" ht="14" thickBot="1" x14ac:dyDescent="0.2">
      <c r="B1490" s="12" t="s">
        <v>21</v>
      </c>
      <c r="C1490" s="12"/>
      <c r="D1490" s="1"/>
      <c r="E1490" s="1"/>
      <c r="F1490" s="1"/>
      <c r="G1490" s="1"/>
      <c r="H1490" s="1"/>
      <c r="I1490" s="1"/>
    </row>
    <row r="1491" spans="2:9" x14ac:dyDescent="0.15">
      <c r="B1491" s="903" t="s">
        <v>22</v>
      </c>
      <c r="C1491" s="904"/>
      <c r="D1491" s="905"/>
      <c r="E1491" s="209" t="s">
        <v>23</v>
      </c>
      <c r="F1491" s="19" t="s">
        <v>47</v>
      </c>
      <c r="G1491" s="209" t="s">
        <v>24</v>
      </c>
      <c r="H1491" s="208" t="s">
        <v>25</v>
      </c>
      <c r="I1491" s="43"/>
    </row>
    <row r="1492" spans="2:9" x14ac:dyDescent="0.15">
      <c r="B1492" s="897" t="s">
        <v>56</v>
      </c>
      <c r="C1492" s="898"/>
      <c r="D1492" s="899"/>
      <c r="E1492" s="5"/>
      <c r="F1492" s="162"/>
      <c r="G1492" s="58"/>
      <c r="H1492" s="162">
        <f>I1515*0.05</f>
        <v>2970.1364583333334</v>
      </c>
      <c r="I1492" s="44"/>
    </row>
    <row r="1493" spans="2:9" x14ac:dyDescent="0.15">
      <c r="B1493" s="897"/>
      <c r="C1493" s="898"/>
      <c r="D1493" s="899"/>
      <c r="E1493" s="5"/>
      <c r="F1493" s="46"/>
      <c r="G1493" s="20"/>
      <c r="H1493" s="56"/>
      <c r="I1493" s="44"/>
    </row>
    <row r="1494" spans="2:9" ht="14" thickBot="1" x14ac:dyDescent="0.2">
      <c r="B1494" s="900"/>
      <c r="C1494" s="901"/>
      <c r="D1494" s="902"/>
      <c r="E1494" s="21"/>
      <c r="F1494" s="22"/>
      <c r="G1494" s="23"/>
      <c r="H1494" s="47"/>
      <c r="I1494" s="48"/>
    </row>
    <row r="1495" spans="2:9" ht="14" thickBot="1" x14ac:dyDescent="0.2">
      <c r="B1495" s="1"/>
      <c r="C1495" s="1"/>
      <c r="D1495" s="1"/>
      <c r="E1495" s="1"/>
      <c r="F1495" s="1"/>
      <c r="G1495" s="1"/>
      <c r="H1495" s="37" t="s">
        <v>26</v>
      </c>
      <c r="I1495" s="163">
        <f>SUM(H1492:H1494)</f>
        <v>2970.1364583333334</v>
      </c>
    </row>
    <row r="1496" spans="2:9" ht="14" thickBot="1" x14ac:dyDescent="0.2">
      <c r="B1496" s="12" t="s">
        <v>27</v>
      </c>
      <c r="C1496" s="12"/>
      <c r="D1496" s="1"/>
      <c r="E1496" s="1"/>
      <c r="F1496" s="1"/>
      <c r="G1496" s="1"/>
      <c r="H1496" s="1"/>
      <c r="I1496" s="1"/>
    </row>
    <row r="1497" spans="2:9" x14ac:dyDescent="0.15">
      <c r="B1497" s="903" t="s">
        <v>22</v>
      </c>
      <c r="C1497" s="904"/>
      <c r="D1497" s="905"/>
      <c r="E1497" s="209" t="s">
        <v>28</v>
      </c>
      <c r="F1497" s="209" t="s">
        <v>29</v>
      </c>
      <c r="G1497" s="209" t="s">
        <v>30</v>
      </c>
      <c r="H1497" s="208" t="s">
        <v>25</v>
      </c>
      <c r="I1497" s="43"/>
    </row>
    <row r="1498" spans="2:9" x14ac:dyDescent="0.15">
      <c r="B1498" s="4" t="s">
        <v>66</v>
      </c>
      <c r="C1498" s="24"/>
      <c r="D1498" s="6"/>
      <c r="E1498" s="3" t="s">
        <v>58</v>
      </c>
      <c r="F1498" s="166">
        <f>'APU -BASICOS'!H204</f>
        <v>9182</v>
      </c>
      <c r="G1498" s="73">
        <f>0.5*6</f>
        <v>3</v>
      </c>
      <c r="H1498" s="165">
        <f>G1498*F1498</f>
        <v>27546</v>
      </c>
      <c r="I1498" s="44"/>
    </row>
    <row r="1499" spans="2:9" x14ac:dyDescent="0.15">
      <c r="B1499" s="4" t="s">
        <v>63</v>
      </c>
      <c r="C1499" s="24"/>
      <c r="D1499" s="6"/>
      <c r="E1499" s="3" t="s">
        <v>6</v>
      </c>
      <c r="F1499" s="164">
        <f>'APU -BASICOS'!H96</f>
        <v>555217</v>
      </c>
      <c r="G1499" s="65">
        <f>0.4*0.4*0.25</f>
        <v>4.0000000000000008E-2</v>
      </c>
      <c r="H1499" s="165">
        <f>G1499*F1499</f>
        <v>22208.680000000004</v>
      </c>
      <c r="I1499" s="44"/>
    </row>
    <row r="1500" spans="2:9" x14ac:dyDescent="0.15">
      <c r="B1500" s="4"/>
      <c r="C1500" s="24"/>
      <c r="D1500" s="6"/>
      <c r="E1500" s="3"/>
      <c r="F1500" s="164"/>
      <c r="G1500" s="65"/>
      <c r="H1500" s="165"/>
      <c r="I1500" s="44"/>
    </row>
    <row r="1501" spans="2:9" ht="14" thickBot="1" x14ac:dyDescent="0.2">
      <c r="B1501" s="25"/>
      <c r="C1501" s="26"/>
      <c r="D1501" s="27"/>
      <c r="E1501" s="21"/>
      <c r="F1501" s="22"/>
      <c r="G1501" s="167"/>
      <c r="H1501" s="47"/>
      <c r="I1501" s="48"/>
    </row>
    <row r="1502" spans="2:9" ht="14" thickBot="1" x14ac:dyDescent="0.2">
      <c r="B1502" s="1"/>
      <c r="C1502" s="1"/>
      <c r="D1502" s="1"/>
      <c r="E1502" s="1"/>
      <c r="F1502" s="1"/>
      <c r="G1502" s="1"/>
      <c r="H1502" s="37" t="s">
        <v>26</v>
      </c>
      <c r="I1502" s="163">
        <f>SUM(H1498:H1501)</f>
        <v>49754.680000000008</v>
      </c>
    </row>
    <row r="1503" spans="2:9" ht="14" thickBot="1" x14ac:dyDescent="0.2">
      <c r="B1503" s="28" t="s">
        <v>31</v>
      </c>
      <c r="C1503" s="28"/>
      <c r="D1503" s="26"/>
      <c r="E1503" s="1"/>
      <c r="F1503" s="1"/>
      <c r="G1503" s="1"/>
      <c r="H1503" s="1"/>
      <c r="I1503" s="1"/>
    </row>
    <row r="1504" spans="2:9" x14ac:dyDescent="0.15">
      <c r="B1504" s="51" t="s">
        <v>32</v>
      </c>
      <c r="C1504" s="52"/>
      <c r="D1504" s="378" t="s">
        <v>33</v>
      </c>
      <c r="E1504" s="209" t="s">
        <v>34</v>
      </c>
      <c r="F1504" s="209" t="s">
        <v>600</v>
      </c>
      <c r="G1504" s="209" t="s">
        <v>36</v>
      </c>
      <c r="H1504" s="59" t="s">
        <v>25</v>
      </c>
      <c r="I1504" s="43"/>
    </row>
    <row r="1505" spans="2:11" x14ac:dyDescent="0.15">
      <c r="B1505" s="24"/>
      <c r="C1505" s="6"/>
      <c r="D1505" s="53"/>
      <c r="E1505" s="2"/>
      <c r="F1505" s="2"/>
      <c r="G1505" s="60"/>
      <c r="H1505" s="20"/>
      <c r="I1505" s="44"/>
      <c r="K1505" s="106"/>
    </row>
    <row r="1506" spans="2:11" x14ac:dyDescent="0.15">
      <c r="B1506" s="415"/>
      <c r="C1506" s="66"/>
      <c r="D1506" s="67"/>
      <c r="E1506" s="68"/>
      <c r="F1506" s="68"/>
      <c r="G1506" s="69"/>
      <c r="H1506" s="65"/>
      <c r="I1506" s="44"/>
    </row>
    <row r="1507" spans="2:11" ht="14" thickBot="1" x14ac:dyDescent="0.2">
      <c r="B1507" s="33"/>
      <c r="C1507" s="54"/>
      <c r="D1507" s="21"/>
      <c r="E1507" s="22"/>
      <c r="F1507" s="23"/>
      <c r="G1507" s="47"/>
      <c r="H1507" s="21"/>
      <c r="I1507" s="44"/>
    </row>
    <row r="1508" spans="2:11" ht="14" thickBot="1" x14ac:dyDescent="0.2">
      <c r="B1508" s="1"/>
      <c r="C1508" s="1"/>
      <c r="D1508" s="1"/>
      <c r="E1508" s="1"/>
      <c r="F1508" s="1"/>
      <c r="G1508" s="1"/>
      <c r="H1508" s="37" t="s">
        <v>26</v>
      </c>
      <c r="I1508" s="163">
        <f>SUM(H1505:H1507)</f>
        <v>0</v>
      </c>
    </row>
    <row r="1509" spans="2:11" ht="14" thickBot="1" x14ac:dyDescent="0.2">
      <c r="B1509" s="28" t="s">
        <v>37</v>
      </c>
      <c r="C1509" s="28"/>
      <c r="D1509" s="1"/>
      <c r="E1509" s="1"/>
      <c r="F1509" s="1"/>
      <c r="G1509" s="1"/>
      <c r="H1509" s="1"/>
      <c r="I1509" s="1"/>
    </row>
    <row r="1510" spans="2:11" x14ac:dyDescent="0.15">
      <c r="B1510" s="51" t="s">
        <v>38</v>
      </c>
      <c r="C1510" s="86"/>
      <c r="D1510" s="31" t="s">
        <v>39</v>
      </c>
      <c r="E1510" s="209" t="s">
        <v>40</v>
      </c>
      <c r="F1510" s="19" t="s">
        <v>41</v>
      </c>
      <c r="G1510" s="31" t="s">
        <v>24</v>
      </c>
      <c r="H1510" s="208" t="s">
        <v>25</v>
      </c>
      <c r="I1510" s="43"/>
    </row>
    <row r="1511" spans="2:11" x14ac:dyDescent="0.15">
      <c r="B1511" s="4" t="s">
        <v>65</v>
      </c>
      <c r="C1511" s="24"/>
      <c r="D1511" s="32">
        <f>'MANO DE OBRA'!E15</f>
        <v>95333</v>
      </c>
      <c r="E1511" s="88">
        <v>1.75</v>
      </c>
      <c r="F1511" s="164">
        <f>+E1511*D1511</f>
        <v>166832.75</v>
      </c>
      <c r="G1511" s="20">
        <v>12</v>
      </c>
      <c r="H1511" s="169">
        <f>+F1511/G1511</f>
        <v>13902.729166666666</v>
      </c>
      <c r="I1511" s="44"/>
    </row>
    <row r="1512" spans="2:11" x14ac:dyDescent="0.15">
      <c r="B1512" s="4" t="s">
        <v>94</v>
      </c>
      <c r="C1512" s="24"/>
      <c r="D1512" s="32">
        <f>'MANO DE OBRA'!E14*6</f>
        <v>312000</v>
      </c>
      <c r="E1512" s="88">
        <v>1.75</v>
      </c>
      <c r="F1512" s="164">
        <f>+E1512*D1512</f>
        <v>546000</v>
      </c>
      <c r="G1512" s="20">
        <v>12</v>
      </c>
      <c r="H1512" s="169">
        <f>+F1512/G1512</f>
        <v>45500</v>
      </c>
      <c r="I1512" s="44"/>
    </row>
    <row r="1513" spans="2:11" x14ac:dyDescent="0.15">
      <c r="B1513" s="4"/>
      <c r="C1513" s="24"/>
      <c r="D1513" s="32"/>
      <c r="E1513" s="168"/>
      <c r="F1513" s="20"/>
      <c r="G1513" s="20"/>
      <c r="H1513" s="55"/>
      <c r="I1513" s="44"/>
    </row>
    <row r="1514" spans="2:11" ht="14" thickBot="1" x14ac:dyDescent="0.2">
      <c r="B1514" s="33"/>
      <c r="C1514" s="34"/>
      <c r="D1514" s="22"/>
      <c r="E1514" s="21"/>
      <c r="F1514" s="22"/>
      <c r="G1514" s="23"/>
      <c r="H1514" s="47"/>
      <c r="I1514" s="48"/>
      <c r="K1514" s="106"/>
    </row>
    <row r="1515" spans="2:11" ht="14" thickBot="1" x14ac:dyDescent="0.2">
      <c r="B1515" s="1"/>
      <c r="C1515" s="1"/>
      <c r="D1515" s="1"/>
      <c r="E1515" s="1"/>
      <c r="F1515" s="1"/>
      <c r="G1515" s="1"/>
      <c r="H1515" s="37" t="s">
        <v>26</v>
      </c>
      <c r="I1515" s="177">
        <f>SUM(H1511:H1514)</f>
        <v>59402.729166666664</v>
      </c>
    </row>
    <row r="1516" spans="2:11" ht="14" thickBot="1" x14ac:dyDescent="0.2">
      <c r="B1516" s="1"/>
      <c r="C1516" s="1"/>
      <c r="D1516" s="1"/>
      <c r="E1516" s="1"/>
      <c r="F1516" s="1"/>
      <c r="G1516" s="1"/>
      <c r="H1516" s="61"/>
      <c r="I1516" s="1"/>
    </row>
    <row r="1517" spans="2:11" ht="15" thickBot="1" x14ac:dyDescent="0.2">
      <c r="B1517" s="1"/>
      <c r="C1517" s="1"/>
      <c r="D1517" s="1"/>
      <c r="E1517" s="1"/>
      <c r="F1517" s="15" t="s">
        <v>182</v>
      </c>
      <c r="G1517" s="16"/>
      <c r="H1517" s="16"/>
      <c r="I1517" s="232">
        <f>ROUND((I1495+I1502+I1508+I1515),0)</f>
        <v>112128</v>
      </c>
    </row>
    <row r="1518" spans="2:11" x14ac:dyDescent="0.15">
      <c r="B1518" s="1"/>
      <c r="C1518" s="1"/>
      <c r="D1518" s="1"/>
      <c r="E1518" s="1"/>
      <c r="F1518" s="1"/>
      <c r="G1518" s="1"/>
      <c r="H1518" s="61"/>
      <c r="I1518" s="1"/>
    </row>
    <row r="1519" spans="2:11" x14ac:dyDescent="0.15">
      <c r="B1519" s="1"/>
      <c r="C1519" s="1"/>
      <c r="D1519" s="1"/>
      <c r="E1519" s="1"/>
      <c r="F1519" s="1"/>
      <c r="G1519" s="1"/>
      <c r="H1519" s="61"/>
      <c r="I1519" s="1"/>
    </row>
    <row r="1520" spans="2:11" x14ac:dyDescent="0.15">
      <c r="B1520" s="1"/>
      <c r="C1520" s="1"/>
      <c r="D1520" s="1"/>
      <c r="E1520" s="1"/>
      <c r="F1520" s="1"/>
      <c r="G1520" s="1"/>
      <c r="H1520" s="61"/>
      <c r="I1520" s="1"/>
    </row>
    <row r="1521" spans="2:9" x14ac:dyDescent="0.15">
      <c r="B1521" s="1"/>
      <c r="C1521" s="1"/>
      <c r="D1521" s="1"/>
      <c r="E1521" s="1"/>
      <c r="F1521" s="1"/>
      <c r="G1521" s="1"/>
      <c r="H1521" s="61"/>
      <c r="I1521" s="1"/>
    </row>
    <row r="1522" spans="2:9" x14ac:dyDescent="0.15">
      <c r="B1522" s="1"/>
      <c r="C1522" s="1"/>
      <c r="D1522" s="1"/>
      <c r="E1522" s="1"/>
      <c r="F1522" s="1"/>
      <c r="G1522" s="1"/>
      <c r="H1522" s="61"/>
      <c r="I1522" s="1"/>
    </row>
    <row r="1523" spans="2:9" x14ac:dyDescent="0.15">
      <c r="B1523" s="1"/>
      <c r="C1523" s="1"/>
      <c r="D1523" s="1"/>
      <c r="E1523" s="1"/>
      <c r="F1523" s="1"/>
      <c r="G1523" s="1"/>
      <c r="H1523" s="61"/>
      <c r="I1523" s="1"/>
    </row>
    <row r="1524" spans="2:9" x14ac:dyDescent="0.15">
      <c r="B1524" s="1"/>
      <c r="C1524" s="1"/>
      <c r="D1524" s="1"/>
      <c r="E1524" s="1"/>
      <c r="F1524" s="1"/>
      <c r="G1524" s="1"/>
      <c r="H1524" s="61"/>
      <c r="I1524" s="1"/>
    </row>
    <row r="1525" spans="2:9" x14ac:dyDescent="0.15">
      <c r="B1525" s="1"/>
      <c r="C1525" s="1"/>
      <c r="D1525" s="1"/>
      <c r="E1525" s="1"/>
      <c r="F1525" s="1"/>
      <c r="G1525" s="1"/>
      <c r="H1525" s="61"/>
      <c r="I1525" s="1"/>
    </row>
    <row r="1526" spans="2:9" x14ac:dyDescent="0.15">
      <c r="B1526" s="11"/>
      <c r="C1526" s="11"/>
      <c r="D1526" s="1"/>
      <c r="E1526" s="155"/>
      <c r="F1526" s="155"/>
      <c r="G1526" s="155"/>
      <c r="H1526" s="155"/>
      <c r="I1526" s="171"/>
    </row>
    <row r="1527" spans="2:9" x14ac:dyDescent="0.15">
      <c r="B1527" s="11"/>
      <c r="C1527" s="11"/>
      <c r="D1527" s="1"/>
      <c r="E1527" s="155"/>
      <c r="F1527" s="155"/>
      <c r="G1527" s="155"/>
      <c r="H1527" s="155"/>
      <c r="I1527" s="171"/>
    </row>
    <row r="1528" spans="2:9" ht="14" x14ac:dyDescent="0.15">
      <c r="B1528" s="83"/>
      <c r="C1528" s="11"/>
      <c r="D1528" s="1"/>
      <c r="E1528" s="916"/>
      <c r="F1528" s="916"/>
      <c r="G1528" s="916"/>
      <c r="H1528" s="916"/>
      <c r="I1528" s="171"/>
    </row>
    <row r="1529" spans="2:9" ht="14" x14ac:dyDescent="0.15">
      <c r="B1529" s="102"/>
      <c r="C1529" s="11"/>
      <c r="D1529" s="1"/>
      <c r="E1529" s="155"/>
      <c r="F1529" s="155"/>
      <c r="G1529" s="155"/>
      <c r="H1529" s="155"/>
      <c r="I1529" s="171"/>
    </row>
    <row r="1530" spans="2:9" ht="14" x14ac:dyDescent="0.15">
      <c r="B1530" s="83"/>
      <c r="C1530" s="11"/>
      <c r="D1530" s="1"/>
      <c r="E1530" s="155"/>
      <c r="F1530" s="155"/>
      <c r="G1530" s="155"/>
      <c r="H1530" s="155"/>
      <c r="I1530" s="171"/>
    </row>
    <row r="1531" spans="2:9" x14ac:dyDescent="0.15">
      <c r="B1531" s="11"/>
      <c r="C1531" s="11"/>
      <c r="D1531" s="1"/>
      <c r="E1531" s="155"/>
      <c r="F1531" s="155"/>
      <c r="G1531" s="155"/>
      <c r="H1531" s="155"/>
      <c r="I1531" s="171"/>
    </row>
    <row r="1532" spans="2:9" x14ac:dyDescent="0.15">
      <c r="B1532" s="11"/>
      <c r="C1532" s="11"/>
      <c r="D1532" s="1"/>
      <c r="E1532" s="155"/>
      <c r="F1532" s="155"/>
      <c r="G1532" s="155"/>
      <c r="H1532" s="155"/>
      <c r="I1532" s="171"/>
    </row>
    <row r="1533" spans="2:9" x14ac:dyDescent="0.15">
      <c r="B1533" s="11"/>
      <c r="C1533" s="11"/>
      <c r="D1533" s="1"/>
      <c r="E1533" s="155"/>
      <c r="F1533" s="155"/>
      <c r="G1533" s="155"/>
      <c r="H1533" s="155"/>
      <c r="I1533" s="171"/>
    </row>
    <row r="1534" spans="2:9" x14ac:dyDescent="0.15">
      <c r="B1534" s="11"/>
      <c r="C1534" s="11"/>
      <c r="D1534" s="1"/>
      <c r="E1534" s="155"/>
      <c r="F1534" s="155"/>
      <c r="G1534" s="155"/>
      <c r="H1534" s="155"/>
      <c r="I1534" s="171"/>
    </row>
    <row r="1535" spans="2:9" x14ac:dyDescent="0.15">
      <c r="B1535" s="11"/>
      <c r="C1535" s="11"/>
      <c r="D1535" s="1"/>
      <c r="E1535" s="155"/>
      <c r="F1535" s="155"/>
      <c r="G1535" s="155"/>
      <c r="H1535" s="155"/>
      <c r="I1535" s="171"/>
    </row>
    <row r="1536" spans="2:9" ht="14" thickBot="1" x14ac:dyDescent="0.2"/>
    <row r="1537" spans="2:9" ht="21" customHeight="1" x14ac:dyDescent="0.15">
      <c r="B1537" s="885" t="s">
        <v>874</v>
      </c>
      <c r="C1537" s="886"/>
      <c r="D1537" s="886"/>
      <c r="E1537" s="886"/>
      <c r="F1537" s="887"/>
      <c r="G1537" s="1"/>
      <c r="H1537" s="879" t="s">
        <v>20</v>
      </c>
      <c r="I1537" s="880"/>
    </row>
    <row r="1538" spans="2:9" ht="16.5" customHeight="1" x14ac:dyDescent="0.15">
      <c r="B1538" s="888" t="s">
        <v>875</v>
      </c>
      <c r="C1538" s="889"/>
      <c r="D1538" s="889"/>
      <c r="E1538" s="889"/>
      <c r="F1538" s="890"/>
      <c r="G1538" s="63"/>
      <c r="H1538" s="881"/>
      <c r="I1538" s="882"/>
    </row>
    <row r="1539" spans="2:9" ht="12.75" customHeight="1" x14ac:dyDescent="0.15">
      <c r="B1539" s="906" t="s">
        <v>876</v>
      </c>
      <c r="C1539" s="907"/>
      <c r="D1539" s="907"/>
      <c r="E1539" s="907"/>
      <c r="F1539" s="908"/>
      <c r="G1539" s="63"/>
      <c r="H1539" s="883"/>
      <c r="I1539" s="884"/>
    </row>
    <row r="1540" spans="2:9" ht="16.5" customHeight="1" thickBot="1" x14ac:dyDescent="0.2">
      <c r="B1540" s="909"/>
      <c r="C1540" s="910"/>
      <c r="D1540" s="910"/>
      <c r="E1540" s="910"/>
      <c r="F1540" s="911"/>
      <c r="G1540" s="1"/>
      <c r="H1540" s="873" t="s">
        <v>1625</v>
      </c>
      <c r="I1540" s="874"/>
    </row>
    <row r="1541" spans="2:9" ht="14" thickBot="1" x14ac:dyDescent="0.2">
      <c r="B1541" s="15"/>
      <c r="C1541" s="16"/>
      <c r="D1541" s="1"/>
      <c r="E1541" s="1"/>
      <c r="F1541" s="1"/>
      <c r="G1541" s="1"/>
      <c r="H1541" s="875"/>
      <c r="I1541" s="876"/>
    </row>
    <row r="1542" spans="2:9" ht="12.75" customHeight="1" x14ac:dyDescent="0.15">
      <c r="B1542" s="922" t="s">
        <v>836</v>
      </c>
      <c r="C1542" s="923"/>
      <c r="D1542" s="923"/>
      <c r="E1542" s="923"/>
      <c r="F1542" s="924"/>
      <c r="G1542" s="1"/>
      <c r="H1542" s="875"/>
      <c r="I1542" s="876"/>
    </row>
    <row r="1543" spans="2:9" ht="12.75" customHeight="1" x14ac:dyDescent="0.15">
      <c r="B1543" s="925"/>
      <c r="C1543" s="926"/>
      <c r="D1543" s="926"/>
      <c r="E1543" s="926"/>
      <c r="F1543" s="927"/>
      <c r="H1543" s="875"/>
      <c r="I1543" s="876"/>
    </row>
    <row r="1544" spans="2:9" ht="13.5" customHeight="1" x14ac:dyDescent="0.15">
      <c r="B1544" s="925"/>
      <c r="C1544" s="926"/>
      <c r="D1544" s="926"/>
      <c r="E1544" s="926"/>
      <c r="F1544" s="927"/>
      <c r="G1544" s="11"/>
      <c r="H1544" s="877"/>
      <c r="I1544" s="878"/>
    </row>
    <row r="1545" spans="2:9" ht="21.75" customHeight="1" thickBot="1" x14ac:dyDescent="0.2">
      <c r="B1545" s="928"/>
      <c r="C1545" s="929"/>
      <c r="D1545" s="929"/>
      <c r="E1545" s="929"/>
      <c r="F1545" s="930"/>
      <c r="H1545" s="64" t="s">
        <v>45</v>
      </c>
      <c r="I1545" s="17" t="s">
        <v>7</v>
      </c>
    </row>
    <row r="1546" spans="2:9" x14ac:dyDescent="0.15">
      <c r="B1546" s="18"/>
      <c r="C1546" s="18"/>
      <c r="D1546" s="1"/>
      <c r="E1546" s="18"/>
      <c r="F1546" s="18"/>
      <c r="G1546" s="18"/>
      <c r="H1546" s="18"/>
      <c r="I1546" s="1"/>
    </row>
    <row r="1547" spans="2:9" ht="14" thickBot="1" x14ac:dyDescent="0.2">
      <c r="B1547" s="12" t="s">
        <v>21</v>
      </c>
      <c r="C1547" s="12"/>
      <c r="D1547" s="1"/>
      <c r="E1547" s="1"/>
      <c r="F1547" s="1"/>
      <c r="G1547" s="1"/>
      <c r="H1547" s="1"/>
      <c r="I1547" s="1"/>
    </row>
    <row r="1548" spans="2:9" x14ac:dyDescent="0.15">
      <c r="B1548" s="903" t="s">
        <v>22</v>
      </c>
      <c r="C1548" s="904"/>
      <c r="D1548" s="905"/>
      <c r="E1548" s="209" t="s">
        <v>23</v>
      </c>
      <c r="F1548" s="19" t="s">
        <v>47</v>
      </c>
      <c r="G1548" s="209" t="s">
        <v>24</v>
      </c>
      <c r="H1548" s="208" t="s">
        <v>25</v>
      </c>
      <c r="I1548" s="43"/>
    </row>
    <row r="1549" spans="2:9" x14ac:dyDescent="0.15">
      <c r="B1549" s="897" t="s">
        <v>56</v>
      </c>
      <c r="C1549" s="898"/>
      <c r="D1549" s="899"/>
      <c r="E1549" s="5"/>
      <c r="F1549" s="162"/>
      <c r="G1549" s="58"/>
      <c r="H1549" s="162">
        <f>I1571*0.05</f>
        <v>1272.9156250000001</v>
      </c>
      <c r="I1549" s="44"/>
    </row>
    <row r="1550" spans="2:9" x14ac:dyDescent="0.15">
      <c r="B1550" s="897"/>
      <c r="C1550" s="898"/>
      <c r="D1550" s="899"/>
      <c r="E1550" s="5"/>
      <c r="F1550" s="46"/>
      <c r="G1550" s="20"/>
      <c r="H1550" s="56"/>
      <c r="I1550" s="44"/>
    </row>
    <row r="1551" spans="2:9" ht="14" thickBot="1" x14ac:dyDescent="0.2">
      <c r="B1551" s="900"/>
      <c r="C1551" s="901"/>
      <c r="D1551" s="902"/>
      <c r="E1551" s="21"/>
      <c r="F1551" s="22"/>
      <c r="G1551" s="23"/>
      <c r="H1551" s="47"/>
      <c r="I1551" s="48"/>
    </row>
    <row r="1552" spans="2:9" ht="14" thickBot="1" x14ac:dyDescent="0.2">
      <c r="B1552" s="1"/>
      <c r="C1552" s="1"/>
      <c r="D1552" s="1"/>
      <c r="E1552" s="1"/>
      <c r="F1552" s="1"/>
      <c r="G1552" s="1"/>
      <c r="H1552" s="37" t="s">
        <v>26</v>
      </c>
      <c r="I1552" s="163">
        <f>SUM(H1549:H1551)</f>
        <v>1272.9156250000001</v>
      </c>
    </row>
    <row r="1553" spans="2:13" ht="14" thickBot="1" x14ac:dyDescent="0.2">
      <c r="B1553" s="12" t="s">
        <v>27</v>
      </c>
      <c r="C1553" s="12"/>
      <c r="D1553" s="1"/>
      <c r="E1553" s="1"/>
      <c r="F1553" s="1"/>
      <c r="G1553" s="1"/>
      <c r="H1553" s="1"/>
      <c r="I1553" s="1"/>
    </row>
    <row r="1554" spans="2:13" x14ac:dyDescent="0.15">
      <c r="B1554" s="903" t="s">
        <v>22</v>
      </c>
      <c r="C1554" s="904"/>
      <c r="D1554" s="905"/>
      <c r="E1554" s="209" t="s">
        <v>28</v>
      </c>
      <c r="F1554" s="209" t="s">
        <v>29</v>
      </c>
      <c r="G1554" s="209" t="s">
        <v>30</v>
      </c>
      <c r="H1554" s="208" t="s">
        <v>25</v>
      </c>
      <c r="I1554" s="43"/>
    </row>
    <row r="1555" spans="2:13" x14ac:dyDescent="0.15">
      <c r="B1555" s="4" t="s">
        <v>557</v>
      </c>
      <c r="C1555" s="24"/>
      <c r="D1555" s="6"/>
      <c r="E1555" s="3" t="s">
        <v>58</v>
      </c>
      <c r="F1555" s="166">
        <f>'APU -BASICOS'!H204</f>
        <v>9182</v>
      </c>
      <c r="G1555" s="73">
        <v>7.2</v>
      </c>
      <c r="H1555" s="165">
        <f>G1555*F1555</f>
        <v>66110.400000000009</v>
      </c>
      <c r="I1555" s="44"/>
    </row>
    <row r="1556" spans="2:13" x14ac:dyDescent="0.15">
      <c r="B1556" s="4" t="s">
        <v>558</v>
      </c>
      <c r="C1556" s="24"/>
      <c r="D1556" s="6"/>
      <c r="E1556" s="3" t="s">
        <v>58</v>
      </c>
      <c r="F1556" s="166">
        <f>'APU -BASICOS'!H260</f>
        <v>9182</v>
      </c>
      <c r="G1556" s="73">
        <f>1.2*5*0.56</f>
        <v>3.3600000000000003</v>
      </c>
      <c r="H1556" s="165">
        <f>G1556*F1556</f>
        <v>30851.520000000004</v>
      </c>
      <c r="I1556" s="44"/>
    </row>
    <row r="1557" spans="2:13" x14ac:dyDescent="0.15">
      <c r="B1557" s="4" t="s">
        <v>63</v>
      </c>
      <c r="C1557" s="24"/>
      <c r="D1557" s="6"/>
      <c r="E1557" s="3" t="s">
        <v>6</v>
      </c>
      <c r="F1557" s="164">
        <f>'APU -BASICOS'!H96</f>
        <v>555217</v>
      </c>
      <c r="G1557" s="73">
        <f>0.3*0.3*1</f>
        <v>0.09</v>
      </c>
      <c r="H1557" s="165">
        <f>G1557*F1557</f>
        <v>49969.53</v>
      </c>
      <c r="I1557" s="44"/>
    </row>
    <row r="1558" spans="2:13" ht="14" thickBot="1" x14ac:dyDescent="0.2">
      <c r="B1558" s="25"/>
      <c r="C1558" s="26"/>
      <c r="D1558" s="27"/>
      <c r="E1558" s="21"/>
      <c r="F1558" s="22"/>
      <c r="G1558" s="167"/>
      <c r="H1558" s="47"/>
      <c r="I1558" s="48"/>
      <c r="K1558" s="233"/>
      <c r="M1558" s="233"/>
    </row>
    <row r="1559" spans="2:13" ht="14" thickBot="1" x14ac:dyDescent="0.2">
      <c r="B1559" s="1"/>
      <c r="C1559" s="1"/>
      <c r="D1559" s="1"/>
      <c r="E1559" s="1"/>
      <c r="F1559" s="1"/>
      <c r="G1559" s="1"/>
      <c r="H1559" s="37" t="s">
        <v>26</v>
      </c>
      <c r="I1559" s="163">
        <f>SUM(H1555:H1557)</f>
        <v>146931.45000000001</v>
      </c>
    </row>
    <row r="1560" spans="2:13" ht="14" thickBot="1" x14ac:dyDescent="0.2">
      <c r="B1560" s="28" t="s">
        <v>31</v>
      </c>
      <c r="C1560" s="28"/>
      <c r="D1560" s="26"/>
      <c r="E1560" s="1"/>
      <c r="F1560" s="1"/>
      <c r="G1560" s="1"/>
      <c r="H1560" s="1"/>
      <c r="I1560" s="1"/>
    </row>
    <row r="1561" spans="2:13" x14ac:dyDescent="0.15">
      <c r="B1561" s="51" t="s">
        <v>32</v>
      </c>
      <c r="C1561" s="52"/>
      <c r="D1561" s="97" t="s">
        <v>33</v>
      </c>
      <c r="E1561" s="209" t="s">
        <v>34</v>
      </c>
      <c r="F1561" s="209" t="s">
        <v>35</v>
      </c>
      <c r="G1561" s="209" t="s">
        <v>36</v>
      </c>
      <c r="H1561" s="59" t="s">
        <v>25</v>
      </c>
      <c r="I1561" s="43"/>
    </row>
    <row r="1562" spans="2:13" x14ac:dyDescent="0.15">
      <c r="B1562" s="4"/>
      <c r="C1562" s="24"/>
      <c r="D1562" s="60"/>
      <c r="E1562" s="2"/>
      <c r="F1562" s="2"/>
      <c r="G1562" s="162"/>
      <c r="H1562" s="55"/>
      <c r="I1562" s="44"/>
      <c r="K1562" s="106"/>
    </row>
    <row r="1563" spans="2:13" x14ac:dyDescent="0.15">
      <c r="B1563" s="107"/>
      <c r="C1563" s="66"/>
      <c r="D1563" s="67"/>
      <c r="E1563" s="68"/>
      <c r="F1563" s="68"/>
      <c r="G1563" s="69"/>
      <c r="H1563" s="65"/>
      <c r="I1563" s="44"/>
    </row>
    <row r="1564" spans="2:13" ht="14" thickBot="1" x14ac:dyDescent="0.2">
      <c r="B1564" s="33"/>
      <c r="C1564" s="54"/>
      <c r="D1564" s="21"/>
      <c r="E1564" s="22"/>
      <c r="F1564" s="23"/>
      <c r="G1564" s="47"/>
      <c r="H1564" s="21"/>
      <c r="I1564" s="48"/>
    </row>
    <row r="1565" spans="2:13" ht="14" thickBot="1" x14ac:dyDescent="0.2">
      <c r="B1565" s="1"/>
      <c r="C1565" s="1"/>
      <c r="D1565" s="1"/>
      <c r="E1565" s="1"/>
      <c r="F1565" s="1"/>
      <c r="G1565" s="1"/>
      <c r="H1565" s="37" t="s">
        <v>26</v>
      </c>
      <c r="I1565" s="163">
        <f>SUM(H1562:H1564)</f>
        <v>0</v>
      </c>
    </row>
    <row r="1566" spans="2:13" ht="14" thickBot="1" x14ac:dyDescent="0.2">
      <c r="B1566" s="28" t="s">
        <v>37</v>
      </c>
      <c r="C1566" s="28"/>
      <c r="D1566" s="1"/>
      <c r="E1566" s="1"/>
      <c r="F1566" s="1"/>
      <c r="G1566" s="1"/>
      <c r="H1566" s="1"/>
      <c r="I1566" s="1"/>
    </row>
    <row r="1567" spans="2:13" x14ac:dyDescent="0.15">
      <c r="B1567" s="51" t="s">
        <v>38</v>
      </c>
      <c r="C1567" s="86"/>
      <c r="D1567" s="31" t="s">
        <v>39</v>
      </c>
      <c r="E1567" s="209" t="s">
        <v>40</v>
      </c>
      <c r="F1567" s="19" t="s">
        <v>41</v>
      </c>
      <c r="G1567" s="31" t="s">
        <v>24</v>
      </c>
      <c r="H1567" s="208" t="s">
        <v>25</v>
      </c>
      <c r="I1567" s="43"/>
      <c r="K1567" s="106"/>
    </row>
    <row r="1568" spans="2:13" x14ac:dyDescent="0.15">
      <c r="B1568" s="4" t="s">
        <v>65</v>
      </c>
      <c r="C1568" s="24"/>
      <c r="D1568" s="32">
        <f>'MANO DE OBRA'!E15</f>
        <v>95333</v>
      </c>
      <c r="E1568" s="88">
        <v>1.75</v>
      </c>
      <c r="F1568" s="164">
        <f>+E1568*D1568</f>
        <v>166832.75</v>
      </c>
      <c r="G1568" s="20">
        <v>28</v>
      </c>
      <c r="H1568" s="169">
        <f>+F1568/G1568</f>
        <v>5958.3125</v>
      </c>
      <c r="I1568" s="44"/>
    </row>
    <row r="1569" spans="2:11" x14ac:dyDescent="0.15">
      <c r="B1569" s="4" t="s">
        <v>94</v>
      </c>
      <c r="C1569" s="24"/>
      <c r="D1569" s="32">
        <f>'MANO DE OBRA'!E14*6</f>
        <v>312000</v>
      </c>
      <c r="E1569" s="88">
        <v>1.75</v>
      </c>
      <c r="F1569" s="164">
        <f>+E1569*D1569</f>
        <v>546000</v>
      </c>
      <c r="G1569" s="20">
        <v>28</v>
      </c>
      <c r="H1569" s="169">
        <f>+F1569/G1569</f>
        <v>19500</v>
      </c>
      <c r="I1569" s="44"/>
    </row>
    <row r="1570" spans="2:11" ht="14" thickBot="1" x14ac:dyDescent="0.2">
      <c r="B1570" s="33"/>
      <c r="C1570" s="34"/>
      <c r="D1570" s="22"/>
      <c r="E1570" s="21"/>
      <c r="F1570" s="22"/>
      <c r="G1570" s="23"/>
      <c r="H1570" s="47"/>
      <c r="I1570" s="48"/>
      <c r="K1570" s="106"/>
    </row>
    <row r="1571" spans="2:11" ht="14" thickBot="1" x14ac:dyDescent="0.2">
      <c r="B1571" s="1"/>
      <c r="C1571" s="1"/>
      <c r="D1571" s="1"/>
      <c r="E1571" s="1"/>
      <c r="F1571" s="1"/>
      <c r="G1571" s="1"/>
      <c r="H1571" s="37" t="s">
        <v>26</v>
      </c>
      <c r="I1571" s="177">
        <f>SUM(H1568:H1570)</f>
        <v>25458.3125</v>
      </c>
    </row>
    <row r="1572" spans="2:11" ht="14" thickBot="1" x14ac:dyDescent="0.2">
      <c r="B1572" s="1"/>
      <c r="C1572" s="1"/>
      <c r="D1572" s="1"/>
      <c r="E1572" s="1"/>
      <c r="F1572" s="1"/>
      <c r="G1572" s="1"/>
      <c r="H1572" s="61"/>
      <c r="I1572" s="1"/>
    </row>
    <row r="1573" spans="2:11" ht="15" thickBot="1" x14ac:dyDescent="0.2">
      <c r="B1573" s="1"/>
      <c r="C1573" s="1"/>
      <c r="D1573" s="1"/>
      <c r="E1573" s="1"/>
      <c r="F1573" s="35" t="s">
        <v>43</v>
      </c>
      <c r="G1573" s="16"/>
      <c r="H1573" s="16"/>
      <c r="I1573" s="232">
        <f>ROUND((I1552+I1559+I1565+I1571),0)</f>
        <v>173663</v>
      </c>
    </row>
    <row r="1574" spans="2:11" x14ac:dyDescent="0.15">
      <c r="B1574" s="12"/>
      <c r="C1574" s="12"/>
      <c r="D1574" s="1"/>
      <c r="E1574" s="1"/>
      <c r="F1574" s="1"/>
      <c r="G1574" s="1"/>
      <c r="H1574" s="172"/>
      <c r="I1574" s="172"/>
    </row>
    <row r="1575" spans="2:11" x14ac:dyDescent="0.15">
      <c r="B1575" s="16"/>
      <c r="C1575" s="16"/>
      <c r="D1575" s="16"/>
      <c r="E1575" s="16"/>
      <c r="F1575" s="16"/>
      <c r="G1575" s="61"/>
      <c r="H1575" s="173"/>
      <c r="I1575" s="172"/>
    </row>
    <row r="1576" spans="2:11" x14ac:dyDescent="0.15">
      <c r="B1576" s="1"/>
      <c r="C1576" s="1"/>
      <c r="D1576" s="1"/>
      <c r="E1576" s="1"/>
      <c r="F1576" s="1"/>
      <c r="G1576" s="161"/>
      <c r="H1576" s="172"/>
      <c r="I1576" s="172"/>
    </row>
    <row r="1577" spans="2:11" x14ac:dyDescent="0.15">
      <c r="B1577" s="1"/>
      <c r="C1577" s="1"/>
      <c r="D1577" s="1"/>
      <c r="E1577" s="1"/>
      <c r="F1577" s="1"/>
      <c r="G1577" s="161"/>
      <c r="H1577" s="172"/>
      <c r="I1577" s="172"/>
    </row>
    <row r="1578" spans="2:11" x14ac:dyDescent="0.15">
      <c r="B1578" s="1"/>
      <c r="C1578" s="1"/>
      <c r="D1578" s="1"/>
      <c r="E1578" s="1"/>
      <c r="F1578" s="1"/>
      <c r="G1578" s="161"/>
      <c r="H1578" s="172"/>
      <c r="I1578" s="172"/>
    </row>
    <row r="1579" spans="2:11" x14ac:dyDescent="0.15">
      <c r="B1579" s="1"/>
      <c r="C1579" s="1"/>
      <c r="D1579" s="1"/>
      <c r="E1579" s="1"/>
      <c r="F1579" s="1"/>
      <c r="G1579" s="1"/>
      <c r="H1579" s="37"/>
      <c r="I1579" s="172"/>
    </row>
    <row r="1580" spans="2:11" ht="14" x14ac:dyDescent="0.15">
      <c r="B1580" s="102"/>
      <c r="C1580" s="1"/>
      <c r="D1580" s="1"/>
      <c r="E1580" s="1"/>
      <c r="F1580" s="1"/>
      <c r="G1580" s="1"/>
      <c r="H1580" s="1"/>
      <c r="I1580" s="172"/>
    </row>
    <row r="1581" spans="2:11" ht="14" x14ac:dyDescent="0.15">
      <c r="B1581" s="83"/>
      <c r="C1581" s="11"/>
      <c r="D1581" s="1"/>
      <c r="E1581" s="916"/>
      <c r="F1581" s="916"/>
      <c r="G1581" s="916"/>
      <c r="H1581" s="916"/>
      <c r="I1581" s="171"/>
    </row>
    <row r="1582" spans="2:11" ht="14" x14ac:dyDescent="0.15">
      <c r="B1582" s="102"/>
      <c r="C1582" s="11"/>
      <c r="D1582" s="1"/>
      <c r="E1582" s="155"/>
      <c r="F1582" s="155"/>
      <c r="G1582" s="155"/>
      <c r="H1582" s="155"/>
      <c r="I1582" s="171"/>
    </row>
    <row r="1583" spans="2:11" ht="14" x14ac:dyDescent="0.15">
      <c r="B1583" s="83"/>
      <c r="C1583" s="11"/>
      <c r="D1583" s="1"/>
      <c r="E1583" s="155"/>
      <c r="F1583" s="155"/>
      <c r="G1583" s="155"/>
      <c r="H1583" s="155"/>
      <c r="I1583" s="171"/>
    </row>
    <row r="1584" spans="2:11" x14ac:dyDescent="0.15">
      <c r="B1584" s="11"/>
      <c r="C1584" s="11"/>
      <c r="D1584" s="1"/>
      <c r="E1584" s="155"/>
      <c r="F1584" s="155"/>
      <c r="G1584" s="155"/>
      <c r="H1584" s="155"/>
      <c r="I1584" s="171"/>
    </row>
    <row r="1585" spans="2:10" x14ac:dyDescent="0.15">
      <c r="B1585" s="11"/>
      <c r="C1585" s="11"/>
      <c r="D1585" s="1"/>
      <c r="E1585" s="155"/>
      <c r="F1585" s="155"/>
      <c r="G1585" s="155"/>
      <c r="H1585" s="155"/>
      <c r="I1585" s="171"/>
    </row>
    <row r="1586" spans="2:10" x14ac:dyDescent="0.15">
      <c r="B1586" s="11"/>
      <c r="C1586" s="11"/>
      <c r="D1586" s="1"/>
      <c r="E1586" s="155"/>
      <c r="F1586" s="155"/>
      <c r="G1586" s="155"/>
      <c r="H1586" s="155"/>
      <c r="I1586" s="171"/>
    </row>
    <row r="1587" spans="2:10" x14ac:dyDescent="0.15">
      <c r="B1587" s="11"/>
      <c r="C1587" s="11"/>
      <c r="D1587" s="1"/>
      <c r="E1587" s="155"/>
      <c r="F1587" s="155"/>
      <c r="G1587" s="155"/>
      <c r="H1587" s="155"/>
      <c r="I1587" s="171"/>
    </row>
    <row r="1588" spans="2:10" x14ac:dyDescent="0.15">
      <c r="B1588" s="11"/>
      <c r="C1588" s="11"/>
      <c r="D1588" s="1"/>
      <c r="E1588" s="155"/>
      <c r="F1588" s="155"/>
      <c r="G1588" s="155"/>
      <c r="H1588" s="155"/>
      <c r="I1588" s="171"/>
    </row>
    <row r="1589" spans="2:10" ht="14" x14ac:dyDescent="0.15">
      <c r="B1589" s="102"/>
      <c r="C1589" s="83"/>
      <c r="D1589" s="84"/>
      <c r="E1589" s="83"/>
      <c r="F1589" s="83"/>
      <c r="G1589" s="103"/>
      <c r="H1589" s="83"/>
      <c r="I1589" s="85"/>
      <c r="J1589" s="85"/>
    </row>
    <row r="1590" spans="2:10" ht="14" x14ac:dyDescent="0.15">
      <c r="B1590" s="83"/>
      <c r="C1590" s="83"/>
      <c r="D1590" s="84"/>
      <c r="E1590" s="83"/>
      <c r="F1590" s="83"/>
      <c r="G1590" s="104"/>
      <c r="H1590" s="83"/>
      <c r="I1590" s="85"/>
      <c r="J1590" s="85"/>
    </row>
    <row r="1591" spans="2:10" ht="14" x14ac:dyDescent="0.15">
      <c r="B1591" s="83"/>
      <c r="C1591" s="83"/>
      <c r="D1591" s="84"/>
      <c r="E1591" s="83"/>
      <c r="F1591" s="83"/>
      <c r="G1591" s="104"/>
      <c r="H1591" s="83"/>
      <c r="I1591" s="85"/>
      <c r="J1591" s="85"/>
    </row>
    <row r="1592" spans="2:10" ht="14" thickBot="1" x14ac:dyDescent="0.2">
      <c r="B1592" s="11"/>
      <c r="C1592" s="11"/>
      <c r="D1592" s="1"/>
      <c r="E1592" s="155"/>
      <c r="F1592" s="155"/>
      <c r="G1592" s="155"/>
      <c r="H1592" s="155"/>
      <c r="I1592" s="171"/>
    </row>
    <row r="1593" spans="2:10" ht="21" customHeight="1" x14ac:dyDescent="0.15">
      <c r="B1593" s="885" t="s">
        <v>874</v>
      </c>
      <c r="C1593" s="886"/>
      <c r="D1593" s="886"/>
      <c r="E1593" s="886"/>
      <c r="F1593" s="887"/>
      <c r="G1593" s="1"/>
      <c r="H1593" s="879" t="s">
        <v>20</v>
      </c>
      <c r="I1593" s="880"/>
    </row>
    <row r="1594" spans="2:10" ht="16.5" customHeight="1" x14ac:dyDescent="0.15">
      <c r="B1594" s="888" t="s">
        <v>875</v>
      </c>
      <c r="C1594" s="889"/>
      <c r="D1594" s="889"/>
      <c r="E1594" s="889"/>
      <c r="F1594" s="890"/>
      <c r="G1594" s="63"/>
      <c r="H1594" s="881"/>
      <c r="I1594" s="882"/>
    </row>
    <row r="1595" spans="2:10" ht="12.75" customHeight="1" x14ac:dyDescent="0.15">
      <c r="B1595" s="906" t="s">
        <v>876</v>
      </c>
      <c r="C1595" s="907"/>
      <c r="D1595" s="907"/>
      <c r="E1595" s="907"/>
      <c r="F1595" s="908"/>
      <c r="G1595" s="63"/>
      <c r="H1595" s="883"/>
      <c r="I1595" s="884"/>
    </row>
    <row r="1596" spans="2:10" ht="16.5" customHeight="1" thickBot="1" x14ac:dyDescent="0.2">
      <c r="B1596" s="909"/>
      <c r="C1596" s="910"/>
      <c r="D1596" s="910"/>
      <c r="E1596" s="910"/>
      <c r="F1596" s="911"/>
      <c r="G1596" s="1"/>
      <c r="H1596" s="873" t="s">
        <v>1556</v>
      </c>
      <c r="I1596" s="874"/>
    </row>
    <row r="1597" spans="2:10" ht="14" thickBot="1" x14ac:dyDescent="0.2">
      <c r="B1597" s="15"/>
      <c r="C1597" s="16"/>
      <c r="D1597" s="1"/>
      <c r="E1597" s="1"/>
      <c r="F1597" s="1"/>
      <c r="G1597" s="1"/>
      <c r="H1597" s="875"/>
      <c r="I1597" s="876"/>
    </row>
    <row r="1598" spans="2:10" ht="12.75" customHeight="1" x14ac:dyDescent="0.15">
      <c r="B1598" s="922" t="s">
        <v>836</v>
      </c>
      <c r="C1598" s="923"/>
      <c r="D1598" s="923"/>
      <c r="E1598" s="923"/>
      <c r="F1598" s="924"/>
      <c r="G1598" s="1"/>
      <c r="H1598" s="875"/>
      <c r="I1598" s="876"/>
    </row>
    <row r="1599" spans="2:10" ht="12.75" customHeight="1" x14ac:dyDescent="0.15">
      <c r="B1599" s="925"/>
      <c r="C1599" s="926"/>
      <c r="D1599" s="926"/>
      <c r="E1599" s="926"/>
      <c r="F1599" s="927"/>
      <c r="H1599" s="875"/>
      <c r="I1599" s="876"/>
    </row>
    <row r="1600" spans="2:10" ht="13.5" customHeight="1" x14ac:dyDescent="0.15">
      <c r="B1600" s="925"/>
      <c r="C1600" s="926"/>
      <c r="D1600" s="926"/>
      <c r="E1600" s="926"/>
      <c r="F1600" s="927"/>
      <c r="G1600" s="11"/>
      <c r="H1600" s="877"/>
      <c r="I1600" s="878"/>
    </row>
    <row r="1601" spans="2:11" ht="21.75" customHeight="1" thickBot="1" x14ac:dyDescent="0.2">
      <c r="B1601" s="928"/>
      <c r="C1601" s="929"/>
      <c r="D1601" s="929"/>
      <c r="E1601" s="929"/>
      <c r="F1601" s="930"/>
      <c r="H1601" s="64" t="s">
        <v>45</v>
      </c>
      <c r="I1601" s="17" t="s">
        <v>7</v>
      </c>
    </row>
    <row r="1602" spans="2:11" x14ac:dyDescent="0.15">
      <c r="B1602" s="18"/>
      <c r="C1602" s="18"/>
      <c r="D1602" s="1"/>
      <c r="E1602" s="18"/>
      <c r="F1602" s="18"/>
      <c r="G1602" s="18"/>
      <c r="H1602" s="18"/>
      <c r="I1602" s="1"/>
    </row>
    <row r="1603" spans="2:11" ht="14" thickBot="1" x14ac:dyDescent="0.2">
      <c r="B1603" s="12" t="s">
        <v>21</v>
      </c>
      <c r="C1603" s="12"/>
      <c r="D1603" s="1"/>
      <c r="E1603" s="1"/>
      <c r="F1603" s="1"/>
      <c r="G1603" s="1"/>
      <c r="H1603" s="1"/>
      <c r="I1603" s="1"/>
    </row>
    <row r="1604" spans="2:11" x14ac:dyDescent="0.15">
      <c r="B1604" s="903" t="s">
        <v>22</v>
      </c>
      <c r="C1604" s="904"/>
      <c r="D1604" s="905"/>
      <c r="E1604" s="209" t="s">
        <v>23</v>
      </c>
      <c r="F1604" s="19" t="s">
        <v>47</v>
      </c>
      <c r="G1604" s="209" t="s">
        <v>24</v>
      </c>
      <c r="H1604" s="208" t="s">
        <v>25</v>
      </c>
      <c r="I1604" s="43"/>
    </row>
    <row r="1605" spans="2:11" x14ac:dyDescent="0.15">
      <c r="B1605" s="897" t="s">
        <v>56</v>
      </c>
      <c r="C1605" s="898"/>
      <c r="D1605" s="899"/>
      <c r="E1605" s="5"/>
      <c r="F1605" s="162"/>
      <c r="G1605" s="58"/>
      <c r="H1605" s="162">
        <f>I1627*0.05</f>
        <v>1272.9156250000001</v>
      </c>
      <c r="I1605" s="44"/>
    </row>
    <row r="1606" spans="2:11" x14ac:dyDescent="0.15">
      <c r="B1606" s="897" t="s">
        <v>630</v>
      </c>
      <c r="C1606" s="898"/>
      <c r="D1606" s="899"/>
      <c r="E1606" s="5"/>
      <c r="F1606" s="162">
        <f>'HERRAMIENTAS Y EQUIPOS'!C24*2</f>
        <v>9000</v>
      </c>
      <c r="G1606" s="58">
        <v>28</v>
      </c>
      <c r="H1606" s="162">
        <f>F1606/G1606</f>
        <v>321.42857142857144</v>
      </c>
      <c r="I1606" s="44"/>
    </row>
    <row r="1607" spans="2:11" ht="14" thickBot="1" x14ac:dyDescent="0.2">
      <c r="B1607" s="900"/>
      <c r="C1607" s="901"/>
      <c r="D1607" s="902"/>
      <c r="E1607" s="21"/>
      <c r="F1607" s="22"/>
      <c r="G1607" s="23"/>
      <c r="H1607" s="47"/>
      <c r="I1607" s="48"/>
    </row>
    <row r="1608" spans="2:11" ht="14" thickBot="1" x14ac:dyDescent="0.2">
      <c r="B1608" s="1"/>
      <c r="C1608" s="1"/>
      <c r="D1608" s="1"/>
      <c r="E1608" s="1"/>
      <c r="F1608" s="1"/>
      <c r="G1608" s="1"/>
      <c r="H1608" s="37" t="s">
        <v>26</v>
      </c>
      <c r="I1608" s="163">
        <f>SUM(H1605:H1607)</f>
        <v>1594.3441964285716</v>
      </c>
    </row>
    <row r="1609" spans="2:11" ht="14" thickBot="1" x14ac:dyDescent="0.2">
      <c r="B1609" s="12" t="s">
        <v>27</v>
      </c>
      <c r="C1609" s="12"/>
      <c r="D1609" s="1"/>
      <c r="E1609" s="1"/>
      <c r="F1609" s="1"/>
      <c r="G1609" s="1"/>
      <c r="H1609" s="1"/>
      <c r="I1609" s="1"/>
    </row>
    <row r="1610" spans="2:11" x14ac:dyDescent="0.15">
      <c r="B1610" s="903" t="s">
        <v>22</v>
      </c>
      <c r="C1610" s="904"/>
      <c r="D1610" s="905"/>
      <c r="E1610" s="209" t="s">
        <v>28</v>
      </c>
      <c r="F1610" s="209" t="s">
        <v>29</v>
      </c>
      <c r="G1610" s="209" t="s">
        <v>30</v>
      </c>
      <c r="H1610" s="208" t="s">
        <v>25</v>
      </c>
      <c r="I1610" s="43"/>
    </row>
    <row r="1611" spans="2:11" x14ac:dyDescent="0.15">
      <c r="B1611" s="4" t="s">
        <v>557</v>
      </c>
      <c r="C1611" s="24"/>
      <c r="D1611" s="6"/>
      <c r="E1611" s="3" t="s">
        <v>58</v>
      </c>
      <c r="F1611" s="166">
        <f>'APU -BASICOS'!H204</f>
        <v>9182</v>
      </c>
      <c r="G1611" s="73">
        <f>4.8*1*0.56</f>
        <v>2.6880000000000002</v>
      </c>
      <c r="H1611" s="165">
        <f>G1611*F1611</f>
        <v>24681.216</v>
      </c>
      <c r="I1611" s="44"/>
    </row>
    <row r="1612" spans="2:11" x14ac:dyDescent="0.15">
      <c r="B1612" s="4" t="s">
        <v>558</v>
      </c>
      <c r="C1612" s="24"/>
      <c r="D1612" s="6"/>
      <c r="E1612" s="3" t="s">
        <v>58</v>
      </c>
      <c r="F1612" s="166">
        <f>'APU -BASICOS'!H260</f>
        <v>9182</v>
      </c>
      <c r="G1612" s="73">
        <f>1*7*0.56</f>
        <v>3.9200000000000004</v>
      </c>
      <c r="H1612" s="165">
        <f>G1612*F1612</f>
        <v>35993.440000000002</v>
      </c>
      <c r="I1612" s="44"/>
    </row>
    <row r="1613" spans="2:11" x14ac:dyDescent="0.15">
      <c r="B1613" s="4" t="s">
        <v>63</v>
      </c>
      <c r="C1613" s="24"/>
      <c r="D1613" s="6"/>
      <c r="E1613" s="3" t="s">
        <v>6</v>
      </c>
      <c r="F1613" s="164">
        <f>'APU -BASICOS'!H96</f>
        <v>555217</v>
      </c>
      <c r="G1613" s="73">
        <f>0.25*0.25*1</f>
        <v>6.25E-2</v>
      </c>
      <c r="H1613" s="165">
        <f>G1613*F1613</f>
        <v>34701.0625</v>
      </c>
      <c r="I1613" s="44"/>
    </row>
    <row r="1614" spans="2:11" ht="14" thickBot="1" x14ac:dyDescent="0.2">
      <c r="B1614" s="25"/>
      <c r="C1614" s="26"/>
      <c r="D1614" s="27"/>
      <c r="E1614" s="21"/>
      <c r="F1614" s="22"/>
      <c r="G1614" s="167"/>
      <c r="H1614" s="47"/>
      <c r="I1614" s="48"/>
      <c r="K1614" s="233"/>
    </row>
    <row r="1615" spans="2:11" ht="14" thickBot="1" x14ac:dyDescent="0.2">
      <c r="B1615" s="1"/>
      <c r="C1615" s="1"/>
      <c r="D1615" s="1"/>
      <c r="E1615" s="1"/>
      <c r="F1615" s="1"/>
      <c r="G1615" s="1"/>
      <c r="H1615" s="37" t="s">
        <v>26</v>
      </c>
      <c r="I1615" s="163">
        <f>SUM(H1611:H1613)</f>
        <v>95375.718500000003</v>
      </c>
    </row>
    <row r="1616" spans="2:11" ht="14" thickBot="1" x14ac:dyDescent="0.2">
      <c r="B1616" s="28" t="s">
        <v>31</v>
      </c>
      <c r="C1616" s="28"/>
      <c r="D1616" s="26"/>
      <c r="E1616" s="1"/>
      <c r="F1616" s="1"/>
      <c r="G1616" s="1"/>
      <c r="H1616" s="1"/>
      <c r="I1616" s="1"/>
    </row>
    <row r="1617" spans="2:13" x14ac:dyDescent="0.15">
      <c r="B1617" s="51" t="s">
        <v>32</v>
      </c>
      <c r="C1617" s="52"/>
      <c r="D1617" s="97" t="s">
        <v>33</v>
      </c>
      <c r="E1617" s="209" t="s">
        <v>34</v>
      </c>
      <c r="F1617" s="209" t="s">
        <v>35</v>
      </c>
      <c r="G1617" s="209" t="s">
        <v>36</v>
      </c>
      <c r="H1617" s="59" t="s">
        <v>25</v>
      </c>
      <c r="I1617" s="43"/>
    </row>
    <row r="1618" spans="2:13" x14ac:dyDescent="0.15">
      <c r="B1618" s="4"/>
      <c r="C1618" s="24"/>
      <c r="D1618" s="60"/>
      <c r="E1618" s="2"/>
      <c r="F1618" s="2"/>
      <c r="G1618" s="162"/>
      <c r="H1618" s="55"/>
      <c r="I1618" s="44"/>
      <c r="K1618" s="106"/>
      <c r="M1618" s="233"/>
    </row>
    <row r="1619" spans="2:13" x14ac:dyDescent="0.15">
      <c r="B1619" s="107"/>
      <c r="C1619" s="66"/>
      <c r="D1619" s="67"/>
      <c r="E1619" s="68"/>
      <c r="F1619" s="68"/>
      <c r="G1619" s="69"/>
      <c r="H1619" s="65"/>
      <c r="I1619" s="44"/>
    </row>
    <row r="1620" spans="2:13" ht="14" thickBot="1" x14ac:dyDescent="0.2">
      <c r="B1620" s="33"/>
      <c r="C1620" s="54"/>
      <c r="D1620" s="21"/>
      <c r="E1620" s="22"/>
      <c r="F1620" s="23"/>
      <c r="G1620" s="47"/>
      <c r="H1620" s="21"/>
      <c r="I1620" s="48"/>
      <c r="M1620" s="106"/>
    </row>
    <row r="1621" spans="2:13" ht="14" thickBot="1" x14ac:dyDescent="0.2">
      <c r="B1621" s="1"/>
      <c r="C1621" s="1"/>
      <c r="D1621" s="1"/>
      <c r="E1621" s="1"/>
      <c r="F1621" s="1"/>
      <c r="G1621" s="1"/>
      <c r="H1621" s="37" t="s">
        <v>26</v>
      </c>
      <c r="I1621" s="163">
        <f>SUM(H1618:H1620)</f>
        <v>0</v>
      </c>
    </row>
    <row r="1622" spans="2:13" ht="14" thickBot="1" x14ac:dyDescent="0.2">
      <c r="B1622" s="28" t="s">
        <v>37</v>
      </c>
      <c r="C1622" s="28"/>
      <c r="D1622" s="1"/>
      <c r="E1622" s="1"/>
      <c r="F1622" s="1"/>
      <c r="G1622" s="1"/>
      <c r="H1622" s="1"/>
      <c r="I1622" s="1"/>
    </row>
    <row r="1623" spans="2:13" x14ac:dyDescent="0.15">
      <c r="B1623" s="51" t="s">
        <v>38</v>
      </c>
      <c r="C1623" s="86"/>
      <c r="D1623" s="31" t="s">
        <v>39</v>
      </c>
      <c r="E1623" s="209" t="s">
        <v>40</v>
      </c>
      <c r="F1623" s="19" t="s">
        <v>41</v>
      </c>
      <c r="G1623" s="31" t="s">
        <v>24</v>
      </c>
      <c r="H1623" s="208" t="s">
        <v>25</v>
      </c>
      <c r="I1623" s="43"/>
      <c r="K1623" s="106"/>
    </row>
    <row r="1624" spans="2:13" x14ac:dyDescent="0.15">
      <c r="B1624" s="4" t="s">
        <v>65</v>
      </c>
      <c r="C1624" s="24"/>
      <c r="D1624" s="32">
        <f>'MANO DE OBRA'!E15</f>
        <v>95333</v>
      </c>
      <c r="E1624" s="88">
        <v>1.75</v>
      </c>
      <c r="F1624" s="164">
        <f>+E1624*D1624</f>
        <v>166832.75</v>
      </c>
      <c r="G1624" s="20">
        <f>G1606</f>
        <v>28</v>
      </c>
      <c r="H1624" s="169">
        <f>+F1624/G1624</f>
        <v>5958.3125</v>
      </c>
      <c r="I1624" s="44"/>
    </row>
    <row r="1625" spans="2:13" x14ac:dyDescent="0.15">
      <c r="B1625" s="4" t="s">
        <v>94</v>
      </c>
      <c r="C1625" s="24"/>
      <c r="D1625" s="32">
        <f>'MANO DE OBRA'!E14*6</f>
        <v>312000</v>
      </c>
      <c r="E1625" s="88">
        <v>1.75</v>
      </c>
      <c r="F1625" s="164">
        <f>+E1625*D1625</f>
        <v>546000</v>
      </c>
      <c r="G1625" s="20">
        <f>G1606</f>
        <v>28</v>
      </c>
      <c r="H1625" s="169">
        <f>+F1625/G1625</f>
        <v>19500</v>
      </c>
      <c r="I1625" s="44"/>
    </row>
    <row r="1626" spans="2:13" ht="14" thickBot="1" x14ac:dyDescent="0.2">
      <c r="B1626" s="33"/>
      <c r="C1626" s="34"/>
      <c r="D1626" s="22"/>
      <c r="E1626" s="21"/>
      <c r="F1626" s="22"/>
      <c r="G1626" s="23"/>
      <c r="H1626" s="47"/>
      <c r="I1626" s="48"/>
      <c r="K1626" s="106"/>
    </row>
    <row r="1627" spans="2:13" ht="14" thickBot="1" x14ac:dyDescent="0.2">
      <c r="B1627" s="1"/>
      <c r="C1627" s="1"/>
      <c r="D1627" s="1"/>
      <c r="E1627" s="1"/>
      <c r="F1627" s="1"/>
      <c r="G1627" s="1"/>
      <c r="H1627" s="37" t="s">
        <v>26</v>
      </c>
      <c r="I1627" s="177">
        <f>SUM(H1624:H1626)</f>
        <v>25458.3125</v>
      </c>
    </row>
    <row r="1628" spans="2:13" ht="14" thickBot="1" x14ac:dyDescent="0.2">
      <c r="B1628" s="1"/>
      <c r="C1628" s="1"/>
      <c r="D1628" s="1"/>
      <c r="E1628" s="1"/>
      <c r="F1628" s="1"/>
      <c r="G1628" s="1"/>
      <c r="H1628" s="61"/>
      <c r="I1628" s="1"/>
    </row>
    <row r="1629" spans="2:13" ht="15" thickBot="1" x14ac:dyDescent="0.2">
      <c r="B1629" s="1"/>
      <c r="C1629" s="1"/>
      <c r="D1629" s="1"/>
      <c r="E1629" s="1"/>
      <c r="F1629" s="35" t="s">
        <v>43</v>
      </c>
      <c r="G1629" s="16"/>
      <c r="H1629" s="16"/>
      <c r="I1629" s="232">
        <f>ROUND((I1608+I1615+I1621+I1627),0)</f>
        <v>122428</v>
      </c>
    </row>
    <row r="1630" spans="2:13" x14ac:dyDescent="0.15">
      <c r="B1630" s="12"/>
      <c r="C1630" s="12"/>
      <c r="D1630" s="1"/>
      <c r="E1630" s="1"/>
      <c r="F1630" s="1"/>
      <c r="G1630" s="1"/>
      <c r="H1630" s="172"/>
      <c r="I1630" s="172"/>
    </row>
    <row r="1631" spans="2:13" x14ac:dyDescent="0.15">
      <c r="B1631" s="16"/>
      <c r="C1631" s="16"/>
      <c r="D1631" s="16"/>
      <c r="E1631" s="16"/>
      <c r="F1631" s="16"/>
      <c r="G1631" s="61"/>
      <c r="H1631" s="173"/>
      <c r="I1631" s="172"/>
    </row>
    <row r="1632" spans="2:13" x14ac:dyDescent="0.15">
      <c r="B1632" s="1"/>
      <c r="C1632" s="1"/>
      <c r="D1632" s="1"/>
      <c r="E1632" s="1"/>
      <c r="F1632" s="1"/>
      <c r="G1632" s="161"/>
      <c r="H1632" s="172"/>
      <c r="I1632" s="172"/>
    </row>
    <row r="1633" spans="2:10" x14ac:dyDescent="0.15">
      <c r="B1633" s="1"/>
      <c r="C1633" s="1"/>
      <c r="D1633" s="1"/>
      <c r="E1633" s="1"/>
      <c r="F1633" s="1"/>
      <c r="G1633" s="161"/>
      <c r="H1633" s="172"/>
      <c r="I1633" s="172"/>
    </row>
    <row r="1634" spans="2:10" x14ac:dyDescent="0.15">
      <c r="B1634" s="1"/>
      <c r="C1634" s="1"/>
      <c r="D1634" s="1"/>
      <c r="E1634" s="1"/>
      <c r="F1634" s="1"/>
      <c r="G1634" s="161"/>
      <c r="H1634" s="172"/>
      <c r="I1634" s="172"/>
    </row>
    <row r="1635" spans="2:10" x14ac:dyDescent="0.15">
      <c r="B1635" s="1"/>
      <c r="C1635" s="1"/>
      <c r="D1635" s="1"/>
      <c r="E1635" s="1"/>
      <c r="F1635" s="1"/>
      <c r="G1635" s="161"/>
      <c r="H1635" s="172"/>
      <c r="I1635" s="172"/>
    </row>
    <row r="1636" spans="2:10" x14ac:dyDescent="0.15">
      <c r="B1636" s="1"/>
      <c r="C1636" s="1"/>
      <c r="D1636" s="1"/>
      <c r="E1636" s="1"/>
      <c r="F1636" s="1"/>
      <c r="G1636" s="1"/>
      <c r="H1636" s="37"/>
      <c r="I1636" s="172"/>
    </row>
    <row r="1637" spans="2:10" ht="14" x14ac:dyDescent="0.15">
      <c r="B1637" s="102"/>
      <c r="C1637" s="1"/>
      <c r="D1637" s="1"/>
      <c r="E1637" s="1"/>
      <c r="F1637" s="1"/>
      <c r="G1637" s="1"/>
      <c r="H1637" s="1"/>
      <c r="I1637" s="172"/>
    </row>
    <row r="1638" spans="2:10" ht="14" x14ac:dyDescent="0.15">
      <c r="B1638" s="102"/>
      <c r="C1638" s="11"/>
      <c r="D1638" s="1"/>
      <c r="E1638" s="155"/>
      <c r="F1638" s="155"/>
      <c r="G1638" s="155"/>
      <c r="H1638" s="155"/>
      <c r="I1638" s="171"/>
    </row>
    <row r="1639" spans="2:10" ht="14" x14ac:dyDescent="0.15">
      <c r="B1639" s="83"/>
      <c r="C1639" s="11"/>
      <c r="D1639" s="1"/>
      <c r="E1639" s="155"/>
      <c r="F1639" s="155"/>
      <c r="G1639" s="155"/>
      <c r="H1639" s="155"/>
      <c r="I1639" s="171"/>
    </row>
    <row r="1640" spans="2:10" x14ac:dyDescent="0.15">
      <c r="B1640" s="11"/>
      <c r="C1640" s="11"/>
      <c r="D1640" s="1"/>
      <c r="E1640" s="155"/>
      <c r="F1640" s="155"/>
      <c r="G1640" s="155"/>
      <c r="H1640" s="155"/>
      <c r="I1640" s="171"/>
    </row>
    <row r="1641" spans="2:10" x14ac:dyDescent="0.15">
      <c r="B1641" s="11"/>
      <c r="C1641" s="11"/>
      <c r="D1641" s="1"/>
      <c r="E1641" s="155"/>
      <c r="F1641" s="155"/>
      <c r="G1641" s="155"/>
      <c r="H1641" s="155"/>
      <c r="I1641" s="171"/>
    </row>
    <row r="1642" spans="2:10" x14ac:dyDescent="0.15">
      <c r="B1642" s="11"/>
      <c r="C1642" s="11"/>
      <c r="D1642" s="1"/>
      <c r="E1642" s="155"/>
      <c r="F1642" s="155"/>
      <c r="G1642" s="155"/>
      <c r="H1642" s="155"/>
      <c r="I1642" s="171"/>
    </row>
    <row r="1643" spans="2:10" x14ac:dyDescent="0.15">
      <c r="B1643" s="11"/>
      <c r="C1643" s="11"/>
      <c r="D1643" s="1"/>
      <c r="E1643" s="155"/>
      <c r="F1643" s="155"/>
      <c r="G1643" s="155"/>
      <c r="H1643" s="155"/>
      <c r="I1643" s="171"/>
    </row>
    <row r="1644" spans="2:10" x14ac:dyDescent="0.15">
      <c r="B1644" s="11"/>
      <c r="C1644" s="11"/>
      <c r="D1644" s="1"/>
      <c r="E1644" s="155"/>
      <c r="F1644" s="155"/>
      <c r="G1644" s="155"/>
      <c r="H1644" s="155"/>
      <c r="I1644" s="171"/>
    </row>
    <row r="1645" spans="2:10" x14ac:dyDescent="0.15">
      <c r="B1645" s="11"/>
      <c r="C1645" s="11"/>
      <c r="D1645" s="1"/>
      <c r="E1645" s="155"/>
      <c r="F1645" s="155"/>
      <c r="G1645" s="155"/>
      <c r="H1645" s="155"/>
      <c r="I1645" s="171"/>
    </row>
    <row r="1646" spans="2:10" ht="14" x14ac:dyDescent="0.15">
      <c r="B1646" s="83"/>
      <c r="C1646" s="83"/>
      <c r="D1646" s="84"/>
      <c r="E1646" s="83"/>
      <c r="F1646" s="83"/>
      <c r="G1646" s="104"/>
      <c r="H1646" s="83"/>
      <c r="I1646" s="85"/>
      <c r="J1646" s="85"/>
    </row>
    <row r="1647" spans="2:10" ht="14" x14ac:dyDescent="0.15">
      <c r="B1647" s="83"/>
      <c r="C1647" s="83"/>
      <c r="D1647" s="84"/>
      <c r="E1647" s="83"/>
      <c r="F1647" s="83"/>
      <c r="G1647" s="104"/>
      <c r="H1647" s="83"/>
      <c r="I1647" s="85"/>
      <c r="J1647" s="85"/>
    </row>
    <row r="1648" spans="2:10" ht="14" thickBot="1" x14ac:dyDescent="0.2">
      <c r="B1648" s="11"/>
      <c r="C1648" s="11"/>
      <c r="D1648" s="1"/>
      <c r="E1648" s="155"/>
      <c r="F1648" s="155"/>
      <c r="G1648" s="155"/>
      <c r="H1648" s="155"/>
      <c r="I1648" s="171"/>
    </row>
    <row r="1649" spans="2:9" ht="21" customHeight="1" x14ac:dyDescent="0.15">
      <c r="B1649" s="885" t="s">
        <v>874</v>
      </c>
      <c r="C1649" s="886"/>
      <c r="D1649" s="886"/>
      <c r="E1649" s="886"/>
      <c r="F1649" s="887"/>
      <c r="G1649" s="1"/>
      <c r="H1649" s="879" t="s">
        <v>20</v>
      </c>
      <c r="I1649" s="880"/>
    </row>
    <row r="1650" spans="2:9" ht="16.5" customHeight="1" x14ac:dyDescent="0.15">
      <c r="B1650" s="888" t="s">
        <v>875</v>
      </c>
      <c r="C1650" s="889"/>
      <c r="D1650" s="889"/>
      <c r="E1650" s="889"/>
      <c r="F1650" s="890"/>
      <c r="G1650" s="63"/>
      <c r="H1650" s="881"/>
      <c r="I1650" s="882"/>
    </row>
    <row r="1651" spans="2:9" ht="12.75" customHeight="1" x14ac:dyDescent="0.15">
      <c r="B1651" s="906" t="s">
        <v>876</v>
      </c>
      <c r="C1651" s="907"/>
      <c r="D1651" s="907"/>
      <c r="E1651" s="907"/>
      <c r="F1651" s="908"/>
      <c r="G1651" s="63"/>
      <c r="H1651" s="883"/>
      <c r="I1651" s="884"/>
    </row>
    <row r="1652" spans="2:9" ht="16.5" customHeight="1" thickBot="1" x14ac:dyDescent="0.2">
      <c r="B1652" s="909"/>
      <c r="C1652" s="910"/>
      <c r="D1652" s="910"/>
      <c r="E1652" s="910"/>
      <c r="F1652" s="911"/>
      <c r="G1652" s="1"/>
      <c r="H1652" s="873" t="s">
        <v>1573</v>
      </c>
      <c r="I1652" s="874"/>
    </row>
    <row r="1653" spans="2:9" ht="14" thickBot="1" x14ac:dyDescent="0.2">
      <c r="B1653" s="15"/>
      <c r="C1653" s="16"/>
      <c r="D1653" s="1"/>
      <c r="E1653" s="1"/>
      <c r="F1653" s="1"/>
      <c r="G1653" s="1"/>
      <c r="H1653" s="875"/>
      <c r="I1653" s="876"/>
    </row>
    <row r="1654" spans="2:9" ht="12.75" customHeight="1" x14ac:dyDescent="0.15">
      <c r="B1654" s="922" t="s">
        <v>836</v>
      </c>
      <c r="C1654" s="923"/>
      <c r="D1654" s="923"/>
      <c r="E1654" s="923"/>
      <c r="F1654" s="924"/>
      <c r="G1654" s="1"/>
      <c r="H1654" s="875"/>
      <c r="I1654" s="876"/>
    </row>
    <row r="1655" spans="2:9" ht="12.75" customHeight="1" x14ac:dyDescent="0.15">
      <c r="B1655" s="925"/>
      <c r="C1655" s="926"/>
      <c r="D1655" s="926"/>
      <c r="E1655" s="926"/>
      <c r="F1655" s="927"/>
      <c r="H1655" s="875"/>
      <c r="I1655" s="876"/>
    </row>
    <row r="1656" spans="2:9" ht="13.5" customHeight="1" x14ac:dyDescent="0.15">
      <c r="B1656" s="925"/>
      <c r="C1656" s="926"/>
      <c r="D1656" s="926"/>
      <c r="E1656" s="926"/>
      <c r="F1656" s="927"/>
      <c r="G1656" s="11"/>
      <c r="H1656" s="877"/>
      <c r="I1656" s="878"/>
    </row>
    <row r="1657" spans="2:9" ht="21.75" customHeight="1" thickBot="1" x14ac:dyDescent="0.2">
      <c r="B1657" s="928"/>
      <c r="C1657" s="929"/>
      <c r="D1657" s="929"/>
      <c r="E1657" s="929"/>
      <c r="F1657" s="930"/>
      <c r="H1657" s="64" t="s">
        <v>45</v>
      </c>
      <c r="I1657" s="17" t="s">
        <v>7</v>
      </c>
    </row>
    <row r="1658" spans="2:9" x14ac:dyDescent="0.15">
      <c r="B1658" s="18"/>
      <c r="C1658" s="18"/>
      <c r="D1658" s="1"/>
      <c r="E1658" s="18"/>
      <c r="F1658" s="18"/>
      <c r="G1658" s="18"/>
      <c r="H1658" s="18"/>
      <c r="I1658" s="1"/>
    </row>
    <row r="1659" spans="2:9" ht="14" thickBot="1" x14ac:dyDescent="0.2">
      <c r="B1659" s="12" t="s">
        <v>21</v>
      </c>
      <c r="C1659" s="12"/>
      <c r="D1659" s="1"/>
      <c r="E1659" s="1"/>
      <c r="F1659" s="1"/>
      <c r="G1659" s="1"/>
      <c r="H1659" s="1"/>
      <c r="I1659" s="1"/>
    </row>
    <row r="1660" spans="2:9" x14ac:dyDescent="0.15">
      <c r="B1660" s="903" t="s">
        <v>22</v>
      </c>
      <c r="C1660" s="904"/>
      <c r="D1660" s="905"/>
      <c r="E1660" s="209" t="s">
        <v>23</v>
      </c>
      <c r="F1660" s="19" t="s">
        <v>47</v>
      </c>
      <c r="G1660" s="209" t="s">
        <v>24</v>
      </c>
      <c r="H1660" s="208" t="s">
        <v>25</v>
      </c>
      <c r="I1660" s="43"/>
    </row>
    <row r="1661" spans="2:9" x14ac:dyDescent="0.15">
      <c r="B1661" s="897" t="s">
        <v>56</v>
      </c>
      <c r="C1661" s="898"/>
      <c r="D1661" s="899"/>
      <c r="E1661" s="5"/>
      <c r="F1661" s="162"/>
      <c r="G1661" s="58"/>
      <c r="H1661" s="162">
        <f>I1683*0.05</f>
        <v>5091.6625000000004</v>
      </c>
      <c r="I1661" s="44"/>
    </row>
    <row r="1662" spans="2:9" x14ac:dyDescent="0.15">
      <c r="B1662" s="897" t="s">
        <v>641</v>
      </c>
      <c r="C1662" s="898"/>
      <c r="D1662" s="899"/>
      <c r="E1662" s="5"/>
      <c r="F1662" s="162">
        <f>'HERRAMIENTAS Y EQUIPOS'!C23*4</f>
        <v>24000</v>
      </c>
      <c r="G1662" s="58">
        <v>7</v>
      </c>
      <c r="H1662" s="162">
        <f>F1662/G1662</f>
        <v>3428.5714285714284</v>
      </c>
      <c r="I1662" s="44"/>
    </row>
    <row r="1663" spans="2:9" ht="14" thickBot="1" x14ac:dyDescent="0.2">
      <c r="B1663" s="900"/>
      <c r="C1663" s="901"/>
      <c r="D1663" s="902"/>
      <c r="E1663" s="21"/>
      <c r="F1663" s="22"/>
      <c r="G1663" s="23"/>
      <c r="H1663" s="47"/>
      <c r="I1663" s="48"/>
    </row>
    <row r="1664" spans="2:9" ht="14" thickBot="1" x14ac:dyDescent="0.2">
      <c r="B1664" s="1"/>
      <c r="C1664" s="1"/>
      <c r="D1664" s="1"/>
      <c r="E1664" s="1"/>
      <c r="F1664" s="1"/>
      <c r="G1664" s="1"/>
      <c r="H1664" s="37" t="s">
        <v>26</v>
      </c>
      <c r="I1664" s="163">
        <f>SUM(H1661:H1663)</f>
        <v>8520.2339285714297</v>
      </c>
    </row>
    <row r="1665" spans="2:11" ht="14" thickBot="1" x14ac:dyDescent="0.2">
      <c r="B1665" s="12" t="s">
        <v>27</v>
      </c>
      <c r="C1665" s="12"/>
      <c r="D1665" s="1"/>
      <c r="E1665" s="1"/>
      <c r="F1665" s="1"/>
      <c r="G1665" s="1"/>
      <c r="H1665" s="1"/>
      <c r="I1665" s="1"/>
    </row>
    <row r="1666" spans="2:11" x14ac:dyDescent="0.15">
      <c r="B1666" s="903" t="s">
        <v>22</v>
      </c>
      <c r="C1666" s="904"/>
      <c r="D1666" s="905"/>
      <c r="E1666" s="209" t="s">
        <v>28</v>
      </c>
      <c r="F1666" s="209" t="s">
        <v>29</v>
      </c>
      <c r="G1666" s="209" t="s">
        <v>30</v>
      </c>
      <c r="H1666" s="208" t="s">
        <v>25</v>
      </c>
      <c r="I1666" s="43"/>
    </row>
    <row r="1667" spans="2:11" x14ac:dyDescent="0.15">
      <c r="B1667" s="4" t="s">
        <v>557</v>
      </c>
      <c r="C1667" s="24"/>
      <c r="D1667" s="6"/>
      <c r="E1667" s="3" t="s">
        <v>58</v>
      </c>
      <c r="F1667" s="166">
        <f>'APU -BASICOS'!H204</f>
        <v>9182</v>
      </c>
      <c r="G1667" s="73">
        <f>(8*1.2*1)</f>
        <v>9.6</v>
      </c>
      <c r="H1667" s="165">
        <f>G1667*F1667</f>
        <v>88147.199999999997</v>
      </c>
      <c r="I1667" s="44"/>
    </row>
    <row r="1668" spans="2:11" x14ac:dyDescent="0.15">
      <c r="B1668" s="4" t="s">
        <v>558</v>
      </c>
      <c r="C1668" s="24"/>
      <c r="D1668" s="6"/>
      <c r="E1668" s="3" t="s">
        <v>58</v>
      </c>
      <c r="F1668" s="166">
        <f>'APU -BASICOS'!H260</f>
        <v>9182</v>
      </c>
      <c r="G1668" s="73">
        <f>(1.6*0.56*10)</f>
        <v>8.9600000000000009</v>
      </c>
      <c r="H1668" s="165">
        <f>G1668*F1668</f>
        <v>82270.720000000001</v>
      </c>
      <c r="I1668" s="44"/>
    </row>
    <row r="1669" spans="2:11" x14ac:dyDescent="0.15">
      <c r="B1669" s="4" t="s">
        <v>63</v>
      </c>
      <c r="C1669" s="24"/>
      <c r="D1669" s="6"/>
      <c r="E1669" s="3" t="s">
        <v>6</v>
      </c>
      <c r="F1669" s="164">
        <f>'APU -BASICOS'!H96</f>
        <v>555217</v>
      </c>
      <c r="G1669" s="73">
        <f>1*0.45*0.45</f>
        <v>0.20250000000000001</v>
      </c>
      <c r="H1669" s="165">
        <f>G1669*F1669</f>
        <v>112431.4425</v>
      </c>
      <c r="I1669" s="44"/>
    </row>
    <row r="1670" spans="2:11" ht="14" thickBot="1" x14ac:dyDescent="0.2">
      <c r="B1670" s="25"/>
      <c r="C1670" s="26"/>
      <c r="D1670" s="27"/>
      <c r="E1670" s="21"/>
      <c r="F1670" s="22"/>
      <c r="G1670" s="167"/>
      <c r="H1670" s="47"/>
      <c r="I1670" s="48"/>
      <c r="K1670" s="233"/>
    </row>
    <row r="1671" spans="2:11" ht="14" thickBot="1" x14ac:dyDescent="0.2">
      <c r="B1671" s="1"/>
      <c r="C1671" s="1"/>
      <c r="D1671" s="1"/>
      <c r="E1671" s="1"/>
      <c r="F1671" s="1"/>
      <c r="G1671" s="1"/>
      <c r="H1671" s="37" t="s">
        <v>26</v>
      </c>
      <c r="I1671" s="163">
        <f>SUM(H1667:H1669)</f>
        <v>282849.36249999999</v>
      </c>
    </row>
    <row r="1672" spans="2:11" ht="14" thickBot="1" x14ac:dyDescent="0.2">
      <c r="B1672" s="28" t="s">
        <v>31</v>
      </c>
      <c r="C1672" s="28"/>
      <c r="D1672" s="26"/>
      <c r="E1672" s="1"/>
      <c r="F1672" s="1"/>
      <c r="G1672" s="1"/>
      <c r="H1672" s="1"/>
      <c r="I1672" s="1"/>
    </row>
    <row r="1673" spans="2:11" x14ac:dyDescent="0.15">
      <c r="B1673" s="51" t="s">
        <v>32</v>
      </c>
      <c r="C1673" s="52"/>
      <c r="D1673" s="97" t="s">
        <v>33</v>
      </c>
      <c r="E1673" s="209" t="s">
        <v>34</v>
      </c>
      <c r="F1673" s="209" t="s">
        <v>35</v>
      </c>
      <c r="G1673" s="209" t="s">
        <v>36</v>
      </c>
      <c r="H1673" s="59" t="s">
        <v>25</v>
      </c>
      <c r="I1673" s="43"/>
    </row>
    <row r="1674" spans="2:11" x14ac:dyDescent="0.15">
      <c r="B1674" s="4"/>
      <c r="C1674" s="24"/>
      <c r="D1674" s="60"/>
      <c r="E1674" s="2"/>
      <c r="F1674" s="2"/>
      <c r="G1674" s="162"/>
      <c r="H1674" s="55"/>
      <c r="I1674" s="44"/>
      <c r="K1674" s="106"/>
    </row>
    <row r="1675" spans="2:11" x14ac:dyDescent="0.15">
      <c r="B1675" s="107"/>
      <c r="C1675" s="66"/>
      <c r="D1675" s="67"/>
      <c r="E1675" s="68"/>
      <c r="F1675" s="68"/>
      <c r="G1675" s="69"/>
      <c r="H1675" s="65"/>
      <c r="I1675" s="44"/>
    </row>
    <row r="1676" spans="2:11" ht="14" thickBot="1" x14ac:dyDescent="0.2">
      <c r="B1676" s="33"/>
      <c r="C1676" s="54"/>
      <c r="D1676" s="21"/>
      <c r="E1676" s="22"/>
      <c r="F1676" s="23"/>
      <c r="G1676" s="47"/>
      <c r="H1676" s="21"/>
      <c r="I1676" s="48"/>
    </row>
    <row r="1677" spans="2:11" ht="14" thickBot="1" x14ac:dyDescent="0.2">
      <c r="B1677" s="1"/>
      <c r="C1677" s="1"/>
      <c r="D1677" s="1"/>
      <c r="E1677" s="1"/>
      <c r="F1677" s="1"/>
      <c r="G1677" s="1"/>
      <c r="H1677" s="37" t="s">
        <v>26</v>
      </c>
      <c r="I1677" s="163">
        <f>SUM(H1674:H1676)</f>
        <v>0</v>
      </c>
    </row>
    <row r="1678" spans="2:11" ht="14" thickBot="1" x14ac:dyDescent="0.2">
      <c r="B1678" s="28" t="s">
        <v>37</v>
      </c>
      <c r="C1678" s="28"/>
      <c r="D1678" s="1"/>
      <c r="E1678" s="1"/>
      <c r="F1678" s="1"/>
      <c r="G1678" s="1"/>
      <c r="H1678" s="1"/>
      <c r="I1678" s="1"/>
    </row>
    <row r="1679" spans="2:11" x14ac:dyDescent="0.15">
      <c r="B1679" s="51" t="s">
        <v>38</v>
      </c>
      <c r="C1679" s="86"/>
      <c r="D1679" s="31" t="s">
        <v>39</v>
      </c>
      <c r="E1679" s="209" t="s">
        <v>40</v>
      </c>
      <c r="F1679" s="19" t="s">
        <v>41</v>
      </c>
      <c r="G1679" s="31" t="s">
        <v>24</v>
      </c>
      <c r="H1679" s="208" t="s">
        <v>25</v>
      </c>
      <c r="I1679" s="43"/>
      <c r="K1679" s="106"/>
    </row>
    <row r="1680" spans="2:11" x14ac:dyDescent="0.15">
      <c r="B1680" s="4" t="s">
        <v>65</v>
      </c>
      <c r="C1680" s="24"/>
      <c r="D1680" s="32">
        <f>'MANO DE OBRA'!E15</f>
        <v>95333</v>
      </c>
      <c r="E1680" s="88">
        <v>1.75</v>
      </c>
      <c r="F1680" s="164">
        <f>+E1680*D1680</f>
        <v>166832.75</v>
      </c>
      <c r="G1680" s="20">
        <v>7</v>
      </c>
      <c r="H1680" s="169">
        <f>+F1680/G1680</f>
        <v>23833.25</v>
      </c>
      <c r="I1680" s="44"/>
      <c r="K1680" s="233"/>
    </row>
    <row r="1681" spans="2:12" x14ac:dyDescent="0.15">
      <c r="B1681" s="4" t="s">
        <v>94</v>
      </c>
      <c r="C1681" s="24"/>
      <c r="D1681" s="32">
        <f>'MANO DE OBRA'!E14*6</f>
        <v>312000</v>
      </c>
      <c r="E1681" s="88">
        <v>1.75</v>
      </c>
      <c r="F1681" s="164">
        <f>+E1681*D1681</f>
        <v>546000</v>
      </c>
      <c r="G1681" s="20">
        <v>7</v>
      </c>
      <c r="H1681" s="169">
        <f>+F1681/G1681</f>
        <v>78000</v>
      </c>
      <c r="I1681" s="44"/>
      <c r="L1681" s="174"/>
    </row>
    <row r="1682" spans="2:12" ht="14" thickBot="1" x14ac:dyDescent="0.2">
      <c r="B1682" s="33"/>
      <c r="C1682" s="34"/>
      <c r="D1682" s="22"/>
      <c r="E1682" s="21"/>
      <c r="F1682" s="22"/>
      <c r="G1682" s="23"/>
      <c r="H1682" s="47"/>
      <c r="I1682" s="48"/>
      <c r="K1682" s="106"/>
    </row>
    <row r="1683" spans="2:12" ht="14" thickBot="1" x14ac:dyDescent="0.2">
      <c r="B1683" s="1"/>
      <c r="C1683" s="1"/>
      <c r="D1683" s="1"/>
      <c r="E1683" s="1"/>
      <c r="F1683" s="1"/>
      <c r="G1683" s="1"/>
      <c r="H1683" s="37" t="s">
        <v>26</v>
      </c>
      <c r="I1683" s="177">
        <f>SUM(H1680:H1682)</f>
        <v>101833.25</v>
      </c>
      <c r="K1683" s="106"/>
      <c r="L1683" s="106"/>
    </row>
    <row r="1684" spans="2:12" ht="14" thickBot="1" x14ac:dyDescent="0.2">
      <c r="B1684" s="1"/>
      <c r="C1684" s="1"/>
      <c r="D1684" s="1"/>
      <c r="E1684" s="1"/>
      <c r="F1684" s="1"/>
      <c r="G1684" s="1"/>
      <c r="H1684" s="61"/>
      <c r="I1684" s="1"/>
    </row>
    <row r="1685" spans="2:12" ht="15" thickBot="1" x14ac:dyDescent="0.2">
      <c r="B1685" s="1"/>
      <c r="C1685" s="1"/>
      <c r="D1685" s="1"/>
      <c r="E1685" s="1"/>
      <c r="F1685" s="35" t="s">
        <v>43</v>
      </c>
      <c r="G1685" s="16"/>
      <c r="H1685" s="16"/>
      <c r="I1685" s="232">
        <f>ROUND((I1664+I1671+I1677+I1683),0)</f>
        <v>393203</v>
      </c>
      <c r="K1685" s="106"/>
    </row>
    <row r="1686" spans="2:12" x14ac:dyDescent="0.15">
      <c r="B1686" s="12"/>
      <c r="C1686" s="12"/>
      <c r="D1686" s="1"/>
      <c r="E1686" s="1"/>
      <c r="F1686" s="1"/>
      <c r="G1686" s="1"/>
      <c r="H1686" s="172"/>
      <c r="I1686" s="172"/>
      <c r="L1686" s="106"/>
    </row>
    <row r="1687" spans="2:12" x14ac:dyDescent="0.15">
      <c r="B1687" s="16"/>
      <c r="C1687" s="16"/>
      <c r="D1687" s="16"/>
      <c r="E1687" s="16"/>
      <c r="F1687" s="16"/>
      <c r="G1687" s="61"/>
      <c r="H1687" s="173"/>
      <c r="I1687" s="172"/>
    </row>
    <row r="1688" spans="2:12" x14ac:dyDescent="0.15">
      <c r="B1688" s="1"/>
      <c r="C1688" s="1"/>
      <c r="D1688" s="1"/>
      <c r="E1688" s="1"/>
      <c r="F1688" s="1"/>
      <c r="G1688" s="161"/>
      <c r="H1688" s="172"/>
      <c r="I1688" s="172"/>
    </row>
    <row r="1689" spans="2:12" x14ac:dyDescent="0.15">
      <c r="B1689" s="1"/>
      <c r="C1689" s="1"/>
      <c r="D1689" s="1"/>
      <c r="E1689" s="1"/>
      <c r="F1689" s="1"/>
      <c r="G1689" s="161"/>
      <c r="H1689" s="172"/>
      <c r="I1689" s="172"/>
    </row>
    <row r="1690" spans="2:12" x14ac:dyDescent="0.15">
      <c r="B1690" s="1"/>
      <c r="C1690" s="1"/>
      <c r="D1690" s="1"/>
      <c r="E1690" s="1"/>
      <c r="F1690" s="1"/>
      <c r="G1690" s="161"/>
      <c r="H1690" s="172"/>
      <c r="I1690" s="172"/>
    </row>
    <row r="1691" spans="2:12" x14ac:dyDescent="0.15">
      <c r="B1691" s="1"/>
      <c r="C1691" s="1"/>
      <c r="D1691" s="1"/>
      <c r="E1691" s="1"/>
      <c r="F1691" s="1"/>
      <c r="G1691" s="1"/>
      <c r="H1691" s="37"/>
      <c r="I1691" s="172"/>
    </row>
    <row r="1692" spans="2:12" ht="14" x14ac:dyDescent="0.15">
      <c r="B1692" s="102"/>
      <c r="C1692" s="1"/>
      <c r="D1692" s="1"/>
      <c r="E1692" s="1"/>
      <c r="F1692" s="1"/>
      <c r="G1692" s="1"/>
      <c r="H1692" s="1"/>
      <c r="I1692" s="172"/>
    </row>
    <row r="1693" spans="2:12" ht="14" x14ac:dyDescent="0.15">
      <c r="B1693" s="83"/>
      <c r="C1693" s="11"/>
      <c r="D1693" s="1"/>
      <c r="E1693" s="916"/>
      <c r="F1693" s="916"/>
      <c r="G1693" s="916"/>
      <c r="H1693" s="916"/>
      <c r="I1693" s="171"/>
    </row>
    <row r="1694" spans="2:12" ht="14" x14ac:dyDescent="0.15">
      <c r="B1694" s="102"/>
      <c r="C1694" s="11"/>
      <c r="D1694" s="1"/>
      <c r="E1694" s="155"/>
      <c r="F1694" s="155"/>
      <c r="G1694" s="155"/>
      <c r="H1694" s="155"/>
      <c r="I1694" s="171"/>
    </row>
    <row r="1695" spans="2:12" ht="14" x14ac:dyDescent="0.15">
      <c r="B1695" s="83"/>
      <c r="C1695" s="11"/>
      <c r="D1695" s="1"/>
      <c r="E1695" s="155"/>
      <c r="F1695" s="155"/>
      <c r="G1695" s="155"/>
      <c r="H1695" s="155"/>
      <c r="I1695" s="171"/>
    </row>
    <row r="1696" spans="2:12" x14ac:dyDescent="0.15">
      <c r="B1696" s="11"/>
      <c r="C1696" s="11"/>
      <c r="D1696" s="1"/>
      <c r="E1696" s="155"/>
      <c r="F1696" s="155"/>
      <c r="G1696" s="155"/>
      <c r="H1696" s="155"/>
      <c r="I1696" s="171"/>
    </row>
    <row r="1697" spans="2:10" x14ac:dyDescent="0.15">
      <c r="B1697" s="11"/>
      <c r="C1697" s="11"/>
      <c r="D1697" s="1"/>
      <c r="E1697" s="155"/>
      <c r="F1697" s="155"/>
      <c r="G1697" s="155"/>
      <c r="H1697" s="155"/>
      <c r="I1697" s="171"/>
    </row>
    <row r="1698" spans="2:10" x14ac:dyDescent="0.15">
      <c r="B1698" s="11"/>
      <c r="C1698" s="11"/>
      <c r="D1698" s="1"/>
      <c r="E1698" s="155"/>
      <c r="F1698" s="155"/>
      <c r="G1698" s="155"/>
      <c r="H1698" s="155"/>
      <c r="I1698" s="171"/>
    </row>
    <row r="1699" spans="2:10" x14ac:dyDescent="0.15">
      <c r="B1699" s="11"/>
      <c r="C1699" s="11"/>
      <c r="D1699" s="1"/>
      <c r="E1699" s="155"/>
      <c r="F1699" s="155"/>
      <c r="G1699" s="155"/>
      <c r="H1699" s="155"/>
      <c r="I1699" s="171"/>
    </row>
    <row r="1700" spans="2:10" x14ac:dyDescent="0.15">
      <c r="B1700" s="11"/>
      <c r="C1700" s="11"/>
      <c r="D1700" s="1"/>
      <c r="E1700" s="155"/>
      <c r="F1700" s="155"/>
      <c r="G1700" s="155"/>
      <c r="H1700" s="155"/>
      <c r="I1700" s="171"/>
    </row>
    <row r="1701" spans="2:10" ht="14" x14ac:dyDescent="0.15">
      <c r="B1701" s="102"/>
      <c r="C1701" s="83"/>
      <c r="D1701" s="84"/>
      <c r="E1701" s="83"/>
      <c r="F1701" s="83"/>
      <c r="G1701" s="103"/>
      <c r="H1701" s="83"/>
      <c r="I1701" s="85"/>
      <c r="J1701" s="85"/>
    </row>
    <row r="1702" spans="2:10" ht="14" x14ac:dyDescent="0.15">
      <c r="B1702" s="83"/>
      <c r="C1702" s="83"/>
      <c r="D1702" s="84"/>
      <c r="E1702" s="83"/>
      <c r="F1702" s="83"/>
      <c r="G1702" s="104"/>
      <c r="H1702" s="83"/>
      <c r="I1702" s="85"/>
      <c r="J1702" s="85"/>
    </row>
    <row r="1703" spans="2:10" ht="14" x14ac:dyDescent="0.15">
      <c r="B1703" s="83"/>
      <c r="C1703" s="83"/>
      <c r="D1703" s="84"/>
      <c r="E1703" s="83"/>
      <c r="F1703" s="83"/>
      <c r="G1703" s="104"/>
      <c r="H1703" s="83"/>
      <c r="I1703" s="85"/>
      <c r="J1703" s="85"/>
    </row>
    <row r="1704" spans="2:10" ht="14" thickBot="1" x14ac:dyDescent="0.2">
      <c r="B1704" s="11"/>
      <c r="C1704" s="11"/>
      <c r="D1704" s="1"/>
      <c r="E1704" s="155"/>
      <c r="F1704" s="155"/>
      <c r="G1704" s="155"/>
      <c r="H1704" s="155"/>
      <c r="I1704" s="171"/>
    </row>
    <row r="1705" spans="2:10" ht="21" customHeight="1" x14ac:dyDescent="0.15">
      <c r="B1705" s="885" t="s">
        <v>874</v>
      </c>
      <c r="C1705" s="886"/>
      <c r="D1705" s="886"/>
      <c r="E1705" s="886"/>
      <c r="F1705" s="887"/>
      <c r="G1705" s="1"/>
      <c r="H1705" s="879" t="s">
        <v>20</v>
      </c>
      <c r="I1705" s="880"/>
    </row>
    <row r="1706" spans="2:10" ht="16.5" customHeight="1" x14ac:dyDescent="0.15">
      <c r="B1706" s="888" t="s">
        <v>875</v>
      </c>
      <c r="C1706" s="889"/>
      <c r="D1706" s="889"/>
      <c r="E1706" s="889"/>
      <c r="F1706" s="890"/>
      <c r="G1706" s="63"/>
      <c r="H1706" s="881"/>
      <c r="I1706" s="882"/>
    </row>
    <row r="1707" spans="2:10" ht="12.75" customHeight="1" x14ac:dyDescent="0.15">
      <c r="B1707" s="906" t="s">
        <v>876</v>
      </c>
      <c r="C1707" s="907"/>
      <c r="D1707" s="907"/>
      <c r="E1707" s="907"/>
      <c r="F1707" s="908"/>
      <c r="G1707" s="63"/>
      <c r="H1707" s="883"/>
      <c r="I1707" s="884"/>
    </row>
    <row r="1708" spans="2:10" ht="16.5" customHeight="1" thickBot="1" x14ac:dyDescent="0.2">
      <c r="B1708" s="909"/>
      <c r="C1708" s="910"/>
      <c r="D1708" s="910"/>
      <c r="E1708" s="910"/>
      <c r="F1708" s="911"/>
      <c r="G1708" s="1"/>
      <c r="H1708" s="873" t="s">
        <v>1557</v>
      </c>
      <c r="I1708" s="874"/>
    </row>
    <row r="1709" spans="2:10" ht="14" thickBot="1" x14ac:dyDescent="0.2">
      <c r="B1709" s="15"/>
      <c r="C1709" s="16"/>
      <c r="D1709" s="1"/>
      <c r="E1709" s="1"/>
      <c r="F1709" s="1"/>
      <c r="G1709" s="1"/>
      <c r="H1709" s="875"/>
      <c r="I1709" s="876"/>
    </row>
    <row r="1710" spans="2:10" ht="12.75" customHeight="1" x14ac:dyDescent="0.15">
      <c r="B1710" s="922" t="s">
        <v>836</v>
      </c>
      <c r="C1710" s="923"/>
      <c r="D1710" s="923"/>
      <c r="E1710" s="923"/>
      <c r="F1710" s="924"/>
      <c r="G1710" s="1"/>
      <c r="H1710" s="875"/>
      <c r="I1710" s="876"/>
    </row>
    <row r="1711" spans="2:10" ht="12.75" customHeight="1" x14ac:dyDescent="0.15">
      <c r="B1711" s="925"/>
      <c r="C1711" s="926"/>
      <c r="D1711" s="926"/>
      <c r="E1711" s="926"/>
      <c r="F1711" s="927"/>
      <c r="H1711" s="875"/>
      <c r="I1711" s="876"/>
    </row>
    <row r="1712" spans="2:10" ht="13.5" customHeight="1" x14ac:dyDescent="0.15">
      <c r="B1712" s="925"/>
      <c r="C1712" s="926"/>
      <c r="D1712" s="926"/>
      <c r="E1712" s="926"/>
      <c r="F1712" s="927"/>
      <c r="G1712" s="11"/>
      <c r="H1712" s="877"/>
      <c r="I1712" s="878"/>
    </row>
    <row r="1713" spans="2:11" ht="21.75" customHeight="1" thickBot="1" x14ac:dyDescent="0.2">
      <c r="B1713" s="928"/>
      <c r="C1713" s="929"/>
      <c r="D1713" s="929"/>
      <c r="E1713" s="929"/>
      <c r="F1713" s="930"/>
      <c r="H1713" s="64" t="s">
        <v>45</v>
      </c>
      <c r="I1713" s="17" t="s">
        <v>7</v>
      </c>
    </row>
    <row r="1714" spans="2:11" x14ac:dyDescent="0.15">
      <c r="B1714" s="18"/>
      <c r="C1714" s="18"/>
      <c r="D1714" s="1"/>
      <c r="E1714" s="18"/>
      <c r="F1714" s="18"/>
      <c r="G1714" s="18"/>
      <c r="H1714" s="18"/>
      <c r="I1714" s="1"/>
    </row>
    <row r="1715" spans="2:11" ht="14" thickBot="1" x14ac:dyDescent="0.2">
      <c r="B1715" s="12" t="s">
        <v>21</v>
      </c>
      <c r="C1715" s="12"/>
      <c r="D1715" s="1"/>
      <c r="E1715" s="1"/>
      <c r="F1715" s="1"/>
      <c r="G1715" s="1"/>
      <c r="H1715" s="1"/>
      <c r="I1715" s="1"/>
    </row>
    <row r="1716" spans="2:11" x14ac:dyDescent="0.15">
      <c r="B1716" s="903" t="s">
        <v>22</v>
      </c>
      <c r="C1716" s="904"/>
      <c r="D1716" s="905"/>
      <c r="E1716" s="209" t="s">
        <v>23</v>
      </c>
      <c r="F1716" s="19" t="s">
        <v>47</v>
      </c>
      <c r="G1716" s="209" t="s">
        <v>24</v>
      </c>
      <c r="H1716" s="208" t="s">
        <v>25</v>
      </c>
      <c r="I1716" s="43"/>
    </row>
    <row r="1717" spans="2:11" x14ac:dyDescent="0.15">
      <c r="B1717" s="897" t="s">
        <v>56</v>
      </c>
      <c r="C1717" s="898"/>
      <c r="D1717" s="899"/>
      <c r="E1717" s="5"/>
      <c r="F1717" s="162"/>
      <c r="G1717" s="58"/>
      <c r="H1717" s="162">
        <f>I1739*0.05</f>
        <v>1620.0744318181821</v>
      </c>
      <c r="I1717" s="44"/>
    </row>
    <row r="1718" spans="2:11" x14ac:dyDescent="0.15">
      <c r="B1718" s="897" t="s">
        <v>312</v>
      </c>
      <c r="C1718" s="898"/>
      <c r="D1718" s="899"/>
      <c r="E1718" s="5"/>
      <c r="F1718" s="162">
        <f>'HERRAMIENTAS Y EQUIPOS'!C23*4</f>
        <v>24000</v>
      </c>
      <c r="G1718" s="58">
        <v>22</v>
      </c>
      <c r="H1718" s="162">
        <f>F1718/G1718</f>
        <v>1090.909090909091</v>
      </c>
      <c r="I1718" s="44"/>
    </row>
    <row r="1719" spans="2:11" ht="14" thickBot="1" x14ac:dyDescent="0.2">
      <c r="B1719" s="900"/>
      <c r="C1719" s="901"/>
      <c r="D1719" s="902"/>
      <c r="E1719" s="21"/>
      <c r="F1719" s="22"/>
      <c r="G1719" s="23"/>
      <c r="H1719" s="47"/>
      <c r="I1719" s="48"/>
    </row>
    <row r="1720" spans="2:11" ht="14" thickBot="1" x14ac:dyDescent="0.2">
      <c r="B1720" s="1"/>
      <c r="C1720" s="1"/>
      <c r="D1720" s="1"/>
      <c r="E1720" s="1"/>
      <c r="F1720" s="1"/>
      <c r="G1720" s="1"/>
      <c r="H1720" s="37" t="s">
        <v>26</v>
      </c>
      <c r="I1720" s="163">
        <f>SUM(H1717:H1719)</f>
        <v>2710.9835227272733</v>
      </c>
    </row>
    <row r="1721" spans="2:11" ht="14" thickBot="1" x14ac:dyDescent="0.2">
      <c r="B1721" s="12" t="s">
        <v>27</v>
      </c>
      <c r="C1721" s="12"/>
      <c r="D1721" s="1"/>
      <c r="E1721" s="1"/>
      <c r="F1721" s="1"/>
      <c r="G1721" s="1"/>
      <c r="H1721" s="1"/>
      <c r="I1721" s="1"/>
    </row>
    <row r="1722" spans="2:11" x14ac:dyDescent="0.15">
      <c r="B1722" s="903" t="s">
        <v>22</v>
      </c>
      <c r="C1722" s="904"/>
      <c r="D1722" s="905"/>
      <c r="E1722" s="209" t="s">
        <v>28</v>
      </c>
      <c r="F1722" s="209" t="s">
        <v>29</v>
      </c>
      <c r="G1722" s="209" t="s">
        <v>30</v>
      </c>
      <c r="H1722" s="208" t="s">
        <v>25</v>
      </c>
      <c r="I1722" s="43"/>
    </row>
    <row r="1723" spans="2:11" x14ac:dyDescent="0.15">
      <c r="B1723" s="4" t="s">
        <v>557</v>
      </c>
      <c r="C1723" s="24"/>
      <c r="D1723" s="6"/>
      <c r="E1723" s="3" t="s">
        <v>58</v>
      </c>
      <c r="F1723" s="166">
        <f>'APU -BASICOS'!H204</f>
        <v>9182</v>
      </c>
      <c r="G1723" s="73">
        <f>(6*1.2*1)</f>
        <v>7.1999999999999993</v>
      </c>
      <c r="H1723" s="165">
        <f>G1723*F1723</f>
        <v>66110.399999999994</v>
      </c>
      <c r="I1723" s="44"/>
    </row>
    <row r="1724" spans="2:11" x14ac:dyDescent="0.15">
      <c r="B1724" s="4" t="s">
        <v>558</v>
      </c>
      <c r="C1724" s="24"/>
      <c r="D1724" s="6"/>
      <c r="E1724" s="3" t="s">
        <v>58</v>
      </c>
      <c r="F1724" s="166">
        <f>'APU -BASICOS'!H260</f>
        <v>9182</v>
      </c>
      <c r="G1724" s="73">
        <f>(1.2*0.56*10)</f>
        <v>6.7200000000000006</v>
      </c>
      <c r="H1724" s="165">
        <f>G1724*F1724</f>
        <v>61703.040000000008</v>
      </c>
      <c r="I1724" s="44"/>
    </row>
    <row r="1725" spans="2:11" x14ac:dyDescent="0.15">
      <c r="B1725" s="4" t="s">
        <v>63</v>
      </c>
      <c r="C1725" s="24"/>
      <c r="D1725" s="6"/>
      <c r="E1725" s="3" t="s">
        <v>6</v>
      </c>
      <c r="F1725" s="164">
        <f>'APU -BASICOS'!H96</f>
        <v>555217</v>
      </c>
      <c r="G1725" s="73">
        <f>1*0.3*0.3</f>
        <v>0.09</v>
      </c>
      <c r="H1725" s="165">
        <f>G1725*F1725</f>
        <v>49969.53</v>
      </c>
      <c r="I1725" s="44"/>
    </row>
    <row r="1726" spans="2:11" ht="14" thickBot="1" x14ac:dyDescent="0.2">
      <c r="B1726" s="25"/>
      <c r="C1726" s="26"/>
      <c r="D1726" s="27"/>
      <c r="E1726" s="21"/>
      <c r="F1726" s="22"/>
      <c r="G1726" s="167"/>
      <c r="H1726" s="47"/>
      <c r="I1726" s="48"/>
      <c r="K1726" s="233"/>
    </row>
    <row r="1727" spans="2:11" ht="14" thickBot="1" x14ac:dyDescent="0.2">
      <c r="B1727" s="1"/>
      <c r="C1727" s="1"/>
      <c r="D1727" s="1"/>
      <c r="E1727" s="1"/>
      <c r="F1727" s="1"/>
      <c r="G1727" s="1"/>
      <c r="H1727" s="37" t="s">
        <v>26</v>
      </c>
      <c r="I1727" s="163">
        <f>SUM(H1723:H1725)</f>
        <v>177782.97</v>
      </c>
    </row>
    <row r="1728" spans="2:11" ht="14" thickBot="1" x14ac:dyDescent="0.2">
      <c r="B1728" s="28" t="s">
        <v>31</v>
      </c>
      <c r="C1728" s="28"/>
      <c r="D1728" s="26"/>
      <c r="E1728" s="1"/>
      <c r="F1728" s="1"/>
      <c r="G1728" s="1"/>
      <c r="H1728" s="1"/>
      <c r="I1728" s="1"/>
    </row>
    <row r="1729" spans="2:12" x14ac:dyDescent="0.15">
      <c r="B1729" s="51" t="s">
        <v>32</v>
      </c>
      <c r="C1729" s="52"/>
      <c r="D1729" s="97" t="s">
        <v>33</v>
      </c>
      <c r="E1729" s="209" t="s">
        <v>34</v>
      </c>
      <c r="F1729" s="209" t="s">
        <v>35</v>
      </c>
      <c r="G1729" s="209" t="s">
        <v>36</v>
      </c>
      <c r="H1729" s="59" t="s">
        <v>25</v>
      </c>
      <c r="I1729" s="43"/>
    </row>
    <row r="1730" spans="2:12" x14ac:dyDescent="0.15">
      <c r="B1730" s="4"/>
      <c r="C1730" s="24"/>
      <c r="D1730" s="60"/>
      <c r="E1730" s="2"/>
      <c r="F1730" s="2"/>
      <c r="G1730" s="162"/>
      <c r="H1730" s="55"/>
      <c r="I1730" s="44"/>
      <c r="K1730" s="106"/>
    </row>
    <row r="1731" spans="2:12" x14ac:dyDescent="0.15">
      <c r="B1731" s="107"/>
      <c r="C1731" s="66"/>
      <c r="D1731" s="67"/>
      <c r="E1731" s="68"/>
      <c r="F1731" s="68"/>
      <c r="G1731" s="69"/>
      <c r="H1731" s="65"/>
      <c r="I1731" s="44"/>
    </row>
    <row r="1732" spans="2:12" ht="14" thickBot="1" x14ac:dyDescent="0.2">
      <c r="B1732" s="33"/>
      <c r="C1732" s="54"/>
      <c r="D1732" s="21"/>
      <c r="E1732" s="22"/>
      <c r="F1732" s="23"/>
      <c r="G1732" s="47"/>
      <c r="H1732" s="21"/>
      <c r="I1732" s="48"/>
    </row>
    <row r="1733" spans="2:12" ht="14" thickBot="1" x14ac:dyDescent="0.2">
      <c r="B1733" s="1"/>
      <c r="C1733" s="1"/>
      <c r="D1733" s="1"/>
      <c r="E1733" s="1"/>
      <c r="F1733" s="1"/>
      <c r="G1733" s="1"/>
      <c r="H1733" s="37" t="s">
        <v>26</v>
      </c>
      <c r="I1733" s="163">
        <f>SUM(H1730:H1732)</f>
        <v>0</v>
      </c>
    </row>
    <row r="1734" spans="2:12" ht="14" thickBot="1" x14ac:dyDescent="0.2">
      <c r="B1734" s="28" t="s">
        <v>37</v>
      </c>
      <c r="C1734" s="28"/>
      <c r="D1734" s="1"/>
      <c r="E1734" s="1"/>
      <c r="F1734" s="1"/>
      <c r="G1734" s="1"/>
      <c r="H1734" s="1"/>
      <c r="I1734" s="1"/>
    </row>
    <row r="1735" spans="2:12" x14ac:dyDescent="0.15">
      <c r="B1735" s="51" t="s">
        <v>38</v>
      </c>
      <c r="C1735" s="86"/>
      <c r="D1735" s="31" t="s">
        <v>39</v>
      </c>
      <c r="E1735" s="209" t="s">
        <v>40</v>
      </c>
      <c r="F1735" s="19" t="s">
        <v>41</v>
      </c>
      <c r="G1735" s="31" t="s">
        <v>24</v>
      </c>
      <c r="H1735" s="208" t="s">
        <v>25</v>
      </c>
      <c r="I1735" s="43"/>
      <c r="K1735" s="106"/>
    </row>
    <row r="1736" spans="2:12" x14ac:dyDescent="0.15">
      <c r="B1736" s="4" t="s">
        <v>65</v>
      </c>
      <c r="C1736" s="24"/>
      <c r="D1736" s="32">
        <f>'MANO DE OBRA'!E15</f>
        <v>95333</v>
      </c>
      <c r="E1736" s="88">
        <v>1.75</v>
      </c>
      <c r="F1736" s="164">
        <f>+E1736*D1736</f>
        <v>166832.75</v>
      </c>
      <c r="G1736" s="20">
        <f>G1718</f>
        <v>22</v>
      </c>
      <c r="H1736" s="169">
        <f>+F1736/G1736</f>
        <v>7583.306818181818</v>
      </c>
      <c r="I1736" s="44"/>
      <c r="K1736" s="233"/>
    </row>
    <row r="1737" spans="2:12" x14ac:dyDescent="0.15">
      <c r="B1737" s="4" t="s">
        <v>94</v>
      </c>
      <c r="C1737" s="24"/>
      <c r="D1737" s="32">
        <f>'MANO DE OBRA'!E14*6</f>
        <v>312000</v>
      </c>
      <c r="E1737" s="88">
        <v>1.75</v>
      </c>
      <c r="F1737" s="164">
        <f>+E1737*D1737</f>
        <v>546000</v>
      </c>
      <c r="G1737" s="20">
        <f>G1718</f>
        <v>22</v>
      </c>
      <c r="H1737" s="169">
        <f>+F1737/G1737</f>
        <v>24818.18181818182</v>
      </c>
      <c r="I1737" s="44"/>
      <c r="L1737" s="174"/>
    </row>
    <row r="1738" spans="2:12" ht="14" thickBot="1" x14ac:dyDescent="0.2">
      <c r="B1738" s="33"/>
      <c r="C1738" s="34"/>
      <c r="D1738" s="22"/>
      <c r="E1738" s="21"/>
      <c r="F1738" s="22"/>
      <c r="G1738" s="23"/>
      <c r="H1738" s="47"/>
      <c r="I1738" s="48"/>
      <c r="K1738" s="106"/>
    </row>
    <row r="1739" spans="2:12" ht="14" thickBot="1" x14ac:dyDescent="0.2">
      <c r="B1739" s="1"/>
      <c r="C1739" s="1"/>
      <c r="D1739" s="1"/>
      <c r="E1739" s="1"/>
      <c r="F1739" s="1"/>
      <c r="G1739" s="1"/>
      <c r="H1739" s="37" t="s">
        <v>26</v>
      </c>
      <c r="I1739" s="177">
        <f>SUM(H1736:H1738)</f>
        <v>32401.48863636364</v>
      </c>
    </row>
    <row r="1740" spans="2:12" ht="14" thickBot="1" x14ac:dyDescent="0.2">
      <c r="B1740" s="1"/>
      <c r="C1740" s="1"/>
      <c r="D1740" s="1"/>
      <c r="E1740" s="1"/>
      <c r="F1740" s="1"/>
      <c r="G1740" s="1"/>
      <c r="H1740" s="61"/>
      <c r="I1740" s="1"/>
    </row>
    <row r="1741" spans="2:12" ht="15" thickBot="1" x14ac:dyDescent="0.2">
      <c r="B1741" s="1"/>
      <c r="C1741" s="1"/>
      <c r="D1741" s="1"/>
      <c r="E1741" s="1"/>
      <c r="F1741" s="35" t="s">
        <v>43</v>
      </c>
      <c r="G1741" s="16"/>
      <c r="H1741" s="16"/>
      <c r="I1741" s="232">
        <f>ROUND((I1720+I1727+I1733+I1739),0)</f>
        <v>212895</v>
      </c>
    </row>
    <row r="1742" spans="2:12" x14ac:dyDescent="0.15">
      <c r="B1742" s="12"/>
      <c r="C1742" s="12"/>
      <c r="D1742" s="1"/>
      <c r="E1742" s="1"/>
      <c r="F1742" s="1"/>
      <c r="G1742" s="1"/>
      <c r="H1742" s="172"/>
      <c r="I1742" s="172"/>
    </row>
    <row r="1743" spans="2:12" x14ac:dyDescent="0.15">
      <c r="B1743" s="16"/>
      <c r="C1743" s="16"/>
      <c r="D1743" s="16"/>
      <c r="E1743" s="16"/>
      <c r="F1743" s="16"/>
      <c r="G1743" s="61"/>
      <c r="H1743" s="173"/>
      <c r="I1743" s="172"/>
    </row>
    <row r="1744" spans="2:12" x14ac:dyDescent="0.15">
      <c r="B1744" s="1"/>
      <c r="C1744" s="1"/>
      <c r="D1744" s="1"/>
      <c r="E1744" s="1"/>
      <c r="F1744" s="1"/>
      <c r="G1744" s="161"/>
      <c r="H1744" s="172"/>
      <c r="I1744" s="172"/>
    </row>
    <row r="1745" spans="2:10" x14ac:dyDescent="0.15">
      <c r="B1745" s="1"/>
      <c r="C1745" s="1"/>
      <c r="D1745" s="1"/>
      <c r="E1745" s="1"/>
      <c r="F1745" s="1"/>
      <c r="G1745" s="161"/>
      <c r="H1745" s="172"/>
      <c r="I1745" s="172"/>
    </row>
    <row r="1746" spans="2:10" x14ac:dyDescent="0.15">
      <c r="B1746" s="1"/>
      <c r="C1746" s="1"/>
      <c r="D1746" s="1"/>
      <c r="E1746" s="1"/>
      <c r="F1746" s="1"/>
      <c r="G1746" s="161"/>
      <c r="H1746" s="172"/>
      <c r="I1746" s="172"/>
    </row>
    <row r="1747" spans="2:10" x14ac:dyDescent="0.15">
      <c r="B1747" s="1"/>
      <c r="C1747" s="1"/>
      <c r="D1747" s="1"/>
      <c r="E1747" s="1"/>
      <c r="F1747" s="1"/>
      <c r="G1747" s="1"/>
      <c r="H1747" s="37"/>
      <c r="I1747" s="172"/>
    </row>
    <row r="1748" spans="2:10" ht="14" x14ac:dyDescent="0.15">
      <c r="B1748" s="102"/>
      <c r="C1748" s="1"/>
      <c r="D1748" s="1"/>
      <c r="E1748" s="1"/>
      <c r="F1748" s="1"/>
      <c r="G1748" s="1"/>
      <c r="H1748" s="1"/>
      <c r="I1748" s="172"/>
    </row>
    <row r="1749" spans="2:10" ht="14" x14ac:dyDescent="0.15">
      <c r="B1749" s="83"/>
      <c r="C1749" s="11"/>
      <c r="D1749" s="1"/>
      <c r="E1749" s="916"/>
      <c r="F1749" s="916"/>
      <c r="G1749" s="916"/>
      <c r="H1749" s="916"/>
      <c r="I1749" s="171"/>
    </row>
    <row r="1750" spans="2:10" ht="14" x14ac:dyDescent="0.15">
      <c r="B1750" s="102"/>
      <c r="C1750" s="11"/>
      <c r="D1750" s="1"/>
      <c r="E1750" s="155"/>
      <c r="F1750" s="155"/>
      <c r="G1750" s="155"/>
      <c r="H1750" s="155"/>
      <c r="I1750" s="171"/>
    </row>
    <row r="1751" spans="2:10" ht="14" x14ac:dyDescent="0.15">
      <c r="B1751" s="83"/>
      <c r="C1751" s="11"/>
      <c r="D1751" s="1"/>
      <c r="E1751" s="155"/>
      <c r="F1751" s="155"/>
      <c r="G1751" s="155"/>
      <c r="H1751" s="155"/>
      <c r="I1751" s="171"/>
    </row>
    <row r="1752" spans="2:10" x14ac:dyDescent="0.15">
      <c r="B1752" s="11"/>
      <c r="C1752" s="11"/>
      <c r="D1752" s="1"/>
      <c r="E1752" s="155"/>
      <c r="F1752" s="155"/>
      <c r="G1752" s="155"/>
      <c r="H1752" s="155"/>
      <c r="I1752" s="171"/>
    </row>
    <row r="1753" spans="2:10" x14ac:dyDescent="0.15">
      <c r="B1753" s="11"/>
      <c r="C1753" s="11"/>
      <c r="D1753" s="1"/>
      <c r="E1753" s="155"/>
      <c r="F1753" s="155"/>
      <c r="G1753" s="155"/>
      <c r="H1753" s="155"/>
      <c r="I1753" s="171"/>
    </row>
    <row r="1754" spans="2:10" x14ac:dyDescent="0.15">
      <c r="B1754" s="11"/>
      <c r="C1754" s="11"/>
      <c r="D1754" s="1"/>
      <c r="E1754" s="155"/>
      <c r="F1754" s="155"/>
      <c r="G1754" s="155"/>
      <c r="H1754" s="155"/>
      <c r="I1754" s="171"/>
    </row>
    <row r="1755" spans="2:10" x14ac:dyDescent="0.15">
      <c r="B1755" s="11"/>
      <c r="C1755" s="11"/>
      <c r="D1755" s="1"/>
      <c r="E1755" s="155"/>
      <c r="F1755" s="155"/>
      <c r="G1755" s="155"/>
      <c r="H1755" s="155"/>
      <c r="I1755" s="171"/>
    </row>
    <row r="1756" spans="2:10" x14ac:dyDescent="0.15">
      <c r="B1756" s="11"/>
      <c r="C1756" s="11"/>
      <c r="D1756" s="1"/>
      <c r="E1756" s="155"/>
      <c r="F1756" s="155"/>
      <c r="G1756" s="155"/>
      <c r="H1756" s="155"/>
      <c r="I1756" s="171"/>
    </row>
    <row r="1757" spans="2:10" x14ac:dyDescent="0.15">
      <c r="B1757" s="11"/>
      <c r="C1757" s="11"/>
      <c r="D1757" s="1"/>
      <c r="E1757" s="155"/>
      <c r="F1757" s="155"/>
      <c r="G1757" s="155"/>
      <c r="H1757" s="155"/>
      <c r="I1757" s="171"/>
    </row>
    <row r="1758" spans="2:10" ht="14" x14ac:dyDescent="0.15">
      <c r="B1758" s="83"/>
      <c r="C1758" s="83"/>
      <c r="D1758" s="84"/>
      <c r="E1758" s="83"/>
      <c r="F1758" s="83"/>
      <c r="G1758" s="104"/>
      <c r="H1758" s="83"/>
      <c r="I1758" s="85"/>
      <c r="J1758" s="85"/>
    </row>
    <row r="1759" spans="2:10" ht="14" x14ac:dyDescent="0.15">
      <c r="B1759" s="83"/>
      <c r="C1759" s="83"/>
      <c r="D1759" s="84"/>
      <c r="E1759" s="83"/>
      <c r="F1759" s="83"/>
      <c r="G1759" s="104"/>
      <c r="H1759" s="83"/>
      <c r="I1759" s="85"/>
      <c r="J1759" s="85"/>
    </row>
    <row r="1760" spans="2:10" ht="14" thickBot="1" x14ac:dyDescent="0.2">
      <c r="B1760" s="11"/>
      <c r="C1760" s="11"/>
      <c r="D1760" s="1"/>
      <c r="E1760" s="155"/>
      <c r="F1760" s="155"/>
      <c r="G1760" s="155"/>
      <c r="H1760" s="155"/>
      <c r="I1760" s="171"/>
    </row>
    <row r="1761" spans="2:9" ht="21" customHeight="1" x14ac:dyDescent="0.15">
      <c r="B1761" s="885" t="s">
        <v>874</v>
      </c>
      <c r="C1761" s="886"/>
      <c r="D1761" s="886"/>
      <c r="E1761" s="886"/>
      <c r="F1761" s="887"/>
      <c r="G1761" s="1"/>
      <c r="H1761" s="879" t="s">
        <v>20</v>
      </c>
      <c r="I1761" s="880"/>
    </row>
    <row r="1762" spans="2:9" ht="16.5" customHeight="1" x14ac:dyDescent="0.15">
      <c r="B1762" s="888" t="s">
        <v>875</v>
      </c>
      <c r="C1762" s="889"/>
      <c r="D1762" s="889"/>
      <c r="E1762" s="889"/>
      <c r="F1762" s="890"/>
      <c r="G1762" s="63"/>
      <c r="H1762" s="881"/>
      <c r="I1762" s="882"/>
    </row>
    <row r="1763" spans="2:9" ht="12.75" customHeight="1" x14ac:dyDescent="0.15">
      <c r="B1763" s="906" t="s">
        <v>876</v>
      </c>
      <c r="C1763" s="907"/>
      <c r="D1763" s="907"/>
      <c r="E1763" s="907"/>
      <c r="F1763" s="908"/>
      <c r="G1763" s="63"/>
      <c r="H1763" s="883"/>
      <c r="I1763" s="884"/>
    </row>
    <row r="1764" spans="2:9" ht="16.5" customHeight="1" thickBot="1" x14ac:dyDescent="0.2">
      <c r="B1764" s="909"/>
      <c r="C1764" s="910"/>
      <c r="D1764" s="910"/>
      <c r="E1764" s="910"/>
      <c r="F1764" s="911"/>
      <c r="G1764" s="1"/>
      <c r="H1764" s="873" t="s">
        <v>1599</v>
      </c>
      <c r="I1764" s="874"/>
    </row>
    <row r="1765" spans="2:9" ht="14" thickBot="1" x14ac:dyDescent="0.2">
      <c r="B1765" s="15"/>
      <c r="C1765" s="16"/>
      <c r="D1765" s="1"/>
      <c r="E1765" s="1"/>
      <c r="F1765" s="1"/>
      <c r="G1765" s="1"/>
      <c r="H1765" s="875"/>
      <c r="I1765" s="876"/>
    </row>
    <row r="1766" spans="2:9" ht="12.75" customHeight="1" x14ac:dyDescent="0.15">
      <c r="B1766" s="922" t="s">
        <v>836</v>
      </c>
      <c r="C1766" s="923"/>
      <c r="D1766" s="923"/>
      <c r="E1766" s="923"/>
      <c r="F1766" s="924"/>
      <c r="G1766" s="1"/>
      <c r="H1766" s="875"/>
      <c r="I1766" s="876"/>
    </row>
    <row r="1767" spans="2:9" ht="12.75" customHeight="1" x14ac:dyDescent="0.15">
      <c r="B1767" s="925"/>
      <c r="C1767" s="926"/>
      <c r="D1767" s="926"/>
      <c r="E1767" s="926"/>
      <c r="F1767" s="927"/>
      <c r="H1767" s="875"/>
      <c r="I1767" s="876"/>
    </row>
    <row r="1768" spans="2:9" ht="13.5" customHeight="1" x14ac:dyDescent="0.15">
      <c r="B1768" s="925"/>
      <c r="C1768" s="926"/>
      <c r="D1768" s="926"/>
      <c r="E1768" s="926"/>
      <c r="F1768" s="927"/>
      <c r="G1768" s="11"/>
      <c r="H1768" s="877"/>
      <c r="I1768" s="878"/>
    </row>
    <row r="1769" spans="2:9" ht="21.75" customHeight="1" thickBot="1" x14ac:dyDescent="0.2">
      <c r="B1769" s="928"/>
      <c r="C1769" s="929"/>
      <c r="D1769" s="929"/>
      <c r="E1769" s="929"/>
      <c r="F1769" s="930"/>
      <c r="H1769" s="64" t="s">
        <v>45</v>
      </c>
      <c r="I1769" s="17" t="s">
        <v>7</v>
      </c>
    </row>
    <row r="1770" spans="2:9" x14ac:dyDescent="0.15">
      <c r="B1770" s="18"/>
      <c r="C1770" s="18"/>
      <c r="D1770" s="1"/>
      <c r="E1770" s="18"/>
      <c r="F1770" s="18"/>
      <c r="G1770" s="18"/>
      <c r="H1770" s="18"/>
      <c r="I1770" s="1"/>
    </row>
    <row r="1771" spans="2:9" ht="14" thickBot="1" x14ac:dyDescent="0.2">
      <c r="B1771" s="12" t="s">
        <v>21</v>
      </c>
      <c r="C1771" s="12"/>
      <c r="D1771" s="1"/>
      <c r="E1771" s="1"/>
      <c r="F1771" s="1"/>
      <c r="G1771" s="1"/>
      <c r="H1771" s="1"/>
      <c r="I1771" s="1"/>
    </row>
    <row r="1772" spans="2:9" x14ac:dyDescent="0.15">
      <c r="B1772" s="903" t="s">
        <v>22</v>
      </c>
      <c r="C1772" s="904"/>
      <c r="D1772" s="905"/>
      <c r="E1772" s="209" t="s">
        <v>23</v>
      </c>
      <c r="F1772" s="19" t="s">
        <v>47</v>
      </c>
      <c r="G1772" s="209" t="s">
        <v>24</v>
      </c>
      <c r="H1772" s="208" t="s">
        <v>25</v>
      </c>
      <c r="I1772" s="43"/>
    </row>
    <row r="1773" spans="2:9" x14ac:dyDescent="0.15">
      <c r="B1773" s="897" t="s">
        <v>56</v>
      </c>
      <c r="C1773" s="898"/>
      <c r="D1773" s="899"/>
      <c r="E1773" s="5"/>
      <c r="F1773" s="162"/>
      <c r="G1773" s="58"/>
      <c r="H1773" s="162">
        <f>I1795*0.05</f>
        <v>1620.0744318181821</v>
      </c>
      <c r="I1773" s="44"/>
    </row>
    <row r="1774" spans="2:9" x14ac:dyDescent="0.15">
      <c r="B1774" s="897" t="s">
        <v>312</v>
      </c>
      <c r="C1774" s="898"/>
      <c r="D1774" s="899"/>
      <c r="E1774" s="5"/>
      <c r="F1774" s="162">
        <f>'HERRAMIENTAS Y EQUIPOS'!C23*4</f>
        <v>24000</v>
      </c>
      <c r="G1774" s="58">
        <v>22</v>
      </c>
      <c r="H1774" s="162">
        <f>F1774/G1774</f>
        <v>1090.909090909091</v>
      </c>
      <c r="I1774" s="44"/>
    </row>
    <row r="1775" spans="2:9" ht="14" thickBot="1" x14ac:dyDescent="0.2">
      <c r="B1775" s="900"/>
      <c r="C1775" s="901"/>
      <c r="D1775" s="902"/>
      <c r="E1775" s="21"/>
      <c r="F1775" s="22"/>
      <c r="G1775" s="23"/>
      <c r="H1775" s="47"/>
      <c r="I1775" s="48"/>
    </row>
    <row r="1776" spans="2:9" ht="14" thickBot="1" x14ac:dyDescent="0.2">
      <c r="B1776" s="1"/>
      <c r="C1776" s="1"/>
      <c r="D1776" s="1"/>
      <c r="E1776" s="1"/>
      <c r="F1776" s="1"/>
      <c r="G1776" s="1"/>
      <c r="H1776" s="37" t="s">
        <v>26</v>
      </c>
      <c r="I1776" s="163">
        <f>SUM(H1773:H1775)</f>
        <v>2710.9835227272733</v>
      </c>
    </row>
    <row r="1777" spans="2:11" ht="14" thickBot="1" x14ac:dyDescent="0.2">
      <c r="B1777" s="12" t="s">
        <v>27</v>
      </c>
      <c r="C1777" s="12"/>
      <c r="D1777" s="1"/>
      <c r="E1777" s="1"/>
      <c r="F1777" s="1"/>
      <c r="G1777" s="1"/>
      <c r="H1777" s="1"/>
      <c r="I1777" s="1"/>
    </row>
    <row r="1778" spans="2:11" x14ac:dyDescent="0.15">
      <c r="B1778" s="903" t="s">
        <v>22</v>
      </c>
      <c r="C1778" s="904"/>
      <c r="D1778" s="905"/>
      <c r="E1778" s="209" t="s">
        <v>28</v>
      </c>
      <c r="F1778" s="209" t="s">
        <v>29</v>
      </c>
      <c r="G1778" s="209" t="s">
        <v>30</v>
      </c>
      <c r="H1778" s="208" t="s">
        <v>25</v>
      </c>
      <c r="I1778" s="43"/>
    </row>
    <row r="1779" spans="2:11" x14ac:dyDescent="0.15">
      <c r="B1779" s="4" t="s">
        <v>557</v>
      </c>
      <c r="C1779" s="24"/>
      <c r="D1779" s="6"/>
      <c r="E1779" s="3" t="s">
        <v>58</v>
      </c>
      <c r="F1779" s="166">
        <f>'APU -BASICOS'!H204</f>
        <v>9182</v>
      </c>
      <c r="G1779" s="73">
        <f>(4*1.2*1)</f>
        <v>4.8</v>
      </c>
      <c r="H1779" s="165">
        <f>G1779*F1779</f>
        <v>44073.599999999999</v>
      </c>
      <c r="I1779" s="44"/>
    </row>
    <row r="1780" spans="2:11" x14ac:dyDescent="0.15">
      <c r="B1780" s="4" t="s">
        <v>558</v>
      </c>
      <c r="C1780" s="24"/>
      <c r="D1780" s="6"/>
      <c r="E1780" s="3" t="s">
        <v>58</v>
      </c>
      <c r="F1780" s="166">
        <f>'APU -BASICOS'!H260</f>
        <v>9182</v>
      </c>
      <c r="G1780" s="73">
        <f>(1*0.56*7)</f>
        <v>3.9200000000000004</v>
      </c>
      <c r="H1780" s="165">
        <f>G1780*F1780</f>
        <v>35993.440000000002</v>
      </c>
      <c r="I1780" s="44"/>
    </row>
    <row r="1781" spans="2:11" x14ac:dyDescent="0.15">
      <c r="B1781" s="4" t="s">
        <v>63</v>
      </c>
      <c r="C1781" s="24"/>
      <c r="D1781" s="6"/>
      <c r="E1781" s="3" t="s">
        <v>6</v>
      </c>
      <c r="F1781" s="164">
        <f>'APU -BASICOS'!H96</f>
        <v>555217</v>
      </c>
      <c r="G1781" s="73">
        <f>1*0.25*0.2</f>
        <v>0.05</v>
      </c>
      <c r="H1781" s="165">
        <f>G1781*F1781</f>
        <v>27760.850000000002</v>
      </c>
      <c r="I1781" s="44"/>
    </row>
    <row r="1782" spans="2:11" ht="14" thickBot="1" x14ac:dyDescent="0.2">
      <c r="B1782" s="25"/>
      <c r="C1782" s="26"/>
      <c r="D1782" s="27"/>
      <c r="E1782" s="21"/>
      <c r="F1782" s="22"/>
      <c r="G1782" s="167"/>
      <c r="H1782" s="47"/>
      <c r="I1782" s="48"/>
      <c r="K1782" s="233"/>
    </row>
    <row r="1783" spans="2:11" ht="14" thickBot="1" x14ac:dyDescent="0.2">
      <c r="B1783" s="1"/>
      <c r="C1783" s="1"/>
      <c r="D1783" s="1"/>
      <c r="E1783" s="1"/>
      <c r="F1783" s="1"/>
      <c r="G1783" s="1"/>
      <c r="H1783" s="37" t="s">
        <v>26</v>
      </c>
      <c r="I1783" s="163">
        <f>SUM(H1779:H1781)</f>
        <v>107827.89000000001</v>
      </c>
    </row>
    <row r="1784" spans="2:11" ht="14" thickBot="1" x14ac:dyDescent="0.2">
      <c r="B1784" s="28" t="s">
        <v>31</v>
      </c>
      <c r="C1784" s="28"/>
      <c r="D1784" s="26"/>
      <c r="E1784" s="1"/>
      <c r="F1784" s="1"/>
      <c r="G1784" s="1"/>
      <c r="H1784" s="1"/>
      <c r="I1784" s="1"/>
    </row>
    <row r="1785" spans="2:11" x14ac:dyDescent="0.15">
      <c r="B1785" s="51" t="s">
        <v>32</v>
      </c>
      <c r="C1785" s="52"/>
      <c r="D1785" s="97" t="s">
        <v>33</v>
      </c>
      <c r="E1785" s="209" t="s">
        <v>34</v>
      </c>
      <c r="F1785" s="209" t="s">
        <v>35</v>
      </c>
      <c r="G1785" s="209" t="s">
        <v>36</v>
      </c>
      <c r="H1785" s="59" t="s">
        <v>25</v>
      </c>
      <c r="I1785" s="43"/>
    </row>
    <row r="1786" spans="2:11" x14ac:dyDescent="0.15">
      <c r="B1786" s="4"/>
      <c r="C1786" s="24"/>
      <c r="D1786" s="60"/>
      <c r="E1786" s="2"/>
      <c r="F1786" s="2"/>
      <c r="G1786" s="162"/>
      <c r="H1786" s="55"/>
      <c r="I1786" s="44"/>
      <c r="K1786" s="106"/>
    </row>
    <row r="1787" spans="2:11" x14ac:dyDescent="0.15">
      <c r="B1787" s="107"/>
      <c r="C1787" s="66"/>
      <c r="D1787" s="67"/>
      <c r="E1787" s="68"/>
      <c r="F1787" s="68"/>
      <c r="G1787" s="69"/>
      <c r="H1787" s="65"/>
      <c r="I1787" s="44"/>
    </row>
    <row r="1788" spans="2:11" ht="14" thickBot="1" x14ac:dyDescent="0.2">
      <c r="B1788" s="33"/>
      <c r="C1788" s="54"/>
      <c r="D1788" s="21"/>
      <c r="E1788" s="22"/>
      <c r="F1788" s="23"/>
      <c r="G1788" s="47"/>
      <c r="H1788" s="21"/>
      <c r="I1788" s="48"/>
    </row>
    <row r="1789" spans="2:11" ht="14" thickBot="1" x14ac:dyDescent="0.2">
      <c r="B1789" s="1"/>
      <c r="C1789" s="1"/>
      <c r="D1789" s="1"/>
      <c r="E1789" s="1"/>
      <c r="F1789" s="1"/>
      <c r="G1789" s="1"/>
      <c r="H1789" s="37" t="s">
        <v>26</v>
      </c>
      <c r="I1789" s="163">
        <f>SUM(H1786:H1788)</f>
        <v>0</v>
      </c>
      <c r="K1789" s="106"/>
    </row>
    <row r="1790" spans="2:11" ht="14" thickBot="1" x14ac:dyDescent="0.2">
      <c r="B1790" s="28" t="s">
        <v>37</v>
      </c>
      <c r="C1790" s="28"/>
      <c r="D1790" s="1"/>
      <c r="E1790" s="1"/>
      <c r="F1790" s="1"/>
      <c r="G1790" s="1"/>
      <c r="H1790" s="1"/>
      <c r="I1790" s="1"/>
    </row>
    <row r="1791" spans="2:11" x14ac:dyDescent="0.15">
      <c r="B1791" s="51" t="s">
        <v>38</v>
      </c>
      <c r="C1791" s="86"/>
      <c r="D1791" s="31" t="s">
        <v>39</v>
      </c>
      <c r="E1791" s="209" t="s">
        <v>40</v>
      </c>
      <c r="F1791" s="19" t="s">
        <v>41</v>
      </c>
      <c r="G1791" s="31" t="s">
        <v>24</v>
      </c>
      <c r="H1791" s="208" t="s">
        <v>25</v>
      </c>
      <c r="I1791" s="43"/>
      <c r="K1791" s="106"/>
    </row>
    <row r="1792" spans="2:11" x14ac:dyDescent="0.15">
      <c r="B1792" s="4" t="s">
        <v>65</v>
      </c>
      <c r="C1792" s="24"/>
      <c r="D1792" s="32">
        <f>'MANO DE OBRA'!E15</f>
        <v>95333</v>
      </c>
      <c r="E1792" s="88">
        <v>1.75</v>
      </c>
      <c r="F1792" s="164">
        <f>+E1792*D1792</f>
        <v>166832.75</v>
      </c>
      <c r="G1792" s="20">
        <v>22</v>
      </c>
      <c r="H1792" s="169">
        <f>+F1792/G1792</f>
        <v>7583.306818181818</v>
      </c>
      <c r="I1792" s="44"/>
      <c r="K1792" s="233"/>
    </row>
    <row r="1793" spans="2:12" x14ac:dyDescent="0.15">
      <c r="B1793" s="4" t="s">
        <v>94</v>
      </c>
      <c r="C1793" s="24"/>
      <c r="D1793" s="32">
        <f>'MANO DE OBRA'!E14*6</f>
        <v>312000</v>
      </c>
      <c r="E1793" s="88">
        <v>1.75</v>
      </c>
      <c r="F1793" s="164">
        <f>+E1793*D1793</f>
        <v>546000</v>
      </c>
      <c r="G1793" s="20">
        <v>22</v>
      </c>
      <c r="H1793" s="169">
        <f>+F1793/G1793</f>
        <v>24818.18181818182</v>
      </c>
      <c r="I1793" s="44"/>
      <c r="L1793" s="174"/>
    </row>
    <row r="1794" spans="2:12" ht="14" thickBot="1" x14ac:dyDescent="0.2">
      <c r="B1794" s="33"/>
      <c r="C1794" s="34"/>
      <c r="D1794" s="22"/>
      <c r="E1794" s="21"/>
      <c r="F1794" s="22"/>
      <c r="G1794" s="23"/>
      <c r="H1794" s="47"/>
      <c r="I1794" s="48"/>
      <c r="K1794" s="106"/>
    </row>
    <row r="1795" spans="2:12" ht="14" thickBot="1" x14ac:dyDescent="0.2">
      <c r="B1795" s="1"/>
      <c r="C1795" s="1"/>
      <c r="D1795" s="1"/>
      <c r="E1795" s="1"/>
      <c r="F1795" s="1"/>
      <c r="G1795" s="1"/>
      <c r="H1795" s="37" t="s">
        <v>26</v>
      </c>
      <c r="I1795" s="177">
        <f>SUM(H1792:H1794)</f>
        <v>32401.48863636364</v>
      </c>
      <c r="K1795" s="106"/>
      <c r="L1795" s="106"/>
    </row>
    <row r="1796" spans="2:12" ht="14" thickBot="1" x14ac:dyDescent="0.2">
      <c r="B1796" s="1"/>
      <c r="C1796" s="1"/>
      <c r="D1796" s="1"/>
      <c r="E1796" s="1"/>
      <c r="F1796" s="1"/>
      <c r="G1796" s="1"/>
      <c r="H1796" s="61"/>
      <c r="I1796" s="1"/>
    </row>
    <row r="1797" spans="2:12" ht="15" thickBot="1" x14ac:dyDescent="0.2">
      <c r="B1797" s="1"/>
      <c r="C1797" s="1"/>
      <c r="D1797" s="1"/>
      <c r="E1797" s="1"/>
      <c r="F1797" s="35" t="s">
        <v>43</v>
      </c>
      <c r="G1797" s="16"/>
      <c r="H1797" s="16"/>
      <c r="I1797" s="232">
        <f>ROUND((I1776+I1783+I1789+I1795),0)</f>
        <v>142940</v>
      </c>
      <c r="K1797" s="106"/>
    </row>
    <row r="1798" spans="2:12" x14ac:dyDescent="0.15">
      <c r="B1798" s="12"/>
      <c r="C1798" s="12"/>
      <c r="D1798" s="1"/>
      <c r="E1798" s="1"/>
      <c r="F1798" s="1"/>
      <c r="G1798" s="1"/>
      <c r="H1798" s="172"/>
      <c r="I1798" s="172"/>
      <c r="L1798" s="106"/>
    </row>
    <row r="1799" spans="2:12" x14ac:dyDescent="0.15">
      <c r="B1799" s="16"/>
      <c r="C1799" s="16"/>
      <c r="D1799" s="16"/>
      <c r="E1799" s="16"/>
      <c r="F1799" s="16"/>
      <c r="G1799" s="61"/>
      <c r="H1799" s="173"/>
      <c r="I1799" s="172"/>
    </row>
    <row r="1800" spans="2:12" x14ac:dyDescent="0.15">
      <c r="B1800" s="1"/>
      <c r="C1800" s="1"/>
      <c r="D1800" s="1"/>
      <c r="E1800" s="1"/>
      <c r="F1800" s="1"/>
      <c r="G1800" s="161"/>
      <c r="H1800" s="172"/>
      <c r="I1800" s="172"/>
    </row>
    <row r="1801" spans="2:12" x14ac:dyDescent="0.15">
      <c r="B1801" s="1"/>
      <c r="C1801" s="1"/>
      <c r="D1801" s="1"/>
      <c r="E1801" s="1"/>
      <c r="F1801" s="1"/>
      <c r="G1801" s="161"/>
      <c r="H1801" s="172"/>
      <c r="I1801" s="172"/>
    </row>
    <row r="1802" spans="2:12" x14ac:dyDescent="0.15">
      <c r="B1802" s="1"/>
      <c r="C1802" s="1"/>
      <c r="D1802" s="1"/>
      <c r="E1802" s="1"/>
      <c r="F1802" s="1"/>
      <c r="G1802" s="161"/>
      <c r="H1802" s="172"/>
      <c r="I1802" s="172"/>
    </row>
    <row r="1803" spans="2:12" x14ac:dyDescent="0.15">
      <c r="B1803" s="1"/>
      <c r="C1803" s="1"/>
      <c r="D1803" s="1"/>
      <c r="E1803" s="1"/>
      <c r="F1803" s="1"/>
      <c r="G1803" s="1"/>
      <c r="H1803" s="37"/>
      <c r="I1803" s="172"/>
    </row>
    <row r="1804" spans="2:12" ht="14" x14ac:dyDescent="0.15">
      <c r="B1804" s="102"/>
      <c r="C1804" s="1"/>
      <c r="D1804" s="1"/>
      <c r="E1804" s="1"/>
      <c r="F1804" s="1"/>
      <c r="G1804" s="1"/>
      <c r="H1804" s="1"/>
      <c r="I1804" s="172"/>
    </row>
    <row r="1805" spans="2:12" ht="14" x14ac:dyDescent="0.15">
      <c r="B1805" s="83"/>
      <c r="C1805" s="11"/>
      <c r="D1805" s="1"/>
      <c r="E1805" s="916"/>
      <c r="F1805" s="916"/>
      <c r="G1805" s="916"/>
      <c r="H1805" s="916"/>
      <c r="I1805" s="171"/>
    </row>
    <row r="1806" spans="2:12" ht="14" x14ac:dyDescent="0.15">
      <c r="B1806" s="102"/>
      <c r="C1806" s="11"/>
      <c r="D1806" s="1"/>
      <c r="E1806" s="155"/>
      <c r="F1806" s="155"/>
      <c r="G1806" s="155"/>
      <c r="H1806" s="155"/>
      <c r="I1806" s="171"/>
    </row>
    <row r="1807" spans="2:12" ht="14" x14ac:dyDescent="0.15">
      <c r="B1807" s="83"/>
      <c r="C1807" s="11"/>
      <c r="D1807" s="1"/>
      <c r="E1807" s="155"/>
      <c r="F1807" s="155"/>
      <c r="G1807" s="155"/>
      <c r="H1807" s="155"/>
      <c r="I1807" s="171"/>
    </row>
    <row r="1808" spans="2:12" x14ac:dyDescent="0.15">
      <c r="B1808" s="11"/>
      <c r="C1808" s="11"/>
      <c r="D1808" s="1"/>
      <c r="E1808" s="155"/>
      <c r="F1808" s="155"/>
      <c r="G1808" s="155"/>
      <c r="H1808" s="155"/>
      <c r="I1808" s="171"/>
    </row>
    <row r="1809" spans="2:10" x14ac:dyDescent="0.15">
      <c r="B1809" s="11"/>
      <c r="C1809" s="11"/>
      <c r="D1809" s="1"/>
      <c r="E1809" s="155"/>
      <c r="F1809" s="155"/>
      <c r="G1809" s="155"/>
      <c r="H1809" s="155"/>
      <c r="I1809" s="171"/>
    </row>
    <row r="1810" spans="2:10" x14ac:dyDescent="0.15">
      <c r="B1810" s="11"/>
      <c r="C1810" s="11"/>
      <c r="D1810" s="1"/>
      <c r="E1810" s="155"/>
      <c r="F1810" s="155"/>
      <c r="G1810" s="155"/>
      <c r="H1810" s="155"/>
      <c r="I1810" s="171"/>
    </row>
    <row r="1811" spans="2:10" x14ac:dyDescent="0.15">
      <c r="B1811" s="11"/>
      <c r="C1811" s="11"/>
      <c r="D1811" s="1"/>
      <c r="E1811" s="155"/>
      <c r="F1811" s="155"/>
      <c r="G1811" s="155"/>
      <c r="H1811" s="155"/>
      <c r="I1811" s="171"/>
    </row>
    <row r="1812" spans="2:10" x14ac:dyDescent="0.15">
      <c r="B1812" s="11"/>
      <c r="C1812" s="11"/>
      <c r="D1812" s="1"/>
      <c r="E1812" s="155"/>
      <c r="F1812" s="155"/>
      <c r="G1812" s="155"/>
      <c r="H1812" s="155"/>
      <c r="I1812" s="171"/>
    </row>
    <row r="1813" spans="2:10" x14ac:dyDescent="0.15">
      <c r="B1813" s="11"/>
      <c r="C1813" s="11"/>
      <c r="D1813" s="1"/>
      <c r="E1813" s="155"/>
      <c r="F1813" s="155"/>
      <c r="G1813" s="155"/>
      <c r="H1813" s="155"/>
      <c r="I1813" s="171"/>
    </row>
    <row r="1814" spans="2:10" ht="14" x14ac:dyDescent="0.15">
      <c r="B1814" s="83"/>
      <c r="C1814" s="83"/>
      <c r="D1814" s="84"/>
      <c r="E1814" s="83"/>
      <c r="F1814" s="83"/>
      <c r="G1814" s="104"/>
      <c r="H1814" s="83"/>
      <c r="I1814" s="85"/>
      <c r="J1814" s="85"/>
    </row>
    <row r="1815" spans="2:10" ht="14" x14ac:dyDescent="0.15">
      <c r="B1815" s="83"/>
      <c r="C1815" s="83"/>
      <c r="D1815" s="84"/>
      <c r="E1815" s="83"/>
      <c r="F1815" s="83"/>
      <c r="G1815" s="104"/>
      <c r="H1815" s="83"/>
      <c r="I1815" s="85"/>
      <c r="J1815" s="85"/>
    </row>
    <row r="1816" spans="2:10" ht="14" thickBot="1" x14ac:dyDescent="0.2">
      <c r="B1816" s="11"/>
      <c r="C1816" s="11"/>
      <c r="D1816" s="1"/>
      <c r="E1816" s="155"/>
      <c r="F1816" s="155"/>
      <c r="G1816" s="155"/>
      <c r="H1816" s="155"/>
      <c r="I1816" s="171"/>
    </row>
    <row r="1817" spans="2:10" ht="21" customHeight="1" x14ac:dyDescent="0.15">
      <c r="B1817" s="885" t="s">
        <v>874</v>
      </c>
      <c r="C1817" s="886"/>
      <c r="D1817" s="886"/>
      <c r="E1817" s="886"/>
      <c r="F1817" s="887"/>
      <c r="G1817" s="1"/>
      <c r="H1817" s="879" t="s">
        <v>20</v>
      </c>
      <c r="I1817" s="880"/>
    </row>
    <row r="1818" spans="2:10" ht="16.5" customHeight="1" x14ac:dyDescent="0.15">
      <c r="B1818" s="888" t="s">
        <v>875</v>
      </c>
      <c r="C1818" s="889"/>
      <c r="D1818" s="889"/>
      <c r="E1818" s="889"/>
      <c r="F1818" s="890"/>
      <c r="G1818" s="63"/>
      <c r="H1818" s="881"/>
      <c r="I1818" s="882"/>
    </row>
    <row r="1819" spans="2:10" ht="12.75" customHeight="1" x14ac:dyDescent="0.15">
      <c r="B1819" s="906" t="s">
        <v>876</v>
      </c>
      <c r="C1819" s="907"/>
      <c r="D1819" s="907"/>
      <c r="E1819" s="907"/>
      <c r="F1819" s="908"/>
      <c r="G1819" s="63"/>
      <c r="H1819" s="883"/>
      <c r="I1819" s="884"/>
    </row>
    <row r="1820" spans="2:10" ht="16.5" customHeight="1" thickBot="1" x14ac:dyDescent="0.2">
      <c r="B1820" s="909"/>
      <c r="C1820" s="910"/>
      <c r="D1820" s="910"/>
      <c r="E1820" s="910"/>
      <c r="F1820" s="911"/>
      <c r="G1820" s="1"/>
      <c r="H1820" s="873" t="s">
        <v>1601</v>
      </c>
      <c r="I1820" s="874"/>
    </row>
    <row r="1821" spans="2:10" ht="14" thickBot="1" x14ac:dyDescent="0.2">
      <c r="B1821" s="15"/>
      <c r="C1821" s="16"/>
      <c r="D1821" s="1"/>
      <c r="E1821" s="1"/>
      <c r="F1821" s="1"/>
      <c r="G1821" s="1"/>
      <c r="H1821" s="875"/>
      <c r="I1821" s="876"/>
    </row>
    <row r="1822" spans="2:10" ht="12.75" customHeight="1" x14ac:dyDescent="0.15">
      <c r="B1822" s="922" t="s">
        <v>836</v>
      </c>
      <c r="C1822" s="923"/>
      <c r="D1822" s="923"/>
      <c r="E1822" s="923"/>
      <c r="F1822" s="924"/>
      <c r="G1822" s="1"/>
      <c r="H1822" s="875"/>
      <c r="I1822" s="876"/>
    </row>
    <row r="1823" spans="2:10" ht="12.75" customHeight="1" x14ac:dyDescent="0.15">
      <c r="B1823" s="925"/>
      <c r="C1823" s="926"/>
      <c r="D1823" s="926"/>
      <c r="E1823" s="926"/>
      <c r="F1823" s="927"/>
      <c r="H1823" s="875"/>
      <c r="I1823" s="876"/>
    </row>
    <row r="1824" spans="2:10" ht="13.5" customHeight="1" x14ac:dyDescent="0.15">
      <c r="B1824" s="925"/>
      <c r="C1824" s="926"/>
      <c r="D1824" s="926"/>
      <c r="E1824" s="926"/>
      <c r="F1824" s="927"/>
      <c r="G1824" s="11"/>
      <c r="H1824" s="877"/>
      <c r="I1824" s="878"/>
    </row>
    <row r="1825" spans="2:11" ht="21.75" customHeight="1" thickBot="1" x14ac:dyDescent="0.2">
      <c r="B1825" s="928"/>
      <c r="C1825" s="929"/>
      <c r="D1825" s="929"/>
      <c r="E1825" s="929"/>
      <c r="F1825" s="930"/>
      <c r="H1825" s="64" t="s">
        <v>45</v>
      </c>
      <c r="I1825" s="17" t="s">
        <v>7</v>
      </c>
    </row>
    <row r="1826" spans="2:11" x14ac:dyDescent="0.15">
      <c r="B1826" s="18"/>
      <c r="C1826" s="18"/>
      <c r="D1826" s="1"/>
      <c r="E1826" s="18"/>
      <c r="F1826" s="18"/>
      <c r="G1826" s="18"/>
      <c r="H1826" s="18"/>
      <c r="I1826" s="1"/>
    </row>
    <row r="1827" spans="2:11" ht="14" thickBot="1" x14ac:dyDescent="0.2">
      <c r="B1827" s="12" t="s">
        <v>21</v>
      </c>
      <c r="C1827" s="12"/>
      <c r="D1827" s="1"/>
      <c r="E1827" s="1"/>
      <c r="F1827" s="1"/>
      <c r="G1827" s="1"/>
      <c r="H1827" s="1"/>
      <c r="I1827" s="1"/>
    </row>
    <row r="1828" spans="2:11" x14ac:dyDescent="0.15">
      <c r="B1828" s="903" t="s">
        <v>22</v>
      </c>
      <c r="C1828" s="904"/>
      <c r="D1828" s="905"/>
      <c r="E1828" s="209" t="s">
        <v>23</v>
      </c>
      <c r="F1828" s="19" t="s">
        <v>47</v>
      </c>
      <c r="G1828" s="209" t="s">
        <v>24</v>
      </c>
      <c r="H1828" s="208" t="s">
        <v>25</v>
      </c>
      <c r="I1828" s="43"/>
    </row>
    <row r="1829" spans="2:11" x14ac:dyDescent="0.15">
      <c r="B1829" s="897" t="s">
        <v>56</v>
      </c>
      <c r="C1829" s="898"/>
      <c r="D1829" s="899"/>
      <c r="E1829" s="5"/>
      <c r="F1829" s="162"/>
      <c r="G1829" s="58"/>
      <c r="H1829" s="162">
        <f>I1851*0.05</f>
        <v>1485.0682291666667</v>
      </c>
      <c r="I1829" s="44"/>
    </row>
    <row r="1830" spans="2:11" x14ac:dyDescent="0.15">
      <c r="B1830" s="897" t="s">
        <v>312</v>
      </c>
      <c r="C1830" s="898"/>
      <c r="D1830" s="899"/>
      <c r="E1830" s="5"/>
      <c r="F1830" s="162">
        <f>'HERRAMIENTAS Y EQUIPOS'!C23*4</f>
        <v>24000</v>
      </c>
      <c r="G1830" s="58">
        <v>24</v>
      </c>
      <c r="H1830" s="162">
        <f>F1830/G1830</f>
        <v>1000</v>
      </c>
      <c r="I1830" s="44"/>
    </row>
    <row r="1831" spans="2:11" ht="14" thickBot="1" x14ac:dyDescent="0.2">
      <c r="B1831" s="900"/>
      <c r="C1831" s="901"/>
      <c r="D1831" s="902"/>
      <c r="E1831" s="21"/>
      <c r="F1831" s="22"/>
      <c r="G1831" s="23"/>
      <c r="H1831" s="47"/>
      <c r="I1831" s="48"/>
    </row>
    <row r="1832" spans="2:11" ht="14" thickBot="1" x14ac:dyDescent="0.2">
      <c r="B1832" s="1"/>
      <c r="C1832" s="1"/>
      <c r="D1832" s="1"/>
      <c r="E1832" s="1"/>
      <c r="F1832" s="1"/>
      <c r="G1832" s="1"/>
      <c r="H1832" s="37" t="s">
        <v>26</v>
      </c>
      <c r="I1832" s="163">
        <f>SUM(H1829:H1831)</f>
        <v>2485.0682291666667</v>
      </c>
    </row>
    <row r="1833" spans="2:11" ht="14" thickBot="1" x14ac:dyDescent="0.2">
      <c r="B1833" s="12" t="s">
        <v>27</v>
      </c>
      <c r="C1833" s="12"/>
      <c r="D1833" s="1"/>
      <c r="E1833" s="1"/>
      <c r="F1833" s="1"/>
      <c r="G1833" s="1"/>
      <c r="H1833" s="1"/>
      <c r="I1833" s="1"/>
    </row>
    <row r="1834" spans="2:11" x14ac:dyDescent="0.15">
      <c r="B1834" s="903" t="s">
        <v>22</v>
      </c>
      <c r="C1834" s="904"/>
      <c r="D1834" s="905"/>
      <c r="E1834" s="209" t="s">
        <v>28</v>
      </c>
      <c r="F1834" s="209" t="s">
        <v>29</v>
      </c>
      <c r="G1834" s="209" t="s">
        <v>30</v>
      </c>
      <c r="H1834" s="208" t="s">
        <v>25</v>
      </c>
      <c r="I1834" s="43"/>
    </row>
    <row r="1835" spans="2:11" x14ac:dyDescent="0.15">
      <c r="B1835" s="4" t="s">
        <v>557</v>
      </c>
      <c r="C1835" s="24"/>
      <c r="D1835" s="6"/>
      <c r="E1835" s="3" t="s">
        <v>58</v>
      </c>
      <c r="F1835" s="166">
        <f>'APU -BASICOS'!H204</f>
        <v>9182</v>
      </c>
      <c r="G1835" s="73">
        <f>(4*1.2*0.56)</f>
        <v>2.6880000000000002</v>
      </c>
      <c r="H1835" s="165">
        <f>G1835*F1835</f>
        <v>24681.216</v>
      </c>
      <c r="I1835" s="44"/>
    </row>
    <row r="1836" spans="2:11" x14ac:dyDescent="0.15">
      <c r="B1836" s="4" t="s">
        <v>558</v>
      </c>
      <c r="C1836" s="24"/>
      <c r="D1836" s="6"/>
      <c r="E1836" s="3" t="s">
        <v>58</v>
      </c>
      <c r="F1836" s="166">
        <f>'APU -BASICOS'!H260</f>
        <v>9182</v>
      </c>
      <c r="G1836" s="73">
        <f>(1*0.56*7)</f>
        <v>3.9200000000000004</v>
      </c>
      <c r="H1836" s="165">
        <f>G1836*F1836</f>
        <v>35993.440000000002</v>
      </c>
      <c r="I1836" s="44"/>
    </row>
    <row r="1837" spans="2:11" x14ac:dyDescent="0.15">
      <c r="B1837" s="4" t="s">
        <v>63</v>
      </c>
      <c r="C1837" s="24"/>
      <c r="D1837" s="6"/>
      <c r="E1837" s="3" t="s">
        <v>6</v>
      </c>
      <c r="F1837" s="164">
        <f>'APU -BASICOS'!H96</f>
        <v>555217</v>
      </c>
      <c r="G1837" s="73">
        <f>1*0.25*0.2</f>
        <v>0.05</v>
      </c>
      <c r="H1837" s="165">
        <f>G1837*F1837</f>
        <v>27760.850000000002</v>
      </c>
      <c r="I1837" s="44"/>
    </row>
    <row r="1838" spans="2:11" ht="14" thickBot="1" x14ac:dyDescent="0.2">
      <c r="B1838" s="25"/>
      <c r="C1838" s="26"/>
      <c r="D1838" s="27"/>
      <c r="E1838" s="21"/>
      <c r="F1838" s="22"/>
      <c r="G1838" s="167"/>
      <c r="H1838" s="47"/>
      <c r="I1838" s="48"/>
      <c r="K1838" s="233"/>
    </row>
    <row r="1839" spans="2:11" ht="14" thickBot="1" x14ac:dyDescent="0.2">
      <c r="B1839" s="1"/>
      <c r="C1839" s="1"/>
      <c r="D1839" s="1"/>
      <c r="E1839" s="1"/>
      <c r="F1839" s="1"/>
      <c r="G1839" s="1"/>
      <c r="H1839" s="37" t="s">
        <v>26</v>
      </c>
      <c r="I1839" s="163">
        <f>SUM(H1835:H1837)</f>
        <v>88435.506000000008</v>
      </c>
    </row>
    <row r="1840" spans="2:11" ht="14" thickBot="1" x14ac:dyDescent="0.2">
      <c r="B1840" s="28" t="s">
        <v>31</v>
      </c>
      <c r="C1840" s="28"/>
      <c r="D1840" s="26"/>
      <c r="E1840" s="1"/>
      <c r="F1840" s="1"/>
      <c r="G1840" s="1"/>
      <c r="H1840" s="1"/>
      <c r="I1840" s="1"/>
    </row>
    <row r="1841" spans="2:12" x14ac:dyDescent="0.15">
      <c r="B1841" s="51" t="s">
        <v>32</v>
      </c>
      <c r="C1841" s="52"/>
      <c r="D1841" s="97" t="s">
        <v>33</v>
      </c>
      <c r="E1841" s="209" t="s">
        <v>34</v>
      </c>
      <c r="F1841" s="209" t="s">
        <v>35</v>
      </c>
      <c r="G1841" s="209" t="s">
        <v>36</v>
      </c>
      <c r="H1841" s="59" t="s">
        <v>25</v>
      </c>
      <c r="I1841" s="43"/>
    </row>
    <row r="1842" spans="2:12" x14ac:dyDescent="0.15">
      <c r="B1842" s="4"/>
      <c r="C1842" s="24"/>
      <c r="D1842" s="60"/>
      <c r="E1842" s="2"/>
      <c r="F1842" s="2"/>
      <c r="G1842" s="162"/>
      <c r="H1842" s="55"/>
      <c r="I1842" s="44"/>
      <c r="K1842" s="106"/>
    </row>
    <row r="1843" spans="2:12" x14ac:dyDescent="0.15">
      <c r="B1843" s="107"/>
      <c r="C1843" s="66"/>
      <c r="D1843" s="67"/>
      <c r="E1843" s="68"/>
      <c r="F1843" s="68"/>
      <c r="G1843" s="69"/>
      <c r="H1843" s="65"/>
      <c r="I1843" s="44"/>
    </row>
    <row r="1844" spans="2:12" ht="14" thickBot="1" x14ac:dyDescent="0.2">
      <c r="B1844" s="33"/>
      <c r="C1844" s="54"/>
      <c r="D1844" s="21"/>
      <c r="E1844" s="22"/>
      <c r="F1844" s="23"/>
      <c r="G1844" s="47"/>
      <c r="H1844" s="21"/>
      <c r="I1844" s="48"/>
    </row>
    <row r="1845" spans="2:12" ht="14" thickBot="1" x14ac:dyDescent="0.2">
      <c r="B1845" s="1"/>
      <c r="C1845" s="1"/>
      <c r="D1845" s="1"/>
      <c r="E1845" s="1"/>
      <c r="F1845" s="1"/>
      <c r="G1845" s="1"/>
      <c r="H1845" s="37" t="s">
        <v>26</v>
      </c>
      <c r="I1845" s="163">
        <f>SUM(H1842:H1844)</f>
        <v>0</v>
      </c>
      <c r="K1845" s="106"/>
    </row>
    <row r="1846" spans="2:12" ht="14" thickBot="1" x14ac:dyDescent="0.2">
      <c r="B1846" s="28" t="s">
        <v>37</v>
      </c>
      <c r="C1846" s="28"/>
      <c r="D1846" s="1"/>
      <c r="E1846" s="1"/>
      <c r="F1846" s="1"/>
      <c r="G1846" s="1"/>
      <c r="H1846" s="1"/>
      <c r="I1846" s="1"/>
    </row>
    <row r="1847" spans="2:12" x14ac:dyDescent="0.15">
      <c r="B1847" s="51" t="s">
        <v>38</v>
      </c>
      <c r="C1847" s="86"/>
      <c r="D1847" s="31" t="s">
        <v>39</v>
      </c>
      <c r="E1847" s="209" t="s">
        <v>40</v>
      </c>
      <c r="F1847" s="19" t="s">
        <v>41</v>
      </c>
      <c r="G1847" s="31" t="s">
        <v>24</v>
      </c>
      <c r="H1847" s="208" t="s">
        <v>25</v>
      </c>
      <c r="I1847" s="43"/>
      <c r="K1847" s="106"/>
    </row>
    <row r="1848" spans="2:12" x14ac:dyDescent="0.15">
      <c r="B1848" s="4" t="s">
        <v>65</v>
      </c>
      <c r="C1848" s="24"/>
      <c r="D1848" s="32">
        <f>'MANO DE OBRA'!E15</f>
        <v>95333</v>
      </c>
      <c r="E1848" s="88">
        <v>1.75</v>
      </c>
      <c r="F1848" s="164">
        <f>+E1848*D1848</f>
        <v>166832.75</v>
      </c>
      <c r="G1848" s="20">
        <v>24</v>
      </c>
      <c r="H1848" s="169">
        <f>+F1848/G1848</f>
        <v>6951.364583333333</v>
      </c>
      <c r="I1848" s="44"/>
      <c r="K1848" s="233"/>
    </row>
    <row r="1849" spans="2:12" x14ac:dyDescent="0.15">
      <c r="B1849" s="4" t="s">
        <v>94</v>
      </c>
      <c r="C1849" s="24"/>
      <c r="D1849" s="32">
        <f>'MANO DE OBRA'!E14*6</f>
        <v>312000</v>
      </c>
      <c r="E1849" s="88">
        <v>1.75</v>
      </c>
      <c r="F1849" s="164">
        <f>+E1849*D1849</f>
        <v>546000</v>
      </c>
      <c r="G1849" s="20">
        <v>24</v>
      </c>
      <c r="H1849" s="169">
        <f>+F1849/G1849</f>
        <v>22750</v>
      </c>
      <c r="I1849" s="44"/>
      <c r="L1849" s="174"/>
    </row>
    <row r="1850" spans="2:12" ht="14" thickBot="1" x14ac:dyDescent="0.2">
      <c r="B1850" s="33"/>
      <c r="C1850" s="34"/>
      <c r="D1850" s="22"/>
      <c r="E1850" s="21"/>
      <c r="F1850" s="22"/>
      <c r="G1850" s="23"/>
      <c r="H1850" s="47"/>
      <c r="I1850" s="48"/>
      <c r="K1850" s="106"/>
    </row>
    <row r="1851" spans="2:12" ht="14" thickBot="1" x14ac:dyDescent="0.2">
      <c r="B1851" s="1"/>
      <c r="C1851" s="1"/>
      <c r="D1851" s="1"/>
      <c r="E1851" s="1"/>
      <c r="F1851" s="1"/>
      <c r="G1851" s="1"/>
      <c r="H1851" s="37" t="s">
        <v>26</v>
      </c>
      <c r="I1851" s="177">
        <f>SUM(H1848:H1850)</f>
        <v>29701.364583333332</v>
      </c>
      <c r="K1851" s="106"/>
      <c r="L1851" s="106"/>
    </row>
    <row r="1852" spans="2:12" ht="14" thickBot="1" x14ac:dyDescent="0.2">
      <c r="B1852" s="1"/>
      <c r="C1852" s="1"/>
      <c r="D1852" s="1"/>
      <c r="E1852" s="1"/>
      <c r="F1852" s="1"/>
      <c r="G1852" s="1"/>
      <c r="H1852" s="61"/>
      <c r="I1852" s="1"/>
    </row>
    <row r="1853" spans="2:12" ht="15" thickBot="1" x14ac:dyDescent="0.2">
      <c r="B1853" s="1"/>
      <c r="C1853" s="1"/>
      <c r="D1853" s="1"/>
      <c r="E1853" s="1"/>
      <c r="F1853" s="35" t="s">
        <v>43</v>
      </c>
      <c r="G1853" s="16"/>
      <c r="H1853" s="16"/>
      <c r="I1853" s="232">
        <f>ROUND((I1832+I1839+I1845+I1851),0)</f>
        <v>120622</v>
      </c>
      <c r="K1853" s="106"/>
    </row>
    <row r="1854" spans="2:12" x14ac:dyDescent="0.15">
      <c r="B1854" s="12"/>
      <c r="C1854" s="12"/>
      <c r="D1854" s="1"/>
      <c r="E1854" s="1"/>
      <c r="F1854" s="1"/>
      <c r="G1854" s="1"/>
      <c r="H1854" s="172"/>
      <c r="I1854" s="172"/>
      <c r="L1854" s="106"/>
    </row>
    <row r="1855" spans="2:12" x14ac:dyDescent="0.15">
      <c r="B1855" s="16"/>
      <c r="C1855" s="16"/>
      <c r="D1855" s="16"/>
      <c r="E1855" s="16"/>
      <c r="F1855" s="16"/>
      <c r="G1855" s="61"/>
      <c r="H1855" s="173"/>
      <c r="I1855" s="172"/>
    </row>
    <row r="1856" spans="2:12" x14ac:dyDescent="0.15">
      <c r="B1856" s="1"/>
      <c r="C1856" s="1"/>
      <c r="D1856" s="1"/>
      <c r="E1856" s="1"/>
      <c r="F1856" s="1"/>
      <c r="G1856" s="161"/>
      <c r="H1856" s="172"/>
      <c r="I1856" s="172"/>
    </row>
    <row r="1857" spans="2:10" x14ac:dyDescent="0.15">
      <c r="B1857" s="1"/>
      <c r="C1857" s="1"/>
      <c r="D1857" s="1"/>
      <c r="E1857" s="1"/>
      <c r="F1857" s="1"/>
      <c r="G1857" s="161"/>
      <c r="H1857" s="172"/>
      <c r="I1857" s="172"/>
    </row>
    <row r="1858" spans="2:10" x14ac:dyDescent="0.15">
      <c r="B1858" s="1"/>
      <c r="C1858" s="1"/>
      <c r="D1858" s="1"/>
      <c r="E1858" s="1"/>
      <c r="F1858" s="1"/>
      <c r="G1858" s="161"/>
      <c r="H1858" s="172"/>
      <c r="I1858" s="172"/>
    </row>
    <row r="1859" spans="2:10" x14ac:dyDescent="0.15">
      <c r="B1859" s="1"/>
      <c r="C1859" s="1"/>
      <c r="D1859" s="1"/>
      <c r="E1859" s="1"/>
      <c r="F1859" s="1"/>
      <c r="G1859" s="1"/>
      <c r="H1859" s="37"/>
      <c r="I1859" s="172"/>
    </row>
    <row r="1860" spans="2:10" ht="14" x14ac:dyDescent="0.15">
      <c r="B1860" s="102"/>
      <c r="C1860" s="1"/>
      <c r="D1860" s="1"/>
      <c r="E1860" s="1"/>
      <c r="F1860" s="1"/>
      <c r="G1860" s="1"/>
      <c r="H1860" s="1"/>
      <c r="I1860" s="172"/>
    </row>
    <row r="1861" spans="2:10" ht="14" x14ac:dyDescent="0.15">
      <c r="B1861" s="83"/>
      <c r="C1861" s="11"/>
      <c r="D1861" s="1"/>
      <c r="E1861" s="916"/>
      <c r="F1861" s="916"/>
      <c r="G1861" s="916"/>
      <c r="H1861" s="916"/>
      <c r="I1861" s="171"/>
    </row>
    <row r="1862" spans="2:10" ht="14" x14ac:dyDescent="0.15">
      <c r="B1862" s="102"/>
      <c r="C1862" s="11"/>
      <c r="D1862" s="1"/>
      <c r="E1862" s="155"/>
      <c r="F1862" s="155"/>
      <c r="G1862" s="155"/>
      <c r="H1862" s="155"/>
      <c r="I1862" s="171"/>
    </row>
    <row r="1863" spans="2:10" ht="14" x14ac:dyDescent="0.15">
      <c r="B1863" s="83"/>
      <c r="C1863" s="11"/>
      <c r="D1863" s="1"/>
      <c r="E1863" s="155"/>
      <c r="F1863" s="155"/>
      <c r="G1863" s="155"/>
      <c r="H1863" s="155"/>
      <c r="I1863" s="171"/>
    </row>
    <row r="1864" spans="2:10" x14ac:dyDescent="0.15">
      <c r="B1864" s="11"/>
      <c r="C1864" s="11"/>
      <c r="D1864" s="1"/>
      <c r="E1864" s="155"/>
      <c r="F1864" s="155"/>
      <c r="G1864" s="155"/>
      <c r="H1864" s="155"/>
      <c r="I1864" s="171"/>
    </row>
    <row r="1865" spans="2:10" x14ac:dyDescent="0.15">
      <c r="B1865" s="11"/>
      <c r="C1865" s="11"/>
      <c r="D1865" s="1"/>
      <c r="E1865" s="155"/>
      <c r="F1865" s="155"/>
      <c r="G1865" s="155"/>
      <c r="H1865" s="155"/>
      <c r="I1865" s="171"/>
    </row>
    <row r="1866" spans="2:10" x14ac:dyDescent="0.15">
      <c r="B1866" s="11"/>
      <c r="C1866" s="11"/>
      <c r="D1866" s="1"/>
      <c r="E1866" s="155"/>
      <c r="F1866" s="155"/>
      <c r="G1866" s="155"/>
      <c r="H1866" s="155"/>
      <c r="I1866" s="171"/>
    </row>
    <row r="1867" spans="2:10" x14ac:dyDescent="0.15">
      <c r="B1867" s="11"/>
      <c r="C1867" s="11"/>
      <c r="D1867" s="1"/>
      <c r="E1867" s="155"/>
      <c r="F1867" s="155"/>
      <c r="G1867" s="155"/>
      <c r="H1867" s="155"/>
      <c r="I1867" s="171"/>
    </row>
    <row r="1868" spans="2:10" x14ac:dyDescent="0.15">
      <c r="B1868" s="11"/>
      <c r="C1868" s="11"/>
      <c r="D1868" s="1"/>
      <c r="E1868" s="155"/>
      <c r="F1868" s="155"/>
      <c r="G1868" s="155"/>
      <c r="H1868" s="155"/>
      <c r="I1868" s="171"/>
    </row>
    <row r="1869" spans="2:10" x14ac:dyDescent="0.15">
      <c r="B1869" s="11"/>
      <c r="C1869" s="11"/>
      <c r="D1869" s="1"/>
      <c r="E1869" s="155"/>
      <c r="F1869" s="155"/>
      <c r="G1869" s="155"/>
      <c r="H1869" s="155"/>
      <c r="I1869" s="171"/>
    </row>
    <row r="1870" spans="2:10" ht="14" x14ac:dyDescent="0.15">
      <c r="B1870" s="83"/>
      <c r="C1870" s="83"/>
      <c r="D1870" s="84"/>
      <c r="E1870" s="83"/>
      <c r="F1870" s="83"/>
      <c r="G1870" s="104"/>
      <c r="H1870" s="83"/>
      <c r="I1870" s="85"/>
      <c r="J1870" s="85"/>
    </row>
    <row r="1871" spans="2:10" ht="14" x14ac:dyDescent="0.15">
      <c r="B1871" s="83"/>
      <c r="C1871" s="83"/>
      <c r="D1871" s="84"/>
      <c r="E1871" s="83"/>
      <c r="F1871" s="83"/>
      <c r="G1871" s="104"/>
      <c r="H1871" s="83"/>
      <c r="I1871" s="85"/>
      <c r="J1871" s="85"/>
    </row>
    <row r="1872" spans="2:10" ht="14" thickBot="1" x14ac:dyDescent="0.2">
      <c r="B1872" s="11"/>
      <c r="C1872" s="11"/>
      <c r="D1872" s="1"/>
      <c r="E1872" s="155"/>
      <c r="F1872" s="155"/>
      <c r="G1872" s="155"/>
      <c r="H1872" s="155"/>
      <c r="I1872" s="171"/>
    </row>
    <row r="1873" spans="2:9" ht="21" customHeight="1" x14ac:dyDescent="0.15">
      <c r="B1873" s="885" t="s">
        <v>874</v>
      </c>
      <c r="C1873" s="886"/>
      <c r="D1873" s="886"/>
      <c r="E1873" s="886"/>
      <c r="F1873" s="887"/>
      <c r="G1873" s="1"/>
      <c r="H1873" s="879" t="s">
        <v>20</v>
      </c>
      <c r="I1873" s="880"/>
    </row>
    <row r="1874" spans="2:9" ht="16.5" customHeight="1" x14ac:dyDescent="0.15">
      <c r="B1874" s="888" t="s">
        <v>875</v>
      </c>
      <c r="C1874" s="889"/>
      <c r="D1874" s="889"/>
      <c r="E1874" s="889"/>
      <c r="F1874" s="890"/>
      <c r="G1874" s="63"/>
      <c r="H1874" s="881"/>
      <c r="I1874" s="882"/>
    </row>
    <row r="1875" spans="2:9" ht="12.75" customHeight="1" x14ac:dyDescent="0.15">
      <c r="B1875" s="906" t="s">
        <v>876</v>
      </c>
      <c r="C1875" s="907"/>
      <c r="D1875" s="907"/>
      <c r="E1875" s="907"/>
      <c r="F1875" s="908"/>
      <c r="G1875" s="63"/>
      <c r="H1875" s="883"/>
      <c r="I1875" s="884"/>
    </row>
    <row r="1876" spans="2:9" ht="16.5" customHeight="1" thickBot="1" x14ac:dyDescent="0.2">
      <c r="B1876" s="909"/>
      <c r="C1876" s="910"/>
      <c r="D1876" s="910"/>
      <c r="E1876" s="910"/>
      <c r="F1876" s="911"/>
      <c r="G1876" s="1"/>
      <c r="H1876" s="873" t="s">
        <v>1602</v>
      </c>
      <c r="I1876" s="874"/>
    </row>
    <row r="1877" spans="2:9" ht="14" thickBot="1" x14ac:dyDescent="0.2">
      <c r="B1877" s="15"/>
      <c r="C1877" s="16"/>
      <c r="D1877" s="1"/>
      <c r="E1877" s="1"/>
      <c r="F1877" s="1"/>
      <c r="G1877" s="1"/>
      <c r="H1877" s="875"/>
      <c r="I1877" s="876"/>
    </row>
    <row r="1878" spans="2:9" ht="12.75" customHeight="1" x14ac:dyDescent="0.15">
      <c r="B1878" s="922" t="s">
        <v>836</v>
      </c>
      <c r="C1878" s="923"/>
      <c r="D1878" s="923"/>
      <c r="E1878" s="923"/>
      <c r="F1878" s="924"/>
      <c r="G1878" s="1"/>
      <c r="H1878" s="875"/>
      <c r="I1878" s="876"/>
    </row>
    <row r="1879" spans="2:9" ht="12.75" customHeight="1" x14ac:dyDescent="0.15">
      <c r="B1879" s="925"/>
      <c r="C1879" s="926"/>
      <c r="D1879" s="926"/>
      <c r="E1879" s="926"/>
      <c r="F1879" s="927"/>
      <c r="H1879" s="875"/>
      <c r="I1879" s="876"/>
    </row>
    <row r="1880" spans="2:9" ht="13.5" customHeight="1" x14ac:dyDescent="0.15">
      <c r="B1880" s="925"/>
      <c r="C1880" s="926"/>
      <c r="D1880" s="926"/>
      <c r="E1880" s="926"/>
      <c r="F1880" s="927"/>
      <c r="G1880" s="11"/>
      <c r="H1880" s="877"/>
      <c r="I1880" s="878"/>
    </row>
    <row r="1881" spans="2:9" ht="21.75" customHeight="1" thickBot="1" x14ac:dyDescent="0.2">
      <c r="B1881" s="928"/>
      <c r="C1881" s="929"/>
      <c r="D1881" s="929"/>
      <c r="E1881" s="929"/>
      <c r="F1881" s="930"/>
      <c r="H1881" s="64" t="s">
        <v>45</v>
      </c>
      <c r="I1881" s="17" t="s">
        <v>7</v>
      </c>
    </row>
    <row r="1882" spans="2:9" x14ac:dyDescent="0.15">
      <c r="B1882" s="18"/>
      <c r="C1882" s="18"/>
      <c r="D1882" s="1"/>
      <c r="E1882" s="18"/>
      <c r="F1882" s="18"/>
      <c r="G1882" s="18"/>
      <c r="H1882" s="18"/>
      <c r="I1882" s="1"/>
    </row>
    <row r="1883" spans="2:9" ht="14" thickBot="1" x14ac:dyDescent="0.2">
      <c r="B1883" s="12" t="s">
        <v>21</v>
      </c>
      <c r="C1883" s="12"/>
      <c r="D1883" s="1"/>
      <c r="E1883" s="1"/>
      <c r="F1883" s="1"/>
      <c r="G1883" s="1"/>
      <c r="H1883" s="1"/>
      <c r="I1883" s="1"/>
    </row>
    <row r="1884" spans="2:9" x14ac:dyDescent="0.15">
      <c r="B1884" s="903" t="s">
        <v>22</v>
      </c>
      <c r="C1884" s="904"/>
      <c r="D1884" s="905"/>
      <c r="E1884" s="209" t="s">
        <v>23</v>
      </c>
      <c r="F1884" s="19" t="s">
        <v>47</v>
      </c>
      <c r="G1884" s="209" t="s">
        <v>24</v>
      </c>
      <c r="H1884" s="208" t="s">
        <v>25</v>
      </c>
      <c r="I1884" s="43"/>
    </row>
    <row r="1885" spans="2:9" x14ac:dyDescent="0.15">
      <c r="B1885" s="897" t="s">
        <v>56</v>
      </c>
      <c r="C1885" s="898"/>
      <c r="D1885" s="899"/>
      <c r="E1885" s="5"/>
      <c r="F1885" s="162"/>
      <c r="G1885" s="58"/>
      <c r="H1885" s="162">
        <f>I1907*0.05</f>
        <v>1620.0744318181821</v>
      </c>
      <c r="I1885" s="44"/>
    </row>
    <row r="1886" spans="2:9" x14ac:dyDescent="0.15">
      <c r="B1886" s="897" t="s">
        <v>312</v>
      </c>
      <c r="C1886" s="898"/>
      <c r="D1886" s="899"/>
      <c r="E1886" s="5"/>
      <c r="F1886" s="162">
        <f>'HERRAMIENTAS Y EQUIPOS'!C23*4</f>
        <v>24000</v>
      </c>
      <c r="G1886" s="58">
        <v>22</v>
      </c>
      <c r="H1886" s="162">
        <f>F1886/G1886</f>
        <v>1090.909090909091</v>
      </c>
      <c r="I1886" s="44"/>
    </row>
    <row r="1887" spans="2:9" ht="14" thickBot="1" x14ac:dyDescent="0.2">
      <c r="B1887" s="900"/>
      <c r="C1887" s="901"/>
      <c r="D1887" s="902"/>
      <c r="E1887" s="21"/>
      <c r="F1887" s="22"/>
      <c r="G1887" s="23"/>
      <c r="H1887" s="47"/>
      <c r="I1887" s="48"/>
    </row>
    <row r="1888" spans="2:9" ht="14" thickBot="1" x14ac:dyDescent="0.2">
      <c r="B1888" s="1"/>
      <c r="C1888" s="1"/>
      <c r="D1888" s="1"/>
      <c r="E1888" s="1"/>
      <c r="F1888" s="1"/>
      <c r="G1888" s="1"/>
      <c r="H1888" s="37" t="s">
        <v>26</v>
      </c>
      <c r="I1888" s="163">
        <f>SUM(H1885:H1887)</f>
        <v>2710.9835227272733</v>
      </c>
    </row>
    <row r="1889" spans="2:11" ht="14" thickBot="1" x14ac:dyDescent="0.2">
      <c r="B1889" s="12" t="s">
        <v>27</v>
      </c>
      <c r="C1889" s="12"/>
      <c r="D1889" s="1"/>
      <c r="E1889" s="1"/>
      <c r="F1889" s="1"/>
      <c r="G1889" s="1"/>
      <c r="H1889" s="1"/>
      <c r="I1889" s="1"/>
    </row>
    <row r="1890" spans="2:11" x14ac:dyDescent="0.15">
      <c r="B1890" s="903" t="s">
        <v>22</v>
      </c>
      <c r="C1890" s="904"/>
      <c r="D1890" s="905"/>
      <c r="E1890" s="209" t="s">
        <v>28</v>
      </c>
      <c r="F1890" s="209" t="s">
        <v>29</v>
      </c>
      <c r="G1890" s="209" t="s">
        <v>30</v>
      </c>
      <c r="H1890" s="208" t="s">
        <v>25</v>
      </c>
      <c r="I1890" s="43"/>
    </row>
    <row r="1891" spans="2:11" x14ac:dyDescent="0.15">
      <c r="B1891" s="4" t="s">
        <v>66</v>
      </c>
      <c r="C1891" s="24"/>
      <c r="D1891" s="6"/>
      <c r="E1891" s="3" t="s">
        <v>58</v>
      </c>
      <c r="F1891" s="166">
        <f>'APU -BASICOS'!H204</f>
        <v>9182</v>
      </c>
      <c r="G1891" s="73">
        <f>4.8*0.56*1</f>
        <v>2.6880000000000002</v>
      </c>
      <c r="H1891" s="165">
        <f>G1891*F1891</f>
        <v>24681.216</v>
      </c>
      <c r="I1891" s="44"/>
    </row>
    <row r="1892" spans="2:11" x14ac:dyDescent="0.15">
      <c r="B1892" s="4" t="s">
        <v>67</v>
      </c>
      <c r="C1892" s="24"/>
      <c r="D1892" s="6"/>
      <c r="E1892" s="3" t="s">
        <v>58</v>
      </c>
      <c r="F1892" s="166">
        <f>'APU -BASICOS'!H260</f>
        <v>9182</v>
      </c>
      <c r="G1892" s="73">
        <f>1*5*0.56</f>
        <v>2.8000000000000003</v>
      </c>
      <c r="H1892" s="165">
        <f>G1892*F1892</f>
        <v>25709.600000000002</v>
      </c>
      <c r="I1892" s="44"/>
    </row>
    <row r="1893" spans="2:11" x14ac:dyDescent="0.15">
      <c r="B1893" s="4" t="s">
        <v>63</v>
      </c>
      <c r="C1893" s="24"/>
      <c r="D1893" s="6"/>
      <c r="E1893" s="3" t="s">
        <v>6</v>
      </c>
      <c r="F1893" s="164">
        <f>'APU -BASICOS'!H96</f>
        <v>555217</v>
      </c>
      <c r="G1893" s="73">
        <f>0.25*0.25*1</f>
        <v>6.25E-2</v>
      </c>
      <c r="H1893" s="165">
        <f>G1893*F1893</f>
        <v>34701.0625</v>
      </c>
      <c r="I1893" s="44"/>
    </row>
    <row r="1894" spans="2:11" ht="14" thickBot="1" x14ac:dyDescent="0.2">
      <c r="B1894" s="25"/>
      <c r="C1894" s="26"/>
      <c r="D1894" s="27"/>
      <c r="E1894" s="21"/>
      <c r="F1894" s="22"/>
      <c r="G1894" s="167"/>
      <c r="H1894" s="47"/>
      <c r="I1894" s="48"/>
      <c r="K1894" s="233"/>
    </row>
    <row r="1895" spans="2:11" ht="14" thickBot="1" x14ac:dyDescent="0.2">
      <c r="B1895" s="1"/>
      <c r="C1895" s="1"/>
      <c r="D1895" s="1"/>
      <c r="E1895" s="1"/>
      <c r="F1895" s="1"/>
      <c r="G1895" s="1"/>
      <c r="H1895" s="37" t="s">
        <v>26</v>
      </c>
      <c r="I1895" s="163">
        <f>SUM(H1891:H1893)</f>
        <v>85091.878500000006</v>
      </c>
    </row>
    <row r="1896" spans="2:11" ht="14" thickBot="1" x14ac:dyDescent="0.2">
      <c r="B1896" s="28" t="s">
        <v>31</v>
      </c>
      <c r="C1896" s="28"/>
      <c r="D1896" s="26"/>
      <c r="E1896" s="1"/>
      <c r="F1896" s="1"/>
      <c r="G1896" s="1"/>
      <c r="H1896" s="1"/>
      <c r="I1896" s="1"/>
    </row>
    <row r="1897" spans="2:11" x14ac:dyDescent="0.15">
      <c r="B1897" s="51" t="s">
        <v>32</v>
      </c>
      <c r="C1897" s="52"/>
      <c r="D1897" s="97" t="s">
        <v>33</v>
      </c>
      <c r="E1897" s="209" t="s">
        <v>34</v>
      </c>
      <c r="F1897" s="209" t="s">
        <v>35</v>
      </c>
      <c r="G1897" s="209" t="s">
        <v>36</v>
      </c>
      <c r="H1897" s="59" t="s">
        <v>25</v>
      </c>
      <c r="I1897" s="43"/>
    </row>
    <row r="1898" spans="2:11" x14ac:dyDescent="0.15">
      <c r="B1898" s="4"/>
      <c r="C1898" s="24"/>
      <c r="D1898" s="60"/>
      <c r="E1898" s="2"/>
      <c r="F1898" s="2"/>
      <c r="G1898" s="162"/>
      <c r="H1898" s="55"/>
      <c r="I1898" s="44"/>
      <c r="K1898" s="106"/>
    </row>
    <row r="1899" spans="2:11" x14ac:dyDescent="0.15">
      <c r="B1899" s="107"/>
      <c r="C1899" s="66"/>
      <c r="D1899" s="67"/>
      <c r="E1899" s="68"/>
      <c r="F1899" s="68"/>
      <c r="G1899" s="69"/>
      <c r="H1899" s="65"/>
      <c r="I1899" s="44"/>
    </row>
    <row r="1900" spans="2:11" ht="14" thickBot="1" x14ac:dyDescent="0.2">
      <c r="B1900" s="33"/>
      <c r="C1900" s="54"/>
      <c r="D1900" s="21"/>
      <c r="E1900" s="22"/>
      <c r="F1900" s="23"/>
      <c r="G1900" s="47"/>
      <c r="H1900" s="21"/>
      <c r="I1900" s="48"/>
    </row>
    <row r="1901" spans="2:11" ht="14" thickBot="1" x14ac:dyDescent="0.2">
      <c r="B1901" s="1"/>
      <c r="C1901" s="1"/>
      <c r="D1901" s="1"/>
      <c r="E1901" s="1"/>
      <c r="F1901" s="1"/>
      <c r="G1901" s="1"/>
      <c r="H1901" s="37" t="s">
        <v>26</v>
      </c>
      <c r="I1901" s="163">
        <f>SUM(H1898:H1900)</f>
        <v>0</v>
      </c>
    </row>
    <row r="1902" spans="2:11" ht="14" thickBot="1" x14ac:dyDescent="0.2">
      <c r="B1902" s="28" t="s">
        <v>37</v>
      </c>
      <c r="C1902" s="28"/>
      <c r="D1902" s="1"/>
      <c r="E1902" s="1"/>
      <c r="F1902" s="1"/>
      <c r="G1902" s="1"/>
      <c r="H1902" s="1"/>
      <c r="I1902" s="1"/>
    </row>
    <row r="1903" spans="2:11" x14ac:dyDescent="0.15">
      <c r="B1903" s="51" t="s">
        <v>38</v>
      </c>
      <c r="C1903" s="86"/>
      <c r="D1903" s="31" t="s">
        <v>39</v>
      </c>
      <c r="E1903" s="209" t="s">
        <v>40</v>
      </c>
      <c r="F1903" s="19" t="s">
        <v>41</v>
      </c>
      <c r="G1903" s="31" t="s">
        <v>24</v>
      </c>
      <c r="H1903" s="208" t="s">
        <v>25</v>
      </c>
      <c r="I1903" s="43"/>
      <c r="K1903" s="106"/>
    </row>
    <row r="1904" spans="2:11" x14ac:dyDescent="0.15">
      <c r="B1904" s="4" t="s">
        <v>65</v>
      </c>
      <c r="C1904" s="24"/>
      <c r="D1904" s="32">
        <f>'MANO DE OBRA'!E15</f>
        <v>95333</v>
      </c>
      <c r="E1904" s="88">
        <v>1.75</v>
      </c>
      <c r="F1904" s="164">
        <f>+E1904*D1904</f>
        <v>166832.75</v>
      </c>
      <c r="G1904" s="20">
        <f>G1886</f>
        <v>22</v>
      </c>
      <c r="H1904" s="169">
        <f>+F1904/G1904</f>
        <v>7583.306818181818</v>
      </c>
      <c r="I1904" s="44"/>
    </row>
    <row r="1905" spans="2:11" x14ac:dyDescent="0.15">
      <c r="B1905" s="4" t="s">
        <v>94</v>
      </c>
      <c r="C1905" s="24"/>
      <c r="D1905" s="32">
        <f>'MANO DE OBRA'!E14*6</f>
        <v>312000</v>
      </c>
      <c r="E1905" s="88">
        <v>1.75</v>
      </c>
      <c r="F1905" s="164">
        <f>+E1905*D1905</f>
        <v>546000</v>
      </c>
      <c r="G1905" s="20">
        <f>G1886</f>
        <v>22</v>
      </c>
      <c r="H1905" s="169">
        <f>+F1905/G1905</f>
        <v>24818.18181818182</v>
      </c>
      <c r="I1905" s="44"/>
    </row>
    <row r="1906" spans="2:11" ht="14" thickBot="1" x14ac:dyDescent="0.2">
      <c r="B1906" s="33"/>
      <c r="C1906" s="34"/>
      <c r="D1906" s="22"/>
      <c r="E1906" s="21"/>
      <c r="F1906" s="22"/>
      <c r="G1906" s="23"/>
      <c r="H1906" s="47"/>
      <c r="I1906" s="48"/>
      <c r="K1906" s="106"/>
    </row>
    <row r="1907" spans="2:11" ht="14" thickBot="1" x14ac:dyDescent="0.2">
      <c r="B1907" s="1"/>
      <c r="C1907" s="1"/>
      <c r="D1907" s="1"/>
      <c r="E1907" s="1"/>
      <c r="F1907" s="1"/>
      <c r="G1907" s="1"/>
      <c r="H1907" s="37" t="s">
        <v>26</v>
      </c>
      <c r="I1907" s="177">
        <f>SUM(H1904:H1906)</f>
        <v>32401.48863636364</v>
      </c>
    </row>
    <row r="1908" spans="2:11" ht="14" thickBot="1" x14ac:dyDescent="0.2">
      <c r="B1908" s="1"/>
      <c r="C1908" s="1"/>
      <c r="D1908" s="1"/>
      <c r="E1908" s="1"/>
      <c r="F1908" s="1"/>
      <c r="G1908" s="1"/>
      <c r="H1908" s="61"/>
      <c r="I1908" s="1"/>
    </row>
    <row r="1909" spans="2:11" ht="15" thickBot="1" x14ac:dyDescent="0.2">
      <c r="B1909" s="1"/>
      <c r="C1909" s="1"/>
      <c r="D1909" s="1"/>
      <c r="E1909" s="1"/>
      <c r="F1909" s="35" t="s">
        <v>43</v>
      </c>
      <c r="G1909" s="16"/>
      <c r="H1909" s="16"/>
      <c r="I1909" s="232">
        <f>ROUND((I1888+I1895+I1901+I1907),0)</f>
        <v>120204</v>
      </c>
    </row>
    <row r="1910" spans="2:11" x14ac:dyDescent="0.15">
      <c r="B1910" s="12"/>
      <c r="C1910" s="12"/>
      <c r="D1910" s="1"/>
      <c r="E1910" s="1"/>
      <c r="F1910" s="1"/>
      <c r="G1910" s="1"/>
      <c r="H1910" s="172"/>
      <c r="I1910" s="172"/>
    </row>
    <row r="1911" spans="2:11" x14ac:dyDescent="0.15">
      <c r="B1911" s="16"/>
      <c r="C1911" s="16"/>
      <c r="D1911" s="16"/>
      <c r="E1911" s="16"/>
      <c r="F1911" s="16"/>
      <c r="G1911" s="61"/>
      <c r="H1911" s="173"/>
      <c r="I1911" s="172"/>
    </row>
    <row r="1912" spans="2:11" x14ac:dyDescent="0.15">
      <c r="B1912" s="1"/>
      <c r="C1912" s="1"/>
      <c r="D1912" s="1"/>
      <c r="E1912" s="1"/>
      <c r="F1912" s="1"/>
      <c r="G1912" s="161"/>
      <c r="H1912" s="172"/>
      <c r="I1912" s="172"/>
    </row>
    <row r="1913" spans="2:11" x14ac:dyDescent="0.15">
      <c r="B1913" s="1"/>
      <c r="C1913" s="1"/>
      <c r="D1913" s="1"/>
      <c r="E1913" s="1"/>
      <c r="F1913" s="1"/>
      <c r="G1913" s="161"/>
      <c r="H1913" s="172"/>
      <c r="I1913" s="172"/>
    </row>
    <row r="1914" spans="2:11" x14ac:dyDescent="0.15">
      <c r="B1914" s="1"/>
      <c r="C1914" s="1"/>
      <c r="D1914" s="1"/>
      <c r="E1914" s="1"/>
      <c r="F1914" s="1"/>
      <c r="G1914" s="161"/>
      <c r="H1914" s="172"/>
      <c r="I1914" s="172"/>
    </row>
    <row r="1915" spans="2:11" x14ac:dyDescent="0.15">
      <c r="B1915" s="1"/>
      <c r="C1915" s="1"/>
      <c r="D1915" s="1"/>
      <c r="E1915" s="1"/>
      <c r="F1915" s="1"/>
      <c r="G1915" s="1"/>
      <c r="H1915" s="37"/>
      <c r="I1915" s="172"/>
    </row>
    <row r="1916" spans="2:11" ht="14" x14ac:dyDescent="0.15">
      <c r="B1916" s="102"/>
      <c r="C1916" s="1"/>
      <c r="D1916" s="1"/>
      <c r="E1916" s="1"/>
      <c r="F1916" s="1"/>
      <c r="G1916" s="1"/>
      <c r="H1916" s="1"/>
      <c r="I1916" s="172"/>
    </row>
    <row r="1917" spans="2:11" ht="14" x14ac:dyDescent="0.15">
      <c r="B1917" s="83"/>
      <c r="C1917" s="11"/>
      <c r="D1917" s="1"/>
      <c r="E1917" s="916"/>
      <c r="F1917" s="916"/>
      <c r="G1917" s="916"/>
      <c r="H1917" s="916"/>
      <c r="I1917" s="171"/>
    </row>
    <row r="1918" spans="2:11" ht="14" x14ac:dyDescent="0.15">
      <c r="B1918" s="102"/>
      <c r="C1918" s="11"/>
      <c r="D1918" s="1"/>
      <c r="E1918" s="155"/>
      <c r="F1918" s="155"/>
      <c r="G1918" s="155"/>
      <c r="H1918" s="155"/>
      <c r="I1918" s="171"/>
    </row>
    <row r="1919" spans="2:11" ht="14" x14ac:dyDescent="0.15">
      <c r="B1919" s="83"/>
      <c r="C1919" s="11"/>
      <c r="D1919" s="1"/>
      <c r="E1919" s="155"/>
      <c r="F1919" s="155"/>
      <c r="G1919" s="155"/>
      <c r="H1919" s="155"/>
      <c r="I1919" s="171"/>
    </row>
    <row r="1920" spans="2:11" x14ac:dyDescent="0.15">
      <c r="B1920" s="11"/>
      <c r="C1920" s="11"/>
      <c r="D1920" s="1"/>
      <c r="E1920" s="155"/>
      <c r="F1920" s="155"/>
      <c r="G1920" s="155"/>
      <c r="H1920" s="155"/>
      <c r="I1920" s="171"/>
    </row>
    <row r="1921" spans="2:10" x14ac:dyDescent="0.15">
      <c r="B1921" s="11"/>
      <c r="C1921" s="11"/>
      <c r="D1921" s="1"/>
      <c r="E1921" s="155"/>
      <c r="F1921" s="155"/>
      <c r="G1921" s="155"/>
      <c r="H1921" s="155"/>
      <c r="I1921" s="171"/>
    </row>
    <row r="1922" spans="2:10" x14ac:dyDescent="0.15">
      <c r="B1922" s="11"/>
      <c r="C1922" s="11"/>
      <c r="D1922" s="1"/>
      <c r="E1922" s="155"/>
      <c r="F1922" s="155"/>
      <c r="G1922" s="155"/>
      <c r="H1922" s="155"/>
      <c r="I1922" s="171"/>
    </row>
    <row r="1923" spans="2:10" x14ac:dyDescent="0.15">
      <c r="B1923" s="11"/>
      <c r="C1923" s="11"/>
      <c r="D1923" s="1"/>
      <c r="E1923" s="155"/>
      <c r="F1923" s="155"/>
      <c r="G1923" s="155"/>
      <c r="H1923" s="155"/>
      <c r="I1923" s="171"/>
    </row>
    <row r="1924" spans="2:10" x14ac:dyDescent="0.15">
      <c r="B1924" s="11"/>
      <c r="C1924" s="11"/>
      <c r="D1924" s="1"/>
      <c r="E1924" s="155"/>
      <c r="F1924" s="155"/>
      <c r="G1924" s="155"/>
      <c r="H1924" s="155"/>
      <c r="I1924" s="171"/>
    </row>
    <row r="1925" spans="2:10" x14ac:dyDescent="0.15">
      <c r="B1925" s="11"/>
      <c r="C1925" s="11"/>
      <c r="D1925" s="1"/>
      <c r="E1925" s="155"/>
      <c r="F1925" s="155"/>
      <c r="G1925" s="155"/>
      <c r="H1925" s="155"/>
      <c r="I1925" s="171"/>
    </row>
    <row r="1926" spans="2:10" ht="14" x14ac:dyDescent="0.15">
      <c r="B1926" s="83"/>
      <c r="C1926" s="83"/>
      <c r="D1926" s="84"/>
      <c r="E1926" s="83"/>
      <c r="F1926" s="83"/>
      <c r="G1926" s="104"/>
      <c r="H1926" s="83"/>
      <c r="I1926" s="85"/>
      <c r="J1926" s="85"/>
    </row>
    <row r="1927" spans="2:10" ht="14" x14ac:dyDescent="0.15">
      <c r="B1927" s="83"/>
      <c r="C1927" s="83"/>
      <c r="D1927" s="84"/>
      <c r="E1927" s="83"/>
      <c r="F1927" s="83"/>
      <c r="G1927" s="104"/>
      <c r="H1927" s="83"/>
      <c r="I1927" s="85"/>
      <c r="J1927" s="85"/>
    </row>
    <row r="1928" spans="2:10" ht="14" thickBot="1" x14ac:dyDescent="0.2">
      <c r="B1928" s="11"/>
      <c r="C1928" s="11"/>
      <c r="D1928" s="1"/>
      <c r="E1928" s="155"/>
      <c r="F1928" s="155"/>
      <c r="G1928" s="155"/>
      <c r="H1928" s="155"/>
      <c r="I1928" s="171"/>
    </row>
    <row r="1929" spans="2:10" ht="21" customHeight="1" x14ac:dyDescent="0.15">
      <c r="B1929" s="885" t="s">
        <v>874</v>
      </c>
      <c r="C1929" s="886"/>
      <c r="D1929" s="886"/>
      <c r="E1929" s="886"/>
      <c r="F1929" s="887"/>
      <c r="G1929" s="1"/>
      <c r="H1929" s="879" t="s">
        <v>20</v>
      </c>
      <c r="I1929" s="880"/>
    </row>
    <row r="1930" spans="2:10" ht="16.5" customHeight="1" x14ac:dyDescent="0.15">
      <c r="B1930" s="888" t="s">
        <v>875</v>
      </c>
      <c r="C1930" s="889"/>
      <c r="D1930" s="889"/>
      <c r="E1930" s="889"/>
      <c r="F1930" s="890"/>
      <c r="G1930" s="63"/>
      <c r="H1930" s="881"/>
      <c r="I1930" s="882"/>
    </row>
    <row r="1931" spans="2:10" ht="12.75" customHeight="1" x14ac:dyDescent="0.15">
      <c r="B1931" s="906" t="s">
        <v>876</v>
      </c>
      <c r="C1931" s="907"/>
      <c r="D1931" s="907"/>
      <c r="E1931" s="907"/>
      <c r="F1931" s="908"/>
      <c r="G1931" s="63"/>
      <c r="H1931" s="883"/>
      <c r="I1931" s="884"/>
    </row>
    <row r="1932" spans="2:10" ht="16.5" customHeight="1" thickBot="1" x14ac:dyDescent="0.2">
      <c r="B1932" s="909"/>
      <c r="C1932" s="910"/>
      <c r="D1932" s="910"/>
      <c r="E1932" s="910"/>
      <c r="F1932" s="911"/>
      <c r="G1932" s="1"/>
      <c r="H1932" s="873" t="s">
        <v>1603</v>
      </c>
      <c r="I1932" s="874"/>
    </row>
    <row r="1933" spans="2:10" ht="14" thickBot="1" x14ac:dyDescent="0.2">
      <c r="B1933" s="15"/>
      <c r="C1933" s="16"/>
      <c r="D1933" s="1"/>
      <c r="E1933" s="1"/>
      <c r="F1933" s="1"/>
      <c r="G1933" s="1"/>
      <c r="H1933" s="875"/>
      <c r="I1933" s="876"/>
    </row>
    <row r="1934" spans="2:10" ht="12.75" customHeight="1" x14ac:dyDescent="0.15">
      <c r="B1934" s="922" t="s">
        <v>836</v>
      </c>
      <c r="C1934" s="923"/>
      <c r="D1934" s="923"/>
      <c r="E1934" s="923"/>
      <c r="F1934" s="924"/>
      <c r="G1934" s="1"/>
      <c r="H1934" s="875"/>
      <c r="I1934" s="876"/>
    </row>
    <row r="1935" spans="2:10" ht="12.75" customHeight="1" x14ac:dyDescent="0.15">
      <c r="B1935" s="925"/>
      <c r="C1935" s="926"/>
      <c r="D1935" s="926"/>
      <c r="E1935" s="926"/>
      <c r="F1935" s="927"/>
      <c r="H1935" s="875"/>
      <c r="I1935" s="876"/>
    </row>
    <row r="1936" spans="2:10" ht="13.5" customHeight="1" x14ac:dyDescent="0.15">
      <c r="B1936" s="925"/>
      <c r="C1936" s="926"/>
      <c r="D1936" s="926"/>
      <c r="E1936" s="926"/>
      <c r="F1936" s="927"/>
      <c r="G1936" s="11"/>
      <c r="H1936" s="877"/>
      <c r="I1936" s="878"/>
    </row>
    <row r="1937" spans="2:11" ht="21.75" customHeight="1" thickBot="1" x14ac:dyDescent="0.2">
      <c r="B1937" s="928"/>
      <c r="C1937" s="929"/>
      <c r="D1937" s="929"/>
      <c r="E1937" s="929"/>
      <c r="F1937" s="930"/>
      <c r="H1937" s="64" t="s">
        <v>45</v>
      </c>
      <c r="I1937" s="17" t="s">
        <v>7</v>
      </c>
    </row>
    <row r="1938" spans="2:11" x14ac:dyDescent="0.15">
      <c r="B1938" s="18"/>
      <c r="C1938" s="18"/>
      <c r="D1938" s="1"/>
      <c r="E1938" s="18"/>
      <c r="F1938" s="18"/>
      <c r="G1938" s="18"/>
      <c r="H1938" s="18"/>
      <c r="I1938" s="1"/>
    </row>
    <row r="1939" spans="2:11" ht="14" thickBot="1" x14ac:dyDescent="0.2">
      <c r="B1939" s="12" t="s">
        <v>21</v>
      </c>
      <c r="C1939" s="12"/>
      <c r="D1939" s="1"/>
      <c r="E1939" s="1"/>
      <c r="F1939" s="1"/>
      <c r="G1939" s="1"/>
      <c r="H1939" s="1"/>
      <c r="I1939" s="1"/>
    </row>
    <row r="1940" spans="2:11" x14ac:dyDescent="0.15">
      <c r="B1940" s="903" t="s">
        <v>22</v>
      </c>
      <c r="C1940" s="904"/>
      <c r="D1940" s="905"/>
      <c r="E1940" s="209" t="s">
        <v>23</v>
      </c>
      <c r="F1940" s="19" t="s">
        <v>47</v>
      </c>
      <c r="G1940" s="209" t="s">
        <v>24</v>
      </c>
      <c r="H1940" s="208" t="s">
        <v>25</v>
      </c>
      <c r="I1940" s="43"/>
    </row>
    <row r="1941" spans="2:11" x14ac:dyDescent="0.15">
      <c r="B1941" s="897" t="s">
        <v>56</v>
      </c>
      <c r="C1941" s="898"/>
      <c r="D1941" s="899"/>
      <c r="E1941" s="5"/>
      <c r="F1941" s="162"/>
      <c r="G1941" s="58"/>
      <c r="H1941" s="162">
        <f>I1963*0.05</f>
        <v>1425.6655000000001</v>
      </c>
      <c r="I1941" s="44"/>
    </row>
    <row r="1942" spans="2:11" x14ac:dyDescent="0.15">
      <c r="B1942" s="897" t="s">
        <v>312</v>
      </c>
      <c r="C1942" s="898"/>
      <c r="D1942" s="899"/>
      <c r="E1942" s="5"/>
      <c r="F1942" s="162">
        <f>'HERRAMIENTAS Y EQUIPOS'!C23*2</f>
        <v>12000</v>
      </c>
      <c r="G1942" s="58">
        <v>25</v>
      </c>
      <c r="H1942" s="162">
        <f>F1942/G1942</f>
        <v>480</v>
      </c>
      <c r="I1942" s="44"/>
    </row>
    <row r="1943" spans="2:11" ht="14" thickBot="1" x14ac:dyDescent="0.2">
      <c r="B1943" s="900"/>
      <c r="C1943" s="901"/>
      <c r="D1943" s="902"/>
      <c r="E1943" s="21"/>
      <c r="F1943" s="22"/>
      <c r="G1943" s="23"/>
      <c r="H1943" s="47"/>
      <c r="I1943" s="48"/>
    </row>
    <row r="1944" spans="2:11" ht="14" thickBot="1" x14ac:dyDescent="0.2">
      <c r="B1944" s="1"/>
      <c r="C1944" s="1"/>
      <c r="D1944" s="1"/>
      <c r="E1944" s="1"/>
      <c r="F1944" s="1"/>
      <c r="G1944" s="1"/>
      <c r="H1944" s="37" t="s">
        <v>26</v>
      </c>
      <c r="I1944" s="163">
        <f>SUM(H1941:H1943)</f>
        <v>1905.6655000000001</v>
      </c>
    </row>
    <row r="1945" spans="2:11" ht="14" thickBot="1" x14ac:dyDescent="0.2">
      <c r="B1945" s="12" t="s">
        <v>27</v>
      </c>
      <c r="C1945" s="12"/>
      <c r="D1945" s="1"/>
      <c r="E1945" s="1"/>
      <c r="F1945" s="1"/>
      <c r="G1945" s="1"/>
      <c r="H1945" s="1"/>
      <c r="I1945" s="1"/>
    </row>
    <row r="1946" spans="2:11" x14ac:dyDescent="0.15">
      <c r="B1946" s="903" t="s">
        <v>22</v>
      </c>
      <c r="C1946" s="904"/>
      <c r="D1946" s="905"/>
      <c r="E1946" s="209" t="s">
        <v>28</v>
      </c>
      <c r="F1946" s="209" t="s">
        <v>29</v>
      </c>
      <c r="G1946" s="209" t="s">
        <v>30</v>
      </c>
      <c r="H1946" s="208" t="s">
        <v>25</v>
      </c>
      <c r="I1946" s="43"/>
    </row>
    <row r="1947" spans="2:11" x14ac:dyDescent="0.15">
      <c r="B1947" s="4" t="s">
        <v>66</v>
      </c>
      <c r="C1947" s="24"/>
      <c r="D1947" s="6"/>
      <c r="E1947" s="3" t="s">
        <v>58</v>
      </c>
      <c r="F1947" s="166">
        <f>'APU -BASICOS'!H204</f>
        <v>9182</v>
      </c>
      <c r="G1947" s="73">
        <f>3.6*0.56</f>
        <v>2.0160000000000005</v>
      </c>
      <c r="H1947" s="165">
        <f>G1947*F1947</f>
        <v>18510.912000000004</v>
      </c>
      <c r="I1947" s="44"/>
    </row>
    <row r="1948" spans="2:11" x14ac:dyDescent="0.15">
      <c r="B1948" s="4" t="s">
        <v>67</v>
      </c>
      <c r="C1948" s="24"/>
      <c r="D1948" s="6"/>
      <c r="E1948" s="3" t="s">
        <v>58</v>
      </c>
      <c r="F1948" s="166">
        <f>'APU -BASICOS'!H260</f>
        <v>9182</v>
      </c>
      <c r="G1948" s="73">
        <f>0.7*5*0.56</f>
        <v>1.9600000000000002</v>
      </c>
      <c r="H1948" s="165">
        <f>G1948*F1948</f>
        <v>17996.72</v>
      </c>
      <c r="I1948" s="44"/>
    </row>
    <row r="1949" spans="2:11" x14ac:dyDescent="0.15">
      <c r="B1949" s="4" t="s">
        <v>63</v>
      </c>
      <c r="C1949" s="24"/>
      <c r="D1949" s="6"/>
      <c r="E1949" s="3" t="s">
        <v>6</v>
      </c>
      <c r="F1949" s="164">
        <f>'APU -BASICOS'!H96</f>
        <v>555217</v>
      </c>
      <c r="G1949" s="73">
        <f>0.1*0.25*1</f>
        <v>2.5000000000000001E-2</v>
      </c>
      <c r="H1949" s="165">
        <f>G1949*F1949</f>
        <v>13880.425000000001</v>
      </c>
      <c r="I1949" s="44"/>
    </row>
    <row r="1950" spans="2:11" ht="14" thickBot="1" x14ac:dyDescent="0.2">
      <c r="B1950" s="25"/>
      <c r="C1950" s="26"/>
      <c r="D1950" s="27"/>
      <c r="E1950" s="21"/>
      <c r="F1950" s="22"/>
      <c r="G1950" s="167"/>
      <c r="H1950" s="47"/>
      <c r="I1950" s="48"/>
      <c r="K1950" s="233"/>
    </row>
    <row r="1951" spans="2:11" ht="14" thickBot="1" x14ac:dyDescent="0.2">
      <c r="B1951" s="1"/>
      <c r="C1951" s="1"/>
      <c r="D1951" s="1"/>
      <c r="E1951" s="1"/>
      <c r="F1951" s="1"/>
      <c r="G1951" s="1"/>
      <c r="H1951" s="37" t="s">
        <v>26</v>
      </c>
      <c r="I1951" s="163">
        <f>SUM(H1947:H1949)</f>
        <v>50388.057000000008</v>
      </c>
    </row>
    <row r="1952" spans="2:11" ht="14" thickBot="1" x14ac:dyDescent="0.2">
      <c r="B1952" s="28" t="s">
        <v>31</v>
      </c>
      <c r="C1952" s="28"/>
      <c r="D1952" s="26"/>
      <c r="E1952" s="1"/>
      <c r="F1952" s="1"/>
      <c r="G1952" s="1"/>
      <c r="H1952" s="1"/>
      <c r="I1952" s="1"/>
    </row>
    <row r="1953" spans="2:11" x14ac:dyDescent="0.15">
      <c r="B1953" s="51" t="s">
        <v>32</v>
      </c>
      <c r="C1953" s="52"/>
      <c r="D1953" s="97" t="s">
        <v>33</v>
      </c>
      <c r="E1953" s="209" t="s">
        <v>34</v>
      </c>
      <c r="F1953" s="209" t="s">
        <v>35</v>
      </c>
      <c r="G1953" s="209" t="s">
        <v>36</v>
      </c>
      <c r="H1953" s="59" t="s">
        <v>25</v>
      </c>
      <c r="I1953" s="43"/>
    </row>
    <row r="1954" spans="2:11" x14ac:dyDescent="0.15">
      <c r="B1954" s="4"/>
      <c r="C1954" s="24"/>
      <c r="D1954" s="60"/>
      <c r="E1954" s="2"/>
      <c r="F1954" s="2"/>
      <c r="G1954" s="162"/>
      <c r="H1954" s="55"/>
      <c r="I1954" s="44"/>
      <c r="K1954" s="106"/>
    </row>
    <row r="1955" spans="2:11" x14ac:dyDescent="0.15">
      <c r="B1955" s="107"/>
      <c r="C1955" s="66"/>
      <c r="D1955" s="67"/>
      <c r="E1955" s="68"/>
      <c r="F1955" s="68"/>
      <c r="G1955" s="69"/>
      <c r="H1955" s="65"/>
      <c r="I1955" s="44"/>
    </row>
    <row r="1956" spans="2:11" ht="14" thickBot="1" x14ac:dyDescent="0.2">
      <c r="B1956" s="33"/>
      <c r="C1956" s="54"/>
      <c r="D1956" s="21"/>
      <c r="E1956" s="22"/>
      <c r="F1956" s="23"/>
      <c r="G1956" s="47"/>
      <c r="H1956" s="21"/>
      <c r="I1956" s="48"/>
    </row>
    <row r="1957" spans="2:11" ht="14" thickBot="1" x14ac:dyDescent="0.2">
      <c r="B1957" s="1"/>
      <c r="C1957" s="1"/>
      <c r="D1957" s="1"/>
      <c r="E1957" s="1"/>
      <c r="F1957" s="1"/>
      <c r="G1957" s="1"/>
      <c r="H1957" s="37" t="s">
        <v>26</v>
      </c>
      <c r="I1957" s="163">
        <f>SUM(H1954:H1956)</f>
        <v>0</v>
      </c>
    </row>
    <row r="1958" spans="2:11" ht="14" thickBot="1" x14ac:dyDescent="0.2">
      <c r="B1958" s="28" t="s">
        <v>37</v>
      </c>
      <c r="C1958" s="28"/>
      <c r="D1958" s="1"/>
      <c r="E1958" s="1"/>
      <c r="F1958" s="1"/>
      <c r="G1958" s="1"/>
      <c r="H1958" s="1"/>
      <c r="I1958" s="1"/>
    </row>
    <row r="1959" spans="2:11" x14ac:dyDescent="0.15">
      <c r="B1959" s="51" t="s">
        <v>38</v>
      </c>
      <c r="C1959" s="86"/>
      <c r="D1959" s="31" t="s">
        <v>39</v>
      </c>
      <c r="E1959" s="209" t="s">
        <v>40</v>
      </c>
      <c r="F1959" s="19" t="s">
        <v>41</v>
      </c>
      <c r="G1959" s="31" t="s">
        <v>24</v>
      </c>
      <c r="H1959" s="208" t="s">
        <v>25</v>
      </c>
      <c r="I1959" s="43"/>
      <c r="K1959" s="106"/>
    </row>
    <row r="1960" spans="2:11" x14ac:dyDescent="0.15">
      <c r="B1960" s="4" t="s">
        <v>65</v>
      </c>
      <c r="C1960" s="24"/>
      <c r="D1960" s="32">
        <f>'MANO DE OBRA'!E15</f>
        <v>95333</v>
      </c>
      <c r="E1960" s="88">
        <v>1.75</v>
      </c>
      <c r="F1960" s="164">
        <f>+E1960*D1960</f>
        <v>166832.75</v>
      </c>
      <c r="G1960" s="20">
        <f>G1942</f>
        <v>25</v>
      </c>
      <c r="H1960" s="169">
        <f>+F1960/G1960</f>
        <v>6673.31</v>
      </c>
      <c r="I1960" s="44"/>
    </row>
    <row r="1961" spans="2:11" x14ac:dyDescent="0.15">
      <c r="B1961" s="4" t="s">
        <v>94</v>
      </c>
      <c r="C1961" s="24"/>
      <c r="D1961" s="32">
        <f>'MANO DE OBRA'!E14*6</f>
        <v>312000</v>
      </c>
      <c r="E1961" s="88">
        <v>1.75</v>
      </c>
      <c r="F1961" s="164">
        <f>+E1961*D1961</f>
        <v>546000</v>
      </c>
      <c r="G1961" s="20">
        <f>G1942</f>
        <v>25</v>
      </c>
      <c r="H1961" s="169">
        <f>+F1961/G1961</f>
        <v>21840</v>
      </c>
      <c r="I1961" s="44"/>
    </row>
    <row r="1962" spans="2:11" ht="14" thickBot="1" x14ac:dyDescent="0.2">
      <c r="B1962" s="33"/>
      <c r="C1962" s="34"/>
      <c r="D1962" s="22"/>
      <c r="E1962" s="21"/>
      <c r="F1962" s="22"/>
      <c r="G1962" s="23"/>
      <c r="H1962" s="47"/>
      <c r="I1962" s="48"/>
      <c r="K1962" s="106"/>
    </row>
    <row r="1963" spans="2:11" ht="14" thickBot="1" x14ac:dyDescent="0.2">
      <c r="B1963" s="1"/>
      <c r="C1963" s="1"/>
      <c r="D1963" s="1"/>
      <c r="E1963" s="1"/>
      <c r="F1963" s="1"/>
      <c r="G1963" s="1"/>
      <c r="H1963" s="37" t="s">
        <v>26</v>
      </c>
      <c r="I1963" s="177">
        <f>SUM(H1960:H1962)</f>
        <v>28513.31</v>
      </c>
    </row>
    <row r="1964" spans="2:11" ht="14" thickBot="1" x14ac:dyDescent="0.2">
      <c r="B1964" s="1"/>
      <c r="C1964" s="1"/>
      <c r="D1964" s="1"/>
      <c r="E1964" s="1"/>
      <c r="F1964" s="1"/>
      <c r="G1964" s="1"/>
      <c r="H1964" s="61"/>
      <c r="I1964" s="1"/>
    </row>
    <row r="1965" spans="2:11" ht="15" thickBot="1" x14ac:dyDescent="0.2">
      <c r="B1965" s="1"/>
      <c r="C1965" s="1"/>
      <c r="D1965" s="1"/>
      <c r="E1965" s="1"/>
      <c r="F1965" s="35" t="s">
        <v>43</v>
      </c>
      <c r="G1965" s="16"/>
      <c r="H1965" s="16"/>
      <c r="I1965" s="232">
        <f>ROUND((I1944+I1951+I1957+I1963),0)</f>
        <v>80807</v>
      </c>
    </row>
    <row r="1966" spans="2:11" x14ac:dyDescent="0.15">
      <c r="B1966" s="12"/>
      <c r="C1966" s="12"/>
      <c r="D1966" s="1"/>
      <c r="E1966" s="1"/>
      <c r="F1966" s="1"/>
      <c r="G1966" s="1"/>
      <c r="H1966" s="172"/>
      <c r="I1966" s="172"/>
    </row>
    <row r="1967" spans="2:11" x14ac:dyDescent="0.15">
      <c r="B1967" s="16"/>
      <c r="C1967" s="16"/>
      <c r="D1967" s="16"/>
      <c r="E1967" s="16"/>
      <c r="F1967" s="16"/>
      <c r="G1967" s="61"/>
      <c r="H1967" s="173"/>
      <c r="I1967" s="172"/>
    </row>
    <row r="1968" spans="2:11" x14ac:dyDescent="0.15">
      <c r="B1968" s="1"/>
      <c r="C1968" s="1"/>
      <c r="D1968" s="1"/>
      <c r="E1968" s="1"/>
      <c r="F1968" s="1"/>
      <c r="G1968" s="161"/>
      <c r="H1968" s="172"/>
      <c r="I1968" s="172"/>
    </row>
    <row r="1969" spans="2:10" x14ac:dyDescent="0.15">
      <c r="B1969" s="1"/>
      <c r="C1969" s="1"/>
      <c r="D1969" s="1"/>
      <c r="E1969" s="1"/>
      <c r="F1969" s="1"/>
      <c r="G1969" s="161"/>
      <c r="H1969" s="172"/>
      <c r="I1969" s="172"/>
    </row>
    <row r="1970" spans="2:10" x14ac:dyDescent="0.15">
      <c r="B1970" s="1"/>
      <c r="C1970" s="1"/>
      <c r="D1970" s="1"/>
      <c r="E1970" s="1"/>
      <c r="F1970" s="1"/>
      <c r="G1970" s="161"/>
      <c r="H1970" s="172"/>
      <c r="I1970" s="172"/>
    </row>
    <row r="1971" spans="2:10" x14ac:dyDescent="0.15">
      <c r="B1971" s="1"/>
      <c r="C1971" s="1"/>
      <c r="D1971" s="1"/>
      <c r="E1971" s="1"/>
      <c r="F1971" s="1"/>
      <c r="G1971" s="1"/>
      <c r="H1971" s="37"/>
      <c r="I1971" s="172"/>
    </row>
    <row r="1972" spans="2:10" ht="14" x14ac:dyDescent="0.15">
      <c r="B1972" s="102"/>
      <c r="C1972" s="1"/>
      <c r="D1972" s="1"/>
      <c r="E1972" s="1"/>
      <c r="F1972" s="1"/>
      <c r="G1972" s="1"/>
      <c r="H1972" s="1"/>
      <c r="I1972" s="172"/>
    </row>
    <row r="1973" spans="2:10" ht="14" x14ac:dyDescent="0.15">
      <c r="B1973" s="83"/>
      <c r="C1973" s="11"/>
      <c r="D1973" s="1"/>
      <c r="E1973" s="916"/>
      <c r="F1973" s="916"/>
      <c r="G1973" s="916"/>
      <c r="H1973" s="916"/>
      <c r="I1973" s="171"/>
    </row>
    <row r="1974" spans="2:10" ht="14" x14ac:dyDescent="0.15">
      <c r="B1974" s="102"/>
      <c r="C1974" s="11"/>
      <c r="D1974" s="1"/>
      <c r="E1974" s="155"/>
      <c r="F1974" s="155"/>
      <c r="G1974" s="155"/>
      <c r="H1974" s="155"/>
      <c r="I1974" s="171"/>
    </row>
    <row r="1975" spans="2:10" ht="14" x14ac:dyDescent="0.15">
      <c r="B1975" s="83"/>
      <c r="C1975" s="11"/>
      <c r="D1975" s="1"/>
      <c r="E1975" s="155"/>
      <c r="F1975" s="155"/>
      <c r="G1975" s="155"/>
      <c r="H1975" s="155"/>
      <c r="I1975" s="171"/>
    </row>
    <row r="1976" spans="2:10" x14ac:dyDescent="0.15">
      <c r="B1976" s="11"/>
      <c r="C1976" s="11"/>
      <c r="D1976" s="1"/>
      <c r="E1976" s="155"/>
      <c r="F1976" s="155"/>
      <c r="G1976" s="155"/>
      <c r="H1976" s="155"/>
      <c r="I1976" s="171"/>
    </row>
    <row r="1977" spans="2:10" x14ac:dyDescent="0.15">
      <c r="B1977" s="11"/>
      <c r="C1977" s="11"/>
      <c r="D1977" s="1"/>
      <c r="E1977" s="155"/>
      <c r="F1977" s="155"/>
      <c r="G1977" s="155"/>
      <c r="H1977" s="155"/>
      <c r="I1977" s="171"/>
    </row>
    <row r="1978" spans="2:10" x14ac:dyDescent="0.15">
      <c r="B1978" s="11"/>
      <c r="C1978" s="11"/>
      <c r="D1978" s="1"/>
      <c r="E1978" s="155"/>
      <c r="F1978" s="155"/>
      <c r="G1978" s="155"/>
      <c r="H1978" s="155"/>
      <c r="I1978" s="171"/>
    </row>
    <row r="1979" spans="2:10" x14ac:dyDescent="0.15">
      <c r="B1979" s="11"/>
      <c r="C1979" s="11"/>
      <c r="D1979" s="1"/>
      <c r="E1979" s="155"/>
      <c r="F1979" s="155"/>
      <c r="G1979" s="155"/>
      <c r="H1979" s="155"/>
      <c r="I1979" s="171"/>
    </row>
    <row r="1980" spans="2:10" x14ac:dyDescent="0.15">
      <c r="B1980" s="11"/>
      <c r="C1980" s="11"/>
      <c r="D1980" s="1"/>
      <c r="E1980" s="155"/>
      <c r="F1980" s="155"/>
      <c r="G1980" s="155"/>
      <c r="H1980" s="155"/>
      <c r="I1980" s="171"/>
    </row>
    <row r="1981" spans="2:10" x14ac:dyDescent="0.15">
      <c r="B1981" s="11"/>
      <c r="C1981" s="11"/>
      <c r="D1981" s="1"/>
      <c r="E1981" s="155"/>
      <c r="F1981" s="155"/>
      <c r="G1981" s="155"/>
      <c r="H1981" s="155"/>
      <c r="I1981" s="171"/>
    </row>
    <row r="1982" spans="2:10" ht="14" x14ac:dyDescent="0.15">
      <c r="B1982" s="83"/>
      <c r="C1982" s="83"/>
      <c r="D1982" s="84"/>
      <c r="E1982" s="83"/>
      <c r="F1982" s="83"/>
      <c r="G1982" s="104"/>
      <c r="H1982" s="83"/>
      <c r="I1982" s="85"/>
      <c r="J1982" s="85"/>
    </row>
    <row r="1983" spans="2:10" ht="14" x14ac:dyDescent="0.15">
      <c r="B1983" s="83"/>
      <c r="C1983" s="83"/>
      <c r="D1983" s="84"/>
      <c r="E1983" s="83"/>
      <c r="F1983" s="83"/>
      <c r="G1983" s="104"/>
      <c r="H1983" s="83"/>
      <c r="I1983" s="85"/>
      <c r="J1983" s="85"/>
    </row>
    <row r="1984" spans="2:10" ht="14" thickBot="1" x14ac:dyDescent="0.2">
      <c r="B1984" s="11"/>
      <c r="C1984" s="11"/>
      <c r="D1984" s="1"/>
      <c r="E1984" s="155"/>
      <c r="F1984" s="155"/>
      <c r="G1984" s="155"/>
      <c r="H1984" s="155"/>
      <c r="I1984" s="171"/>
    </row>
    <row r="1985" spans="2:9" ht="21" customHeight="1" x14ac:dyDescent="0.15">
      <c r="B1985" s="885" t="s">
        <v>874</v>
      </c>
      <c r="C1985" s="886"/>
      <c r="D1985" s="886"/>
      <c r="E1985" s="886"/>
      <c r="F1985" s="887"/>
      <c r="G1985" s="1"/>
      <c r="H1985" s="879" t="s">
        <v>20</v>
      </c>
      <c r="I1985" s="880"/>
    </row>
    <row r="1986" spans="2:9" ht="16.5" customHeight="1" x14ac:dyDescent="0.15">
      <c r="B1986" s="888" t="s">
        <v>875</v>
      </c>
      <c r="C1986" s="889"/>
      <c r="D1986" s="889"/>
      <c r="E1986" s="889"/>
      <c r="F1986" s="890"/>
      <c r="G1986" s="63"/>
      <c r="H1986" s="881"/>
      <c r="I1986" s="882"/>
    </row>
    <row r="1987" spans="2:9" ht="12.75" customHeight="1" x14ac:dyDescent="0.15">
      <c r="B1987" s="906" t="s">
        <v>876</v>
      </c>
      <c r="C1987" s="907"/>
      <c r="D1987" s="907"/>
      <c r="E1987" s="907"/>
      <c r="F1987" s="908"/>
      <c r="G1987" s="63"/>
      <c r="H1987" s="883"/>
      <c r="I1987" s="884"/>
    </row>
    <row r="1988" spans="2:9" ht="16.5" customHeight="1" thickBot="1" x14ac:dyDescent="0.2">
      <c r="B1988" s="909"/>
      <c r="C1988" s="910"/>
      <c r="D1988" s="910"/>
      <c r="E1988" s="910"/>
      <c r="F1988" s="911"/>
      <c r="G1988" s="1"/>
      <c r="H1988" s="873" t="s">
        <v>1604</v>
      </c>
      <c r="I1988" s="874"/>
    </row>
    <row r="1989" spans="2:9" ht="14" thickBot="1" x14ac:dyDescent="0.2">
      <c r="B1989" s="15"/>
      <c r="C1989" s="16"/>
      <c r="D1989" s="1"/>
      <c r="E1989" s="1"/>
      <c r="F1989" s="1"/>
      <c r="G1989" s="1"/>
      <c r="H1989" s="875"/>
      <c r="I1989" s="876"/>
    </row>
    <row r="1990" spans="2:9" ht="12.75" customHeight="1" x14ac:dyDescent="0.15">
      <c r="B1990" s="922" t="s">
        <v>836</v>
      </c>
      <c r="C1990" s="923"/>
      <c r="D1990" s="923"/>
      <c r="E1990" s="923"/>
      <c r="F1990" s="924"/>
      <c r="G1990" s="1"/>
      <c r="H1990" s="875"/>
      <c r="I1990" s="876"/>
    </row>
    <row r="1991" spans="2:9" ht="12.75" customHeight="1" x14ac:dyDescent="0.15">
      <c r="B1991" s="925"/>
      <c r="C1991" s="926"/>
      <c r="D1991" s="926"/>
      <c r="E1991" s="926"/>
      <c r="F1991" s="927"/>
      <c r="H1991" s="875"/>
      <c r="I1991" s="876"/>
    </row>
    <row r="1992" spans="2:9" ht="13.5" customHeight="1" x14ac:dyDescent="0.15">
      <c r="B1992" s="925"/>
      <c r="C1992" s="926"/>
      <c r="D1992" s="926"/>
      <c r="E1992" s="926"/>
      <c r="F1992" s="927"/>
      <c r="G1992" s="11"/>
      <c r="H1992" s="877"/>
      <c r="I1992" s="878"/>
    </row>
    <row r="1993" spans="2:9" ht="21.75" customHeight="1" thickBot="1" x14ac:dyDescent="0.2">
      <c r="B1993" s="928"/>
      <c r="C1993" s="929"/>
      <c r="D1993" s="929"/>
      <c r="E1993" s="929"/>
      <c r="F1993" s="930"/>
      <c r="H1993" s="64" t="s">
        <v>45</v>
      </c>
      <c r="I1993" s="17" t="s">
        <v>5</v>
      </c>
    </row>
    <row r="1994" spans="2:9" x14ac:dyDescent="0.15">
      <c r="B1994" s="18"/>
      <c r="C1994" s="18"/>
      <c r="D1994" s="1"/>
      <c r="E1994" s="18"/>
      <c r="F1994" s="18"/>
      <c r="G1994" s="18"/>
      <c r="H1994" s="18"/>
      <c r="I1994" s="1"/>
    </row>
    <row r="1995" spans="2:9" ht="14" thickBot="1" x14ac:dyDescent="0.2">
      <c r="B1995" s="12" t="s">
        <v>21</v>
      </c>
      <c r="C1995" s="12"/>
      <c r="D1995" s="1"/>
      <c r="E1995" s="1"/>
      <c r="F1995" s="1"/>
      <c r="G1995" s="1"/>
      <c r="H1995" s="1"/>
      <c r="I1995" s="1"/>
    </row>
    <row r="1996" spans="2:9" x14ac:dyDescent="0.15">
      <c r="B1996" s="903" t="s">
        <v>22</v>
      </c>
      <c r="C1996" s="904"/>
      <c r="D1996" s="905"/>
      <c r="E1996" s="209" t="s">
        <v>23</v>
      </c>
      <c r="F1996" s="19" t="s">
        <v>47</v>
      </c>
      <c r="G1996" s="209" t="s">
        <v>24</v>
      </c>
      <c r="H1996" s="208" t="s">
        <v>25</v>
      </c>
      <c r="I1996" s="43"/>
    </row>
    <row r="1997" spans="2:9" x14ac:dyDescent="0.15">
      <c r="B1997" s="897" t="s">
        <v>56</v>
      </c>
      <c r="C1997" s="898"/>
      <c r="D1997" s="899"/>
      <c r="E1997" s="5"/>
      <c r="F1997" s="162"/>
      <c r="G1997" s="58"/>
      <c r="H1997" s="162">
        <f>I2018*0.05</f>
        <v>1744.1637500000002</v>
      </c>
      <c r="I1997" s="44"/>
    </row>
    <row r="1998" spans="2:9" ht="14" thickBot="1" x14ac:dyDescent="0.2">
      <c r="B1998" s="900"/>
      <c r="C1998" s="901"/>
      <c r="D1998" s="902"/>
      <c r="E1998" s="21"/>
      <c r="F1998" s="22"/>
      <c r="G1998" s="23"/>
      <c r="H1998" s="47"/>
      <c r="I1998" s="48"/>
    </row>
    <row r="1999" spans="2:9" ht="14" thickBot="1" x14ac:dyDescent="0.2">
      <c r="B1999" s="1"/>
      <c r="C1999" s="1"/>
      <c r="D1999" s="1"/>
      <c r="E1999" s="1"/>
      <c r="F1999" s="1"/>
      <c r="G1999" s="1"/>
      <c r="H1999" s="37" t="s">
        <v>26</v>
      </c>
      <c r="I1999" s="163">
        <f>SUM(H1997:H1998)</f>
        <v>1744.1637500000002</v>
      </c>
    </row>
    <row r="2000" spans="2:9" ht="14" thickBot="1" x14ac:dyDescent="0.2">
      <c r="B2000" s="12" t="s">
        <v>27</v>
      </c>
      <c r="C2000" s="12"/>
      <c r="D2000" s="1"/>
      <c r="E2000" s="1"/>
      <c r="F2000" s="1"/>
      <c r="G2000" s="1"/>
      <c r="H2000" s="1"/>
      <c r="I2000" s="1"/>
    </row>
    <row r="2001" spans="2:9" x14ac:dyDescent="0.15">
      <c r="B2001" s="903" t="s">
        <v>22</v>
      </c>
      <c r="C2001" s="904"/>
      <c r="D2001" s="905"/>
      <c r="E2001" s="209" t="s">
        <v>28</v>
      </c>
      <c r="F2001" s="209" t="s">
        <v>29</v>
      </c>
      <c r="G2001" s="209" t="s">
        <v>30</v>
      </c>
      <c r="H2001" s="208" t="s">
        <v>25</v>
      </c>
      <c r="I2001" s="43"/>
    </row>
    <row r="2002" spans="2:9" x14ac:dyDescent="0.15">
      <c r="B2002" s="4" t="s">
        <v>581</v>
      </c>
      <c r="C2002" s="24"/>
      <c r="D2002" s="6"/>
      <c r="E2002" s="3" t="s">
        <v>319</v>
      </c>
      <c r="F2002" s="166">
        <f>MATERIALES!F39</f>
        <v>3105</v>
      </c>
      <c r="G2002" s="73">
        <v>12.5</v>
      </c>
      <c r="H2002" s="165">
        <f>G2002*F2002</f>
        <v>38812.5</v>
      </c>
      <c r="I2002" s="44"/>
    </row>
    <row r="2003" spans="2:9" x14ac:dyDescent="0.15">
      <c r="B2003" s="4" t="s">
        <v>68</v>
      </c>
      <c r="C2003" s="24"/>
      <c r="D2003" s="6"/>
      <c r="E2003" s="3" t="s">
        <v>6</v>
      </c>
      <c r="F2003" s="166">
        <f>'APU -BASICOS'!H153</f>
        <v>643337</v>
      </c>
      <c r="G2003" s="100">
        <v>1.4999999999999999E-2</v>
      </c>
      <c r="H2003" s="165">
        <f>G2003*F2003</f>
        <v>9650.0550000000003</v>
      </c>
      <c r="I2003" s="44"/>
    </row>
    <row r="2004" spans="2:9" x14ac:dyDescent="0.15">
      <c r="B2004" s="4" t="s">
        <v>63</v>
      </c>
      <c r="C2004" s="24"/>
      <c r="D2004" s="6"/>
      <c r="E2004" s="3" t="s">
        <v>6</v>
      </c>
      <c r="F2004" s="166">
        <f>'APU -BASICOS'!H96</f>
        <v>555217</v>
      </c>
      <c r="G2004" s="100">
        <v>0.06</v>
      </c>
      <c r="H2004" s="165">
        <f>G2004*F2004</f>
        <v>33313.019999999997</v>
      </c>
      <c r="I2004" s="44"/>
    </row>
    <row r="2005" spans="2:9" x14ac:dyDescent="0.15">
      <c r="B2005" s="4" t="s">
        <v>558</v>
      </c>
      <c r="C2005" s="24"/>
      <c r="D2005" s="6"/>
      <c r="E2005" s="3" t="s">
        <v>58</v>
      </c>
      <c r="F2005" s="166">
        <f>'APU -BASICOS'!H260</f>
        <v>9182</v>
      </c>
      <c r="G2005" s="73">
        <f>2*0.56</f>
        <v>1.1200000000000001</v>
      </c>
      <c r="H2005" s="165">
        <f>G2005*F2005</f>
        <v>10283.84</v>
      </c>
      <c r="I2005" s="44"/>
    </row>
    <row r="2006" spans="2:9" ht="14" thickBot="1" x14ac:dyDescent="0.2">
      <c r="B2006" s="25"/>
      <c r="C2006" s="26"/>
      <c r="D2006" s="27"/>
      <c r="E2006" s="21"/>
      <c r="F2006" s="22"/>
      <c r="G2006" s="167"/>
      <c r="H2006" s="47"/>
      <c r="I2006" s="48"/>
    </row>
    <row r="2007" spans="2:9" ht="14" thickBot="1" x14ac:dyDescent="0.2">
      <c r="B2007" s="1"/>
      <c r="C2007" s="1"/>
      <c r="D2007" s="1"/>
      <c r="E2007" s="1"/>
      <c r="F2007" s="1"/>
      <c r="G2007" s="1"/>
      <c r="H2007" s="37" t="s">
        <v>26</v>
      </c>
      <c r="I2007" s="163">
        <f>SUM(H2002:H2005)</f>
        <v>92059.414999999994</v>
      </c>
    </row>
    <row r="2008" spans="2:9" ht="14" thickBot="1" x14ac:dyDescent="0.2">
      <c r="B2008" s="28" t="s">
        <v>31</v>
      </c>
      <c r="C2008" s="28"/>
      <c r="D2008" s="26"/>
      <c r="E2008" s="1"/>
      <c r="F2008" s="1"/>
      <c r="G2008" s="1"/>
      <c r="H2008" s="1"/>
      <c r="I2008" s="1"/>
    </row>
    <row r="2009" spans="2:9" x14ac:dyDescent="0.15">
      <c r="B2009" s="51" t="s">
        <v>32</v>
      </c>
      <c r="C2009" s="52"/>
      <c r="D2009" s="97" t="s">
        <v>33</v>
      </c>
      <c r="E2009" s="209" t="s">
        <v>34</v>
      </c>
      <c r="F2009" s="209" t="s">
        <v>35</v>
      </c>
      <c r="G2009" s="209" t="s">
        <v>36</v>
      </c>
      <c r="H2009" s="59" t="s">
        <v>25</v>
      </c>
      <c r="I2009" s="43"/>
    </row>
    <row r="2010" spans="2:9" x14ac:dyDescent="0.15">
      <c r="B2010" s="4" t="s">
        <v>582</v>
      </c>
      <c r="C2010" s="6"/>
      <c r="D2010" s="53">
        <f>1*0.9*0.15</f>
        <v>0.13500000000000001</v>
      </c>
      <c r="E2010" s="2">
        <v>15</v>
      </c>
      <c r="F2010" s="2">
        <f>E2010*D2010</f>
        <v>2.0250000000000004</v>
      </c>
      <c r="G2010" s="162">
        <v>1100</v>
      </c>
      <c r="H2010" s="20">
        <f>G2010*F2010</f>
        <v>2227.5000000000005</v>
      </c>
      <c r="I2010" s="44"/>
    </row>
    <row r="2011" spans="2:9" ht="14" thickBot="1" x14ac:dyDescent="0.2">
      <c r="B2011" s="33"/>
      <c r="C2011" s="54"/>
      <c r="D2011" s="21"/>
      <c r="E2011" s="22"/>
      <c r="F2011" s="23"/>
      <c r="G2011" s="47"/>
      <c r="H2011" s="21"/>
      <c r="I2011" s="48"/>
    </row>
    <row r="2012" spans="2:9" ht="14" thickBot="1" x14ac:dyDescent="0.2">
      <c r="B2012" s="1"/>
      <c r="C2012" s="1"/>
      <c r="D2012" s="1"/>
      <c r="E2012" s="1"/>
      <c r="F2012" s="1"/>
      <c r="G2012" s="1"/>
      <c r="H2012" s="37" t="s">
        <v>26</v>
      </c>
      <c r="I2012" s="163">
        <f>SUM(H2010:H2011)</f>
        <v>2227.5000000000005</v>
      </c>
    </row>
    <row r="2013" spans="2:9" ht="14" thickBot="1" x14ac:dyDescent="0.2">
      <c r="B2013" s="28" t="s">
        <v>37</v>
      </c>
      <c r="C2013" s="28"/>
      <c r="D2013" s="1"/>
      <c r="E2013" s="1"/>
      <c r="F2013" s="1"/>
      <c r="G2013" s="1"/>
      <c r="H2013" s="1"/>
      <c r="I2013" s="1"/>
    </row>
    <row r="2014" spans="2:9" x14ac:dyDescent="0.15">
      <c r="B2014" s="51" t="s">
        <v>38</v>
      </c>
      <c r="C2014" s="86"/>
      <c r="D2014" s="31" t="s">
        <v>39</v>
      </c>
      <c r="E2014" s="209" t="s">
        <v>40</v>
      </c>
      <c r="F2014" s="19" t="s">
        <v>41</v>
      </c>
      <c r="G2014" s="31" t="s">
        <v>24</v>
      </c>
      <c r="H2014" s="208" t="s">
        <v>25</v>
      </c>
      <c r="I2014" s="43"/>
    </row>
    <row r="2015" spans="2:9" x14ac:dyDescent="0.15">
      <c r="B2015" s="4" t="s">
        <v>65</v>
      </c>
      <c r="C2015" s="24"/>
      <c r="D2015" s="32">
        <f>'MANO DE OBRA'!E15</f>
        <v>95333</v>
      </c>
      <c r="E2015" s="88">
        <v>1.75</v>
      </c>
      <c r="F2015" s="164">
        <f>+E2015*D2015</f>
        <v>166832.75</v>
      </c>
      <c r="G2015" s="20">
        <v>10</v>
      </c>
      <c r="H2015" s="169">
        <f>+F2015/G2015</f>
        <v>16683.275000000001</v>
      </c>
      <c r="I2015" s="44"/>
    </row>
    <row r="2016" spans="2:9" x14ac:dyDescent="0.15">
      <c r="B2016" s="4" t="s">
        <v>55</v>
      </c>
      <c r="C2016" s="24"/>
      <c r="D2016" s="32">
        <f>'MANO DE OBRA'!E14*2</f>
        <v>104000</v>
      </c>
      <c r="E2016" s="88">
        <v>1.75</v>
      </c>
      <c r="F2016" s="164">
        <f>+E2016*D2016</f>
        <v>182000</v>
      </c>
      <c r="G2016" s="20">
        <v>10</v>
      </c>
      <c r="H2016" s="169">
        <f>+F2016/G2016</f>
        <v>18200</v>
      </c>
      <c r="I2016" s="44"/>
    </row>
    <row r="2017" spans="2:11" ht="14" thickBot="1" x14ac:dyDescent="0.2">
      <c r="B2017" s="33"/>
      <c r="C2017" s="34"/>
      <c r="D2017" s="22"/>
      <c r="E2017" s="21"/>
      <c r="F2017" s="22"/>
      <c r="G2017" s="23"/>
      <c r="H2017" s="47"/>
      <c r="I2017" s="48"/>
    </row>
    <row r="2018" spans="2:11" ht="14" thickBot="1" x14ac:dyDescent="0.2">
      <c r="B2018" s="1"/>
      <c r="C2018" s="1"/>
      <c r="D2018" s="1"/>
      <c r="E2018" s="1"/>
      <c r="F2018" s="1"/>
      <c r="G2018" s="1"/>
      <c r="H2018" s="37" t="s">
        <v>26</v>
      </c>
      <c r="I2018" s="177">
        <f>SUM(H2015:H2016)</f>
        <v>34883.275000000001</v>
      </c>
      <c r="K2018" s="106"/>
    </row>
    <row r="2019" spans="2:11" ht="14" thickBot="1" x14ac:dyDescent="0.2">
      <c r="B2019" s="1"/>
      <c r="C2019" s="1"/>
      <c r="D2019" s="1"/>
      <c r="E2019" s="1"/>
      <c r="F2019" s="1"/>
      <c r="G2019" s="1"/>
      <c r="H2019" s="61"/>
      <c r="I2019" s="1"/>
    </row>
    <row r="2020" spans="2:11" ht="15" thickBot="1" x14ac:dyDescent="0.2">
      <c r="B2020" s="1"/>
      <c r="C2020" s="1"/>
      <c r="D2020" s="1"/>
      <c r="E2020" s="1"/>
      <c r="F2020" s="35" t="s">
        <v>43</v>
      </c>
      <c r="G2020" s="16"/>
      <c r="H2020" s="16"/>
      <c r="I2020" s="232">
        <f>ROUND((I1999+I2007+I2012+I2018),0)</f>
        <v>130914</v>
      </c>
    </row>
    <row r="2021" spans="2:11" x14ac:dyDescent="0.15">
      <c r="B2021" s="12"/>
      <c r="C2021" s="12"/>
      <c r="D2021" s="1"/>
      <c r="E2021" s="1"/>
      <c r="F2021" s="1"/>
      <c r="G2021" s="1"/>
      <c r="H2021" s="172"/>
      <c r="I2021" s="172"/>
    </row>
    <row r="2022" spans="2:11" x14ac:dyDescent="0.15">
      <c r="B2022" s="16"/>
      <c r="C2022" s="16"/>
      <c r="D2022" s="16"/>
      <c r="E2022" s="16"/>
      <c r="F2022" s="16"/>
      <c r="G2022" s="61"/>
      <c r="H2022" s="173"/>
      <c r="I2022" s="172"/>
    </row>
    <row r="2023" spans="2:11" x14ac:dyDescent="0.15">
      <c r="B2023" s="1"/>
      <c r="C2023" s="1"/>
      <c r="D2023" s="1"/>
      <c r="E2023" s="1"/>
      <c r="F2023" s="1"/>
      <c r="G2023" s="161"/>
      <c r="H2023" s="172"/>
      <c r="I2023" s="172"/>
    </row>
    <row r="2024" spans="2:11" x14ac:dyDescent="0.15">
      <c r="B2024" s="1"/>
      <c r="C2024" s="1"/>
      <c r="D2024" s="1"/>
      <c r="E2024" s="1"/>
      <c r="F2024" s="1"/>
      <c r="G2024" s="161"/>
      <c r="H2024" s="172"/>
      <c r="I2024" s="172"/>
    </row>
    <row r="2025" spans="2:11" x14ac:dyDescent="0.15">
      <c r="B2025" s="1"/>
      <c r="C2025" s="1"/>
      <c r="D2025" s="1"/>
      <c r="E2025" s="1"/>
      <c r="F2025" s="1"/>
      <c r="G2025" s="161"/>
      <c r="H2025" s="172"/>
      <c r="I2025" s="172"/>
    </row>
    <row r="2026" spans="2:11" x14ac:dyDescent="0.15">
      <c r="B2026" s="1"/>
      <c r="C2026" s="1"/>
      <c r="D2026" s="1"/>
      <c r="E2026" s="1"/>
      <c r="F2026" s="1"/>
      <c r="G2026" s="1"/>
      <c r="H2026" s="37"/>
      <c r="I2026" s="172"/>
    </row>
    <row r="2027" spans="2:11" ht="14" x14ac:dyDescent="0.15">
      <c r="B2027" s="102"/>
      <c r="C2027" s="1"/>
      <c r="D2027" s="1"/>
      <c r="E2027" s="1"/>
      <c r="F2027" s="1"/>
      <c r="G2027" s="1"/>
      <c r="H2027" s="1"/>
      <c r="I2027" s="172"/>
    </row>
    <row r="2028" spans="2:11" ht="14" x14ac:dyDescent="0.15">
      <c r="B2028" s="83"/>
      <c r="C2028" s="11"/>
      <c r="D2028" s="1"/>
      <c r="E2028" s="916"/>
      <c r="F2028" s="916"/>
      <c r="G2028" s="916"/>
      <c r="H2028" s="916"/>
      <c r="I2028" s="171"/>
    </row>
    <row r="2029" spans="2:11" ht="14" x14ac:dyDescent="0.15">
      <c r="B2029" s="102"/>
      <c r="C2029" s="11"/>
      <c r="D2029" s="1"/>
      <c r="E2029" s="155"/>
      <c r="F2029" s="155"/>
      <c r="G2029" s="155"/>
      <c r="H2029" s="155"/>
      <c r="I2029" s="171"/>
    </row>
    <row r="2030" spans="2:11" ht="14" x14ac:dyDescent="0.15">
      <c r="B2030" s="83"/>
      <c r="C2030" s="11"/>
      <c r="D2030" s="1"/>
      <c r="E2030" s="155"/>
      <c r="F2030" s="155"/>
      <c r="G2030" s="155"/>
      <c r="H2030" s="155"/>
      <c r="I2030" s="171"/>
    </row>
    <row r="2031" spans="2:11" x14ac:dyDescent="0.15">
      <c r="B2031" s="11"/>
      <c r="C2031" s="11"/>
      <c r="D2031" s="1"/>
      <c r="E2031" s="155"/>
      <c r="F2031" s="155"/>
      <c r="G2031" s="155"/>
      <c r="H2031" s="155"/>
      <c r="I2031" s="171"/>
    </row>
    <row r="2032" spans="2:11" x14ac:dyDescent="0.15">
      <c r="B2032" s="11"/>
      <c r="C2032" s="11"/>
      <c r="D2032" s="1"/>
      <c r="E2032" s="155"/>
      <c r="F2032" s="155"/>
      <c r="G2032" s="155"/>
      <c r="H2032" s="155"/>
      <c r="I2032" s="171"/>
    </row>
    <row r="2033" spans="2:10" x14ac:dyDescent="0.15">
      <c r="B2033" s="11"/>
      <c r="C2033" s="11"/>
      <c r="D2033" s="1"/>
      <c r="E2033" s="155"/>
      <c r="F2033" s="155"/>
      <c r="G2033" s="155"/>
      <c r="H2033" s="155"/>
      <c r="I2033" s="171"/>
    </row>
    <row r="2034" spans="2:10" x14ac:dyDescent="0.15">
      <c r="B2034" s="11"/>
      <c r="C2034" s="11"/>
      <c r="D2034" s="1"/>
      <c r="E2034" s="155"/>
      <c r="F2034" s="155"/>
      <c r="G2034" s="155"/>
      <c r="H2034" s="155"/>
      <c r="I2034" s="171"/>
    </row>
    <row r="2035" spans="2:10" x14ac:dyDescent="0.15">
      <c r="B2035" s="11"/>
      <c r="C2035" s="11"/>
      <c r="D2035" s="1"/>
      <c r="E2035" s="155"/>
      <c r="F2035" s="155"/>
      <c r="G2035" s="155"/>
      <c r="H2035" s="155"/>
      <c r="I2035" s="171"/>
    </row>
    <row r="2036" spans="2:10" x14ac:dyDescent="0.15">
      <c r="B2036" s="11"/>
      <c r="C2036" s="11"/>
      <c r="D2036" s="1"/>
      <c r="E2036" s="155"/>
      <c r="F2036" s="155"/>
      <c r="G2036" s="155"/>
      <c r="H2036" s="155"/>
      <c r="I2036" s="171"/>
    </row>
    <row r="2037" spans="2:10" x14ac:dyDescent="0.15">
      <c r="B2037" s="11"/>
      <c r="C2037" s="11"/>
      <c r="D2037" s="1"/>
      <c r="E2037" s="155"/>
      <c r="F2037" s="155"/>
      <c r="G2037" s="155"/>
      <c r="H2037" s="155"/>
      <c r="I2037" s="171"/>
    </row>
    <row r="2038" spans="2:10" ht="14" x14ac:dyDescent="0.15">
      <c r="B2038" s="102"/>
      <c r="C2038" s="83"/>
      <c r="D2038" s="84"/>
      <c r="E2038" s="83"/>
      <c r="F2038" s="83"/>
      <c r="G2038" s="103"/>
      <c r="H2038" s="83"/>
      <c r="I2038" s="85"/>
      <c r="J2038" s="85"/>
    </row>
    <row r="2039" spans="2:10" ht="14" x14ac:dyDescent="0.15">
      <c r="B2039" s="83"/>
      <c r="C2039" s="83"/>
      <c r="D2039" s="84"/>
      <c r="E2039" s="83"/>
      <c r="F2039" s="83"/>
      <c r="G2039" s="104"/>
      <c r="H2039" s="83"/>
      <c r="I2039" s="85"/>
      <c r="J2039" s="85"/>
    </row>
    <row r="2040" spans="2:10" ht="15" thickBot="1" x14ac:dyDescent="0.2">
      <c r="B2040" s="83"/>
      <c r="C2040" s="83"/>
      <c r="D2040" s="84"/>
      <c r="E2040" s="83"/>
      <c r="F2040" s="83"/>
      <c r="G2040" s="104"/>
      <c r="H2040" s="83"/>
      <c r="I2040" s="85"/>
      <c r="J2040" s="85"/>
    </row>
    <row r="2041" spans="2:10" ht="21" customHeight="1" x14ac:dyDescent="0.15">
      <c r="B2041" s="885" t="s">
        <v>874</v>
      </c>
      <c r="C2041" s="886"/>
      <c r="D2041" s="886"/>
      <c r="E2041" s="886"/>
      <c r="F2041" s="887"/>
      <c r="G2041" s="1"/>
      <c r="H2041" s="912" t="s">
        <v>20</v>
      </c>
      <c r="I2041" s="913"/>
    </row>
    <row r="2042" spans="2:10" ht="16.5" customHeight="1" x14ac:dyDescent="0.15">
      <c r="B2042" s="888" t="s">
        <v>875</v>
      </c>
      <c r="C2042" s="889"/>
      <c r="D2042" s="889"/>
      <c r="E2042" s="889"/>
      <c r="F2042" s="890"/>
      <c r="G2042" s="63"/>
      <c r="H2042" s="943"/>
      <c r="I2042" s="944"/>
    </row>
    <row r="2043" spans="2:10" ht="12.75" customHeight="1" x14ac:dyDescent="0.15">
      <c r="B2043" s="906" t="s">
        <v>876</v>
      </c>
      <c r="C2043" s="907"/>
      <c r="D2043" s="907"/>
      <c r="E2043" s="907"/>
      <c r="F2043" s="908"/>
      <c r="G2043" s="63"/>
      <c r="H2043" s="945" t="s">
        <v>1605</v>
      </c>
      <c r="I2043" s="946"/>
    </row>
    <row r="2044" spans="2:10" ht="16.5" customHeight="1" thickBot="1" x14ac:dyDescent="0.2">
      <c r="B2044" s="909"/>
      <c r="C2044" s="910"/>
      <c r="D2044" s="910"/>
      <c r="E2044" s="910"/>
      <c r="F2044" s="911"/>
      <c r="G2044" s="1"/>
      <c r="H2044" s="945"/>
      <c r="I2044" s="946"/>
    </row>
    <row r="2045" spans="2:10" ht="13.5" customHeight="1" thickBot="1" x14ac:dyDescent="0.2">
      <c r="B2045" s="15"/>
      <c r="C2045" s="16"/>
      <c r="D2045" s="1"/>
      <c r="E2045" s="1"/>
      <c r="F2045" s="1"/>
      <c r="G2045" s="1"/>
      <c r="H2045" s="945"/>
      <c r="I2045" s="946"/>
    </row>
    <row r="2046" spans="2:10" ht="12.75" customHeight="1" x14ac:dyDescent="0.15">
      <c r="B2046" s="922" t="s">
        <v>836</v>
      </c>
      <c r="C2046" s="923"/>
      <c r="D2046" s="923"/>
      <c r="E2046" s="923"/>
      <c r="F2046" s="924"/>
      <c r="G2046" s="1"/>
      <c r="H2046" s="945"/>
      <c r="I2046" s="946"/>
    </row>
    <row r="2047" spans="2:10" ht="12.75" customHeight="1" x14ac:dyDescent="0.15">
      <c r="B2047" s="925"/>
      <c r="C2047" s="926"/>
      <c r="D2047" s="926"/>
      <c r="E2047" s="926"/>
      <c r="F2047" s="927"/>
      <c r="H2047" s="945"/>
      <c r="I2047" s="946"/>
    </row>
    <row r="2048" spans="2:10" ht="13.5" customHeight="1" x14ac:dyDescent="0.15">
      <c r="B2048" s="925"/>
      <c r="C2048" s="926"/>
      <c r="D2048" s="926"/>
      <c r="E2048" s="926"/>
      <c r="F2048" s="927"/>
      <c r="G2048" s="11"/>
      <c r="H2048" s="945"/>
      <c r="I2048" s="946"/>
    </row>
    <row r="2049" spans="2:11" ht="21.75" customHeight="1" thickBot="1" x14ac:dyDescent="0.2">
      <c r="B2049" s="928"/>
      <c r="C2049" s="929"/>
      <c r="D2049" s="929"/>
      <c r="E2049" s="929"/>
      <c r="F2049" s="930"/>
      <c r="H2049" s="64" t="s">
        <v>45</v>
      </c>
      <c r="I2049" s="17" t="s">
        <v>5</v>
      </c>
    </row>
    <row r="2050" spans="2:11" x14ac:dyDescent="0.15">
      <c r="B2050" s="18"/>
      <c r="C2050" s="18"/>
      <c r="D2050" s="1"/>
      <c r="E2050" s="18"/>
      <c r="F2050" s="18"/>
      <c r="G2050" s="18"/>
      <c r="H2050" s="18"/>
      <c r="I2050" s="1"/>
    </row>
    <row r="2051" spans="2:11" ht="14" thickBot="1" x14ac:dyDescent="0.2">
      <c r="B2051" s="12" t="s">
        <v>21</v>
      </c>
      <c r="C2051" s="12"/>
      <c r="D2051" s="1"/>
      <c r="E2051" s="1"/>
      <c r="F2051" s="1"/>
      <c r="G2051" s="1"/>
      <c r="H2051" s="1"/>
      <c r="I2051" s="1"/>
    </row>
    <row r="2052" spans="2:11" x14ac:dyDescent="0.15">
      <c r="B2052" s="903" t="s">
        <v>22</v>
      </c>
      <c r="C2052" s="904"/>
      <c r="D2052" s="905"/>
      <c r="E2052" s="209" t="s">
        <v>23</v>
      </c>
      <c r="F2052" s="19" t="s">
        <v>47</v>
      </c>
      <c r="G2052" s="209" t="s">
        <v>24</v>
      </c>
      <c r="H2052" s="208" t="s">
        <v>25</v>
      </c>
      <c r="I2052" s="43"/>
    </row>
    <row r="2053" spans="2:11" x14ac:dyDescent="0.15">
      <c r="B2053" s="897" t="s">
        <v>56</v>
      </c>
      <c r="C2053" s="898"/>
      <c r="D2053" s="899"/>
      <c r="E2053" s="5"/>
      <c r="F2053" s="162"/>
      <c r="G2053" s="58"/>
      <c r="H2053" s="162">
        <f>I2074*0.05</f>
        <v>1782.0818749999999</v>
      </c>
      <c r="I2053" s="44"/>
    </row>
    <row r="2054" spans="2:11" x14ac:dyDescent="0.15">
      <c r="B2054" s="897" t="s">
        <v>312</v>
      </c>
      <c r="C2054" s="898"/>
      <c r="D2054" s="899"/>
      <c r="E2054" s="5"/>
      <c r="F2054" s="162">
        <f>'HERRAMIENTAS Y EQUIPOS'!C25</f>
        <v>45000</v>
      </c>
      <c r="G2054" s="58">
        <v>20</v>
      </c>
      <c r="H2054" s="162">
        <f>F2054/G2054</f>
        <v>2250</v>
      </c>
      <c r="I2054" s="44"/>
    </row>
    <row r="2055" spans="2:11" ht="14" thickBot="1" x14ac:dyDescent="0.2">
      <c r="B2055" s="900"/>
      <c r="C2055" s="901"/>
      <c r="D2055" s="902"/>
      <c r="E2055" s="21"/>
      <c r="F2055" s="22"/>
      <c r="G2055" s="23"/>
      <c r="H2055" s="47"/>
      <c r="I2055" s="48"/>
    </row>
    <row r="2056" spans="2:11" ht="14" thickBot="1" x14ac:dyDescent="0.2">
      <c r="B2056" s="1"/>
      <c r="C2056" s="1"/>
      <c r="D2056" s="1"/>
      <c r="E2056" s="1"/>
      <c r="F2056" s="1"/>
      <c r="G2056" s="1"/>
      <c r="H2056" s="37" t="s">
        <v>26</v>
      </c>
      <c r="I2056" s="163">
        <f>SUM(H2053:H2055)</f>
        <v>4032.0818749999999</v>
      </c>
    </row>
    <row r="2057" spans="2:11" ht="14" thickBot="1" x14ac:dyDescent="0.2">
      <c r="B2057" s="12" t="s">
        <v>27</v>
      </c>
      <c r="C2057" s="12"/>
      <c r="D2057" s="1"/>
      <c r="E2057" s="1"/>
      <c r="F2057" s="1"/>
      <c r="G2057" s="1"/>
      <c r="H2057" s="1"/>
      <c r="I2057" s="1"/>
    </row>
    <row r="2058" spans="2:11" x14ac:dyDescent="0.15">
      <c r="B2058" s="903" t="s">
        <v>22</v>
      </c>
      <c r="C2058" s="904"/>
      <c r="D2058" s="905"/>
      <c r="E2058" s="209" t="s">
        <v>28</v>
      </c>
      <c r="F2058" s="209" t="s">
        <v>29</v>
      </c>
      <c r="G2058" s="209" t="s">
        <v>30</v>
      </c>
      <c r="H2058" s="208" t="s">
        <v>25</v>
      </c>
      <c r="I2058" s="43"/>
    </row>
    <row r="2059" spans="2:11" x14ac:dyDescent="0.15">
      <c r="B2059" s="4" t="s">
        <v>66</v>
      </c>
      <c r="C2059" s="24"/>
      <c r="D2059" s="6"/>
      <c r="E2059" s="3" t="s">
        <v>58</v>
      </c>
      <c r="F2059" s="166">
        <f>'APU -BASICOS'!H204</f>
        <v>9182</v>
      </c>
      <c r="G2059" s="73">
        <f>(7*1.2*2)</f>
        <v>16.8</v>
      </c>
      <c r="H2059" s="165">
        <f>G2059*F2059</f>
        <v>154257.60000000001</v>
      </c>
      <c r="I2059" s="44"/>
    </row>
    <row r="2060" spans="2:11" x14ac:dyDescent="0.15">
      <c r="B2060" s="4" t="s">
        <v>63</v>
      </c>
      <c r="C2060" s="24"/>
      <c r="D2060" s="6"/>
      <c r="E2060" s="3" t="s">
        <v>6</v>
      </c>
      <c r="F2060" s="164">
        <f>'APU -BASICOS'!H96</f>
        <v>555217</v>
      </c>
      <c r="G2060" s="73">
        <f>1*1*0.1</f>
        <v>0.1</v>
      </c>
      <c r="H2060" s="165">
        <f>G2060*F2060</f>
        <v>55521.700000000004</v>
      </c>
      <c r="I2060" s="44"/>
    </row>
    <row r="2061" spans="2:11" ht="14" thickBot="1" x14ac:dyDescent="0.2">
      <c r="B2061" s="25"/>
      <c r="C2061" s="26"/>
      <c r="D2061" s="27"/>
      <c r="E2061" s="21"/>
      <c r="F2061" s="22"/>
      <c r="G2061" s="167"/>
      <c r="H2061" s="47"/>
      <c r="I2061" s="48"/>
      <c r="K2061" s="233"/>
    </row>
    <row r="2062" spans="2:11" ht="14" thickBot="1" x14ac:dyDescent="0.2">
      <c r="B2062" s="1"/>
      <c r="C2062" s="1"/>
      <c r="D2062" s="1"/>
      <c r="E2062" s="1"/>
      <c r="F2062" s="1"/>
      <c r="G2062" s="1"/>
      <c r="H2062" s="37" t="s">
        <v>26</v>
      </c>
      <c r="I2062" s="163">
        <f>SUM(H2059:H2060)</f>
        <v>209779.30000000002</v>
      </c>
    </row>
    <row r="2063" spans="2:11" ht="14" thickBot="1" x14ac:dyDescent="0.2">
      <c r="B2063" s="28" t="s">
        <v>31</v>
      </c>
      <c r="C2063" s="28"/>
      <c r="D2063" s="26"/>
      <c r="E2063" s="1"/>
      <c r="F2063" s="1"/>
      <c r="G2063" s="1"/>
      <c r="H2063" s="1"/>
      <c r="I2063" s="1"/>
    </row>
    <row r="2064" spans="2:11" x14ac:dyDescent="0.15">
      <c r="B2064" s="51" t="s">
        <v>32</v>
      </c>
      <c r="C2064" s="52"/>
      <c r="D2064" s="97" t="s">
        <v>33</v>
      </c>
      <c r="E2064" s="209" t="s">
        <v>34</v>
      </c>
      <c r="F2064" s="209" t="s">
        <v>35</v>
      </c>
      <c r="G2064" s="209" t="s">
        <v>36</v>
      </c>
      <c r="H2064" s="59" t="s">
        <v>25</v>
      </c>
      <c r="I2064" s="43"/>
    </row>
    <row r="2065" spans="2:13" x14ac:dyDescent="0.15">
      <c r="B2065" s="4"/>
      <c r="C2065" s="24"/>
      <c r="D2065" s="60"/>
      <c r="E2065" s="2"/>
      <c r="F2065" s="2"/>
      <c r="G2065" s="162"/>
      <c r="H2065" s="55"/>
      <c r="I2065" s="44"/>
      <c r="K2065" s="106"/>
    </row>
    <row r="2066" spans="2:13" x14ac:dyDescent="0.15">
      <c r="B2066" s="107"/>
      <c r="C2066" s="66"/>
      <c r="D2066" s="67"/>
      <c r="E2066" s="68"/>
      <c r="F2066" s="68"/>
      <c r="G2066" s="69"/>
      <c r="H2066" s="65"/>
      <c r="I2066" s="44"/>
    </row>
    <row r="2067" spans="2:13" ht="14" thickBot="1" x14ac:dyDescent="0.2">
      <c r="B2067" s="33"/>
      <c r="C2067" s="54"/>
      <c r="D2067" s="21"/>
      <c r="E2067" s="22"/>
      <c r="F2067" s="23"/>
      <c r="G2067" s="47"/>
      <c r="H2067" s="21"/>
      <c r="I2067" s="48"/>
    </row>
    <row r="2068" spans="2:13" ht="14" thickBot="1" x14ac:dyDescent="0.2">
      <c r="B2068" s="1"/>
      <c r="C2068" s="1"/>
      <c r="D2068" s="1"/>
      <c r="E2068" s="1"/>
      <c r="F2068" s="1"/>
      <c r="G2068" s="1"/>
      <c r="H2068" s="37" t="s">
        <v>26</v>
      </c>
      <c r="I2068" s="163">
        <f>SUM(H2065:H2067)</f>
        <v>0</v>
      </c>
    </row>
    <row r="2069" spans="2:13" ht="14" thickBot="1" x14ac:dyDescent="0.2">
      <c r="B2069" s="28" t="s">
        <v>37</v>
      </c>
      <c r="C2069" s="28"/>
      <c r="D2069" s="1"/>
      <c r="E2069" s="1"/>
      <c r="F2069" s="1"/>
      <c r="G2069" s="1"/>
      <c r="H2069" s="1"/>
      <c r="I2069" s="1"/>
    </row>
    <row r="2070" spans="2:13" x14ac:dyDescent="0.15">
      <c r="B2070" s="51" t="s">
        <v>38</v>
      </c>
      <c r="C2070" s="86"/>
      <c r="D2070" s="31" t="s">
        <v>39</v>
      </c>
      <c r="E2070" s="209" t="s">
        <v>40</v>
      </c>
      <c r="F2070" s="19" t="s">
        <v>41</v>
      </c>
      <c r="G2070" s="31" t="s">
        <v>24</v>
      </c>
      <c r="H2070" s="208" t="s">
        <v>25</v>
      </c>
      <c r="I2070" s="43"/>
      <c r="K2070" s="106"/>
    </row>
    <row r="2071" spans="2:13" x14ac:dyDescent="0.15">
      <c r="B2071" s="4" t="s">
        <v>65</v>
      </c>
      <c r="C2071" s="24"/>
      <c r="D2071" s="32">
        <f>'MANO DE OBRA'!E15</f>
        <v>95333</v>
      </c>
      <c r="E2071" s="88">
        <v>1.75</v>
      </c>
      <c r="F2071" s="164">
        <f>+E2071*D2071</f>
        <v>166832.75</v>
      </c>
      <c r="G2071" s="20">
        <f>G2054</f>
        <v>20</v>
      </c>
      <c r="H2071" s="169">
        <f>+F2071/G2071</f>
        <v>8341.6375000000007</v>
      </c>
      <c r="I2071" s="44"/>
    </row>
    <row r="2072" spans="2:13" x14ac:dyDescent="0.15">
      <c r="B2072" s="4" t="s">
        <v>94</v>
      </c>
      <c r="C2072" s="24"/>
      <c r="D2072" s="32">
        <f>'MANO DE OBRA'!E14*6</f>
        <v>312000</v>
      </c>
      <c r="E2072" s="88">
        <v>1.75</v>
      </c>
      <c r="F2072" s="164">
        <f>+E2072*D2072</f>
        <v>546000</v>
      </c>
      <c r="G2072" s="20">
        <f>G2054</f>
        <v>20</v>
      </c>
      <c r="H2072" s="169">
        <f>+F2072/G2072</f>
        <v>27300</v>
      </c>
      <c r="I2072" s="44"/>
    </row>
    <row r="2073" spans="2:13" ht="14" thickBot="1" x14ac:dyDescent="0.2">
      <c r="B2073" s="33"/>
      <c r="C2073" s="34"/>
      <c r="D2073" s="22"/>
      <c r="E2073" s="21"/>
      <c r="F2073" s="22"/>
      <c r="G2073" s="23"/>
      <c r="H2073" s="47"/>
      <c r="I2073" s="48"/>
      <c r="K2073" s="106"/>
    </row>
    <row r="2074" spans="2:13" ht="14" thickBot="1" x14ac:dyDescent="0.2">
      <c r="B2074" s="1"/>
      <c r="C2074" s="1"/>
      <c r="D2074" s="1"/>
      <c r="E2074" s="1"/>
      <c r="F2074" s="1"/>
      <c r="G2074" s="1"/>
      <c r="H2074" s="37" t="s">
        <v>26</v>
      </c>
      <c r="I2074" s="177">
        <f>SUM(H2071:H2073)</f>
        <v>35641.637499999997</v>
      </c>
      <c r="K2074" s="233"/>
    </row>
    <row r="2075" spans="2:13" ht="14" thickBot="1" x14ac:dyDescent="0.2">
      <c r="B2075" s="1"/>
      <c r="C2075" s="1"/>
      <c r="D2075" s="1"/>
      <c r="E2075" s="1"/>
      <c r="F2075" s="1"/>
      <c r="G2075" s="1"/>
      <c r="H2075" s="61"/>
      <c r="I2075" s="1"/>
      <c r="L2075" s="106"/>
      <c r="M2075" s="106"/>
    </row>
    <row r="2076" spans="2:13" ht="15" thickBot="1" x14ac:dyDescent="0.2">
      <c r="B2076" s="1"/>
      <c r="C2076" s="1"/>
      <c r="D2076" s="1"/>
      <c r="E2076" s="1"/>
      <c r="F2076" s="35" t="s">
        <v>43</v>
      </c>
      <c r="G2076" s="16"/>
      <c r="H2076" s="16"/>
      <c r="I2076" s="232">
        <f>ROUND((I2056+I2062+I2068+I2074),0)</f>
        <v>249453</v>
      </c>
    </row>
    <row r="2077" spans="2:13" x14ac:dyDescent="0.15">
      <c r="B2077" s="12"/>
      <c r="C2077" s="12"/>
      <c r="D2077" s="1"/>
      <c r="E2077" s="1"/>
      <c r="F2077" s="1"/>
      <c r="G2077" s="1"/>
      <c r="H2077" s="172"/>
      <c r="I2077" s="172"/>
      <c r="M2077" s="106"/>
    </row>
    <row r="2078" spans="2:13" x14ac:dyDescent="0.15">
      <c r="B2078" s="16"/>
      <c r="C2078" s="16"/>
      <c r="D2078" s="16"/>
      <c r="E2078" s="16"/>
      <c r="F2078" s="16"/>
      <c r="G2078" s="61"/>
      <c r="H2078" s="173"/>
      <c r="I2078" s="172"/>
    </row>
    <row r="2079" spans="2:13" x14ac:dyDescent="0.15">
      <c r="B2079" s="1"/>
      <c r="C2079" s="1"/>
      <c r="D2079" s="1"/>
      <c r="E2079" s="1"/>
      <c r="F2079" s="1"/>
      <c r="G2079" s="161"/>
      <c r="H2079" s="172"/>
      <c r="I2079" s="172"/>
    </row>
    <row r="2080" spans="2:13" x14ac:dyDescent="0.15">
      <c r="B2080" s="1"/>
      <c r="C2080" s="1"/>
      <c r="D2080" s="1"/>
      <c r="E2080" s="1"/>
      <c r="F2080" s="1"/>
      <c r="G2080" s="161"/>
      <c r="H2080" s="172"/>
      <c r="I2080" s="172"/>
    </row>
    <row r="2081" spans="2:10" x14ac:dyDescent="0.15">
      <c r="B2081" s="1"/>
      <c r="C2081" s="1"/>
      <c r="D2081" s="1"/>
      <c r="E2081" s="1"/>
      <c r="F2081" s="1"/>
      <c r="G2081" s="161"/>
      <c r="H2081" s="172"/>
      <c r="I2081" s="172"/>
    </row>
    <row r="2082" spans="2:10" x14ac:dyDescent="0.15">
      <c r="B2082" s="1"/>
      <c r="C2082" s="1"/>
      <c r="D2082" s="1"/>
      <c r="E2082" s="1"/>
      <c r="F2082" s="1"/>
      <c r="G2082" s="1"/>
      <c r="H2082" s="37"/>
      <c r="I2082" s="172"/>
    </row>
    <row r="2083" spans="2:10" ht="14" x14ac:dyDescent="0.15">
      <c r="B2083" s="102"/>
      <c r="C2083" s="1"/>
      <c r="D2083" s="1"/>
      <c r="E2083" s="1"/>
      <c r="F2083" s="1"/>
      <c r="G2083" s="1"/>
      <c r="H2083" s="1"/>
      <c r="I2083" s="172"/>
    </row>
    <row r="2084" spans="2:10" ht="14" x14ac:dyDescent="0.15">
      <c r="B2084" s="83"/>
      <c r="C2084" s="11"/>
      <c r="D2084" s="1"/>
      <c r="E2084" s="916"/>
      <c r="F2084" s="916"/>
      <c r="G2084" s="916"/>
      <c r="H2084" s="916"/>
      <c r="I2084" s="171"/>
    </row>
    <row r="2085" spans="2:10" ht="14" x14ac:dyDescent="0.15">
      <c r="B2085" s="102"/>
      <c r="C2085" s="11"/>
      <c r="D2085" s="1"/>
      <c r="E2085" s="155"/>
      <c r="F2085" s="155"/>
      <c r="G2085" s="155"/>
      <c r="H2085" s="155"/>
      <c r="I2085" s="171"/>
    </row>
    <row r="2086" spans="2:10" ht="14" x14ac:dyDescent="0.15">
      <c r="B2086" s="83"/>
      <c r="C2086" s="11"/>
      <c r="D2086" s="1"/>
      <c r="E2086" s="155"/>
      <c r="F2086" s="155"/>
      <c r="G2086" s="155"/>
      <c r="H2086" s="155"/>
      <c r="I2086" s="171"/>
    </row>
    <row r="2087" spans="2:10" x14ac:dyDescent="0.15">
      <c r="B2087" s="11"/>
      <c r="C2087" s="11"/>
      <c r="D2087" s="1"/>
      <c r="E2087" s="155"/>
      <c r="F2087" s="155"/>
      <c r="G2087" s="155"/>
      <c r="H2087" s="155"/>
      <c r="I2087" s="171"/>
    </row>
    <row r="2088" spans="2:10" x14ac:dyDescent="0.15">
      <c r="B2088" s="11"/>
      <c r="C2088" s="11"/>
      <c r="D2088" s="1"/>
      <c r="E2088" s="155"/>
      <c r="F2088" s="155"/>
      <c r="G2088" s="155"/>
      <c r="H2088" s="155"/>
      <c r="I2088" s="171"/>
    </row>
    <row r="2089" spans="2:10" x14ac:dyDescent="0.15">
      <c r="B2089" s="11"/>
      <c r="C2089" s="11"/>
      <c r="D2089" s="1"/>
      <c r="E2089" s="155"/>
      <c r="F2089" s="155"/>
      <c r="G2089" s="155"/>
      <c r="H2089" s="155"/>
      <c r="I2089" s="171"/>
    </row>
    <row r="2090" spans="2:10" x14ac:dyDescent="0.15">
      <c r="B2090" s="11"/>
      <c r="C2090" s="11"/>
      <c r="D2090" s="1"/>
      <c r="E2090" s="155"/>
      <c r="F2090" s="155"/>
      <c r="G2090" s="155"/>
      <c r="H2090" s="155"/>
      <c r="I2090" s="171"/>
    </row>
    <row r="2091" spans="2:10" x14ac:dyDescent="0.15">
      <c r="B2091" s="11"/>
      <c r="C2091" s="11"/>
      <c r="D2091" s="1"/>
      <c r="E2091" s="155"/>
      <c r="F2091" s="155"/>
      <c r="G2091" s="155"/>
      <c r="H2091" s="155"/>
      <c r="I2091" s="171"/>
    </row>
    <row r="2092" spans="2:10" x14ac:dyDescent="0.15">
      <c r="B2092" s="11"/>
      <c r="C2092" s="11"/>
      <c r="D2092" s="1"/>
      <c r="E2092" s="155"/>
      <c r="F2092" s="155"/>
      <c r="G2092" s="155"/>
      <c r="H2092" s="155"/>
      <c r="I2092" s="171"/>
    </row>
    <row r="2093" spans="2:10" ht="14" x14ac:dyDescent="0.15">
      <c r="B2093" s="102"/>
      <c r="C2093" s="83"/>
      <c r="D2093" s="84"/>
      <c r="E2093" s="83"/>
      <c r="F2093" s="83"/>
      <c r="G2093" s="103"/>
      <c r="H2093" s="83"/>
      <c r="I2093" s="85"/>
      <c r="J2093" s="85"/>
    </row>
    <row r="2094" spans="2:10" ht="14" x14ac:dyDescent="0.15">
      <c r="B2094" s="83"/>
      <c r="C2094" s="83"/>
      <c r="D2094" s="84"/>
      <c r="E2094" s="83"/>
      <c r="F2094" s="83"/>
      <c r="G2094" s="104"/>
      <c r="H2094" s="83"/>
      <c r="I2094" s="85"/>
      <c r="J2094" s="85"/>
    </row>
    <row r="2095" spans="2:10" ht="14" x14ac:dyDescent="0.15">
      <c r="B2095" s="83"/>
      <c r="C2095" s="83"/>
      <c r="D2095" s="84"/>
      <c r="E2095" s="83"/>
      <c r="F2095" s="83"/>
      <c r="G2095" s="104"/>
      <c r="H2095" s="83"/>
      <c r="I2095" s="85"/>
      <c r="J2095" s="85"/>
    </row>
    <row r="2096" spans="2:10" ht="14" thickBot="1" x14ac:dyDescent="0.2">
      <c r="B2096" s="11"/>
      <c r="C2096" s="11"/>
      <c r="D2096" s="1"/>
      <c r="E2096" s="155"/>
      <c r="F2096" s="155"/>
      <c r="G2096" s="155"/>
      <c r="H2096" s="155"/>
      <c r="I2096" s="171"/>
    </row>
    <row r="2097" spans="2:9" ht="21" customHeight="1" x14ac:dyDescent="0.15">
      <c r="B2097" s="885" t="s">
        <v>874</v>
      </c>
      <c r="C2097" s="886"/>
      <c r="D2097" s="886"/>
      <c r="E2097" s="886"/>
      <c r="F2097" s="887"/>
      <c r="G2097" s="1"/>
      <c r="H2097" s="879" t="s">
        <v>20</v>
      </c>
      <c r="I2097" s="880"/>
    </row>
    <row r="2098" spans="2:9" ht="16.5" customHeight="1" x14ac:dyDescent="0.15">
      <c r="B2098" s="888" t="s">
        <v>875</v>
      </c>
      <c r="C2098" s="889"/>
      <c r="D2098" s="889"/>
      <c r="E2098" s="889"/>
      <c r="F2098" s="890"/>
      <c r="G2098" s="63"/>
      <c r="H2098" s="881"/>
      <c r="I2098" s="882"/>
    </row>
    <row r="2099" spans="2:9" ht="12.75" customHeight="1" x14ac:dyDescent="0.15">
      <c r="B2099" s="906" t="s">
        <v>876</v>
      </c>
      <c r="C2099" s="907"/>
      <c r="D2099" s="907"/>
      <c r="E2099" s="907"/>
      <c r="F2099" s="908"/>
      <c r="G2099" s="63"/>
      <c r="H2099" s="883"/>
      <c r="I2099" s="884"/>
    </row>
    <row r="2100" spans="2:9" ht="16.5" customHeight="1" thickBot="1" x14ac:dyDescent="0.2">
      <c r="B2100" s="909"/>
      <c r="C2100" s="910"/>
      <c r="D2100" s="910"/>
      <c r="E2100" s="910"/>
      <c r="F2100" s="911"/>
      <c r="G2100" s="1"/>
      <c r="H2100" s="956" t="s">
        <v>1606</v>
      </c>
      <c r="I2100" s="957"/>
    </row>
    <row r="2101" spans="2:9" ht="14" thickBot="1" x14ac:dyDescent="0.2">
      <c r="B2101" s="15"/>
      <c r="C2101" s="16"/>
      <c r="D2101" s="1"/>
      <c r="E2101" s="1"/>
      <c r="F2101" s="1"/>
      <c r="G2101" s="1"/>
      <c r="H2101" s="958"/>
      <c r="I2101" s="959"/>
    </row>
    <row r="2102" spans="2:9" ht="12.75" customHeight="1" x14ac:dyDescent="0.15">
      <c r="B2102" s="922" t="s">
        <v>836</v>
      </c>
      <c r="C2102" s="923"/>
      <c r="D2102" s="923"/>
      <c r="E2102" s="923"/>
      <c r="F2102" s="924"/>
      <c r="G2102" s="1"/>
      <c r="H2102" s="958"/>
      <c r="I2102" s="959"/>
    </row>
    <row r="2103" spans="2:9" ht="12.75" customHeight="1" x14ac:dyDescent="0.15">
      <c r="B2103" s="925"/>
      <c r="C2103" s="926"/>
      <c r="D2103" s="926"/>
      <c r="E2103" s="926"/>
      <c r="F2103" s="927"/>
      <c r="H2103" s="958"/>
      <c r="I2103" s="959"/>
    </row>
    <row r="2104" spans="2:9" ht="13.5" customHeight="1" x14ac:dyDescent="0.15">
      <c r="B2104" s="925"/>
      <c r="C2104" s="926"/>
      <c r="D2104" s="926"/>
      <c r="E2104" s="926"/>
      <c r="F2104" s="927"/>
      <c r="G2104" s="11"/>
      <c r="H2104" s="958"/>
      <c r="I2104" s="959"/>
    </row>
    <row r="2105" spans="2:9" ht="21.75" customHeight="1" thickBot="1" x14ac:dyDescent="0.2">
      <c r="B2105" s="928"/>
      <c r="C2105" s="929"/>
      <c r="D2105" s="929"/>
      <c r="E2105" s="929"/>
      <c r="F2105" s="930"/>
      <c r="H2105" s="64" t="s">
        <v>45</v>
      </c>
      <c r="I2105" s="17" t="s">
        <v>5</v>
      </c>
    </row>
    <row r="2106" spans="2:9" x14ac:dyDescent="0.15">
      <c r="B2106" s="18"/>
      <c r="C2106" s="18"/>
      <c r="D2106" s="1"/>
      <c r="E2106" s="18"/>
      <c r="F2106" s="18"/>
      <c r="G2106" s="18"/>
      <c r="H2106" s="18"/>
      <c r="I2106" s="1"/>
    </row>
    <row r="2107" spans="2:9" ht="14" thickBot="1" x14ac:dyDescent="0.2">
      <c r="B2107" s="12" t="s">
        <v>21</v>
      </c>
      <c r="C2107" s="12"/>
      <c r="D2107" s="1"/>
      <c r="E2107" s="1"/>
      <c r="F2107" s="1"/>
      <c r="G2107" s="1"/>
      <c r="H2107" s="1"/>
      <c r="I2107" s="1"/>
    </row>
    <row r="2108" spans="2:9" x14ac:dyDescent="0.15">
      <c r="B2108" s="903" t="s">
        <v>22</v>
      </c>
      <c r="C2108" s="904"/>
      <c r="D2108" s="905"/>
      <c r="E2108" s="209" t="s">
        <v>23</v>
      </c>
      <c r="F2108" s="19" t="s">
        <v>47</v>
      </c>
      <c r="G2108" s="209" t="s">
        <v>24</v>
      </c>
      <c r="H2108" s="208" t="s">
        <v>25</v>
      </c>
      <c r="I2108" s="43"/>
    </row>
    <row r="2109" spans="2:9" x14ac:dyDescent="0.15">
      <c r="B2109" s="897" t="s">
        <v>56</v>
      </c>
      <c r="C2109" s="898"/>
      <c r="D2109" s="899"/>
      <c r="E2109" s="5"/>
      <c r="F2109" s="162"/>
      <c r="G2109" s="58"/>
      <c r="H2109" s="162">
        <f>I2134*0.05</f>
        <v>1466.1091666666669</v>
      </c>
      <c r="I2109" s="44"/>
    </row>
    <row r="2110" spans="2:9" x14ac:dyDescent="0.15">
      <c r="B2110" s="897" t="s">
        <v>1542</v>
      </c>
      <c r="C2110" s="898"/>
      <c r="D2110" s="899"/>
      <c r="E2110" s="5"/>
      <c r="F2110" s="421">
        <f>'HERRAMIENTAS Y EQUIPOS'!C24*6</f>
        <v>27000</v>
      </c>
      <c r="G2110" s="20">
        <v>15</v>
      </c>
      <c r="H2110" s="426">
        <f>F2110/G2110</f>
        <v>1800</v>
      </c>
      <c r="I2110" s="94"/>
    </row>
    <row r="2111" spans="2:9" ht="14" thickBot="1" x14ac:dyDescent="0.2">
      <c r="B2111" s="900"/>
      <c r="C2111" s="901"/>
      <c r="D2111" s="902"/>
      <c r="E2111" s="21"/>
      <c r="F2111" s="22"/>
      <c r="G2111" s="23"/>
      <c r="H2111" s="47"/>
      <c r="I2111" s="48"/>
    </row>
    <row r="2112" spans="2:9" ht="14" thickBot="1" x14ac:dyDescent="0.2">
      <c r="B2112" s="1"/>
      <c r="C2112" s="1"/>
      <c r="D2112" s="1"/>
      <c r="E2112" s="1"/>
      <c r="F2112" s="1"/>
      <c r="G2112" s="1"/>
      <c r="H2112" s="37" t="s">
        <v>26</v>
      </c>
      <c r="I2112" s="163">
        <f>SUM(H2109:H2111)</f>
        <v>3266.1091666666671</v>
      </c>
    </row>
    <row r="2113" spans="2:9" ht="14" thickBot="1" x14ac:dyDescent="0.2">
      <c r="B2113" s="12" t="s">
        <v>27</v>
      </c>
      <c r="C2113" s="12"/>
      <c r="D2113" s="1"/>
      <c r="E2113" s="1"/>
      <c r="F2113" s="1"/>
      <c r="G2113" s="1"/>
      <c r="H2113" s="1"/>
      <c r="I2113" s="1"/>
    </row>
    <row r="2114" spans="2:9" x14ac:dyDescent="0.15">
      <c r="B2114" s="903" t="s">
        <v>22</v>
      </c>
      <c r="C2114" s="904"/>
      <c r="D2114" s="905"/>
      <c r="E2114" s="209" t="s">
        <v>28</v>
      </c>
      <c r="F2114" s="209" t="s">
        <v>29</v>
      </c>
      <c r="G2114" s="209" t="s">
        <v>30</v>
      </c>
      <c r="H2114" s="208" t="s">
        <v>25</v>
      </c>
      <c r="I2114" s="43"/>
    </row>
    <row r="2115" spans="2:9" x14ac:dyDescent="0.15">
      <c r="B2115" s="4" t="s">
        <v>502</v>
      </c>
      <c r="C2115" s="24"/>
      <c r="D2115" s="6"/>
      <c r="E2115" s="3" t="s">
        <v>501</v>
      </c>
      <c r="F2115" s="180">
        <f>MATERIALES!F55</f>
        <v>78000</v>
      </c>
      <c r="G2115" s="20">
        <v>1.9979799999999999E-2</v>
      </c>
      <c r="H2115" s="181">
        <f t="shared" ref="H2115" si="3">+F2115*G2115</f>
        <v>1558.4243999999999</v>
      </c>
      <c r="I2115" s="94"/>
    </row>
    <row r="2116" spans="2:9" x14ac:dyDescent="0.15">
      <c r="B2116" s="4" t="s">
        <v>318</v>
      </c>
      <c r="C2116" s="24"/>
      <c r="D2116" s="6"/>
      <c r="E2116" s="3" t="s">
        <v>245</v>
      </c>
      <c r="F2116" s="164">
        <f>MATERIALES!F33</f>
        <v>1800</v>
      </c>
      <c r="G2116" s="65">
        <v>0.2</v>
      </c>
      <c r="H2116" s="165">
        <f>G2116*F2116</f>
        <v>360</v>
      </c>
      <c r="I2116" s="44"/>
    </row>
    <row r="2117" spans="2:9" x14ac:dyDescent="0.15">
      <c r="B2117" s="4" t="s">
        <v>534</v>
      </c>
      <c r="C2117" s="24"/>
      <c r="D2117" s="6"/>
      <c r="E2117" s="3" t="s">
        <v>103</v>
      </c>
      <c r="F2117" s="164">
        <f>MATERIALES!F32</f>
        <v>362400</v>
      </c>
      <c r="G2117" s="65">
        <v>0.02</v>
      </c>
      <c r="H2117" s="165">
        <f>G2117*F2117</f>
        <v>7248</v>
      </c>
      <c r="I2117" s="44"/>
    </row>
    <row r="2118" spans="2:9" x14ac:dyDescent="0.15">
      <c r="B2118" s="4" t="s">
        <v>558</v>
      </c>
      <c r="C2118" s="24"/>
      <c r="D2118" s="6"/>
      <c r="E2118" s="3" t="s">
        <v>58</v>
      </c>
      <c r="F2118" s="164">
        <f>'APU -BASICOS'!H260</f>
        <v>9182</v>
      </c>
      <c r="G2118" s="65">
        <f>3.6*2*0.25</f>
        <v>1.8</v>
      </c>
      <c r="H2118" s="165">
        <f>G2118*F2118</f>
        <v>16527.600000000002</v>
      </c>
      <c r="I2118" s="44"/>
    </row>
    <row r="2119" spans="2:9" x14ac:dyDescent="0.15">
      <c r="B2119" s="4" t="s">
        <v>63</v>
      </c>
      <c r="C2119" s="24"/>
      <c r="D2119" s="6"/>
      <c r="E2119" s="3" t="s">
        <v>6</v>
      </c>
      <c r="F2119" s="164">
        <f>'APU -BASICOS'!H96</f>
        <v>555217</v>
      </c>
      <c r="G2119" s="65">
        <f>1*1*0.1</f>
        <v>0.1</v>
      </c>
      <c r="H2119" s="165">
        <f>G2119*F2119</f>
        <v>55521.700000000004</v>
      </c>
      <c r="I2119" s="44"/>
    </row>
    <row r="2120" spans="2:9" x14ac:dyDescent="0.15">
      <c r="B2120" s="4" t="s">
        <v>667</v>
      </c>
      <c r="C2120" s="24"/>
      <c r="D2120" s="6"/>
      <c r="E2120" s="3" t="s">
        <v>103</v>
      </c>
      <c r="F2120" s="421">
        <f>MATERIALES!C37</f>
        <v>85000</v>
      </c>
      <c r="G2120" s="65">
        <v>1.111E-2</v>
      </c>
      <c r="H2120" s="449">
        <f>G2120*F2120</f>
        <v>944.35</v>
      </c>
      <c r="I2120" s="44"/>
    </row>
    <row r="2121" spans="2:9" ht="14" thickBot="1" x14ac:dyDescent="0.2">
      <c r="B2121" s="25"/>
      <c r="C2121" s="26"/>
      <c r="D2121" s="27"/>
      <c r="E2121" s="21"/>
      <c r="F2121" s="22"/>
      <c r="G2121" s="167"/>
      <c r="H2121" s="47"/>
      <c r="I2121" s="48"/>
    </row>
    <row r="2122" spans="2:9" ht="14" thickBot="1" x14ac:dyDescent="0.2">
      <c r="B2122" s="1"/>
      <c r="C2122" s="1"/>
      <c r="D2122" s="1"/>
      <c r="E2122" s="1"/>
      <c r="F2122" s="1"/>
      <c r="G2122" s="1"/>
      <c r="H2122" s="37" t="s">
        <v>26</v>
      </c>
      <c r="I2122" s="163">
        <f>SUM(H2115:H2121)</f>
        <v>82160.074400000012</v>
      </c>
    </row>
    <row r="2123" spans="2:9" ht="14" thickBot="1" x14ac:dyDescent="0.2">
      <c r="B2123" s="28" t="s">
        <v>31</v>
      </c>
      <c r="C2123" s="28"/>
      <c r="D2123" s="26"/>
      <c r="E2123" s="1"/>
      <c r="F2123" s="1"/>
      <c r="G2123" s="1"/>
      <c r="H2123" s="1"/>
      <c r="I2123" s="1"/>
    </row>
    <row r="2124" spans="2:9" x14ac:dyDescent="0.15">
      <c r="B2124" s="51" t="s">
        <v>32</v>
      </c>
      <c r="C2124" s="52"/>
      <c r="D2124" s="97" t="s">
        <v>33</v>
      </c>
      <c r="E2124" s="209" t="s">
        <v>34</v>
      </c>
      <c r="F2124" s="209" t="s">
        <v>35</v>
      </c>
      <c r="G2124" s="209" t="s">
        <v>36</v>
      </c>
      <c r="H2124" s="59" t="s">
        <v>25</v>
      </c>
      <c r="I2124" s="43"/>
    </row>
    <row r="2125" spans="2:9" x14ac:dyDescent="0.15">
      <c r="B2125" s="4" t="s">
        <v>590</v>
      </c>
      <c r="C2125" s="6"/>
      <c r="D2125" s="60">
        <v>0.1</v>
      </c>
      <c r="E2125" s="2">
        <v>15</v>
      </c>
      <c r="F2125" s="2">
        <f>E2125*D2125</f>
        <v>1.5</v>
      </c>
      <c r="G2125" s="162">
        <v>1100</v>
      </c>
      <c r="H2125" s="55">
        <f>G2125*F2125</f>
        <v>1650</v>
      </c>
      <c r="I2125" s="44"/>
    </row>
    <row r="2126" spans="2:9" x14ac:dyDescent="0.15">
      <c r="B2126" s="107"/>
      <c r="C2126" s="66"/>
      <c r="D2126" s="67"/>
      <c r="E2126" s="68"/>
      <c r="F2126" s="68"/>
      <c r="G2126" s="69"/>
      <c r="H2126" s="65"/>
      <c r="I2126" s="44"/>
    </row>
    <row r="2127" spans="2:9" ht="14" thickBot="1" x14ac:dyDescent="0.2">
      <c r="B2127" s="33"/>
      <c r="C2127" s="54"/>
      <c r="D2127" s="21"/>
      <c r="E2127" s="22"/>
      <c r="F2127" s="23"/>
      <c r="G2127" s="47"/>
      <c r="H2127" s="21"/>
      <c r="I2127" s="48"/>
    </row>
    <row r="2128" spans="2:9" ht="14" thickBot="1" x14ac:dyDescent="0.2">
      <c r="B2128" s="1"/>
      <c r="C2128" s="1"/>
      <c r="D2128" s="1"/>
      <c r="E2128" s="1"/>
      <c r="F2128" s="1"/>
      <c r="G2128" s="1"/>
      <c r="H2128" s="37" t="s">
        <v>26</v>
      </c>
      <c r="I2128" s="163">
        <f>SUM(H2125:H2127)</f>
        <v>1650</v>
      </c>
    </row>
    <row r="2129" spans="2:11" ht="14" thickBot="1" x14ac:dyDescent="0.2">
      <c r="B2129" s="28" t="s">
        <v>37</v>
      </c>
      <c r="C2129" s="28"/>
      <c r="D2129" s="1"/>
      <c r="E2129" s="1"/>
      <c r="F2129" s="1"/>
      <c r="G2129" s="1"/>
      <c r="H2129" s="1"/>
      <c r="I2129" s="1"/>
    </row>
    <row r="2130" spans="2:11" x14ac:dyDescent="0.15">
      <c r="B2130" s="51" t="s">
        <v>38</v>
      </c>
      <c r="C2130" s="86"/>
      <c r="D2130" s="31" t="s">
        <v>39</v>
      </c>
      <c r="E2130" s="209" t="s">
        <v>40</v>
      </c>
      <c r="F2130" s="19" t="s">
        <v>41</v>
      </c>
      <c r="G2130" s="31" t="s">
        <v>24</v>
      </c>
      <c r="H2130" s="208" t="s">
        <v>25</v>
      </c>
      <c r="I2130" s="43"/>
    </row>
    <row r="2131" spans="2:11" x14ac:dyDescent="0.15">
      <c r="B2131" s="4" t="s">
        <v>65</v>
      </c>
      <c r="C2131" s="24"/>
      <c r="D2131" s="32">
        <f>'MANO DE OBRA'!E15</f>
        <v>95333</v>
      </c>
      <c r="E2131" s="88">
        <v>1.75</v>
      </c>
      <c r="F2131" s="164">
        <f>+E2131*D2131</f>
        <v>166832.75</v>
      </c>
      <c r="G2131" s="79">
        <v>15</v>
      </c>
      <c r="H2131" s="169">
        <f>+F2131/G2131</f>
        <v>11122.183333333332</v>
      </c>
      <c r="I2131" s="44"/>
    </row>
    <row r="2132" spans="2:11" x14ac:dyDescent="0.15">
      <c r="B2132" s="4" t="s">
        <v>64</v>
      </c>
      <c r="C2132" s="24"/>
      <c r="D2132" s="32">
        <f>'MANO DE OBRA'!E14*3</f>
        <v>156000</v>
      </c>
      <c r="E2132" s="88">
        <v>1.75</v>
      </c>
      <c r="F2132" s="164">
        <f>+E2132*D2132</f>
        <v>273000</v>
      </c>
      <c r="G2132" s="79">
        <v>15</v>
      </c>
      <c r="H2132" s="169">
        <f>+F2132/G2132</f>
        <v>18200</v>
      </c>
      <c r="I2132" s="44"/>
    </row>
    <row r="2133" spans="2:11" ht="14" thickBot="1" x14ac:dyDescent="0.2">
      <c r="B2133" s="33"/>
      <c r="C2133" s="34"/>
      <c r="D2133" s="22"/>
      <c r="E2133" s="21"/>
      <c r="F2133" s="22"/>
      <c r="G2133" s="23"/>
      <c r="H2133" s="47"/>
      <c r="I2133" s="48"/>
    </row>
    <row r="2134" spans="2:11" ht="14" thickBot="1" x14ac:dyDescent="0.2">
      <c r="B2134" s="1"/>
      <c r="C2134" s="1"/>
      <c r="D2134" s="1"/>
      <c r="E2134" s="1"/>
      <c r="F2134" s="1"/>
      <c r="G2134" s="1"/>
      <c r="H2134" s="37" t="s">
        <v>26</v>
      </c>
      <c r="I2134" s="177">
        <f>SUM(H2131:H2133)</f>
        <v>29322.183333333334</v>
      </c>
    </row>
    <row r="2135" spans="2:11" ht="14" thickBot="1" x14ac:dyDescent="0.2">
      <c r="B2135" s="1"/>
      <c r="C2135" s="1"/>
      <c r="D2135" s="1"/>
      <c r="E2135" s="1"/>
      <c r="F2135" s="1"/>
      <c r="G2135" s="1"/>
      <c r="H2135" s="61"/>
      <c r="I2135" s="1"/>
    </row>
    <row r="2136" spans="2:11" ht="15" thickBot="1" x14ac:dyDescent="0.2">
      <c r="B2136" s="1"/>
      <c r="C2136" s="1"/>
      <c r="D2136" s="1"/>
      <c r="E2136" s="1"/>
      <c r="F2136" s="35" t="s">
        <v>43</v>
      </c>
      <c r="G2136" s="16"/>
      <c r="H2136" s="16"/>
      <c r="I2136" s="232">
        <f>ROUND((I2112+I2122+I2128+I2134),0)</f>
        <v>116398</v>
      </c>
    </row>
    <row r="2137" spans="2:11" x14ac:dyDescent="0.15">
      <c r="B2137" s="12"/>
      <c r="C2137" s="12"/>
      <c r="D2137" s="1"/>
      <c r="E2137" s="1"/>
      <c r="F2137" s="1"/>
      <c r="G2137" s="1"/>
      <c r="H2137" s="172"/>
      <c r="I2137" s="172"/>
    </row>
    <row r="2138" spans="2:11" x14ac:dyDescent="0.15">
      <c r="B2138" s="16"/>
      <c r="C2138" s="16"/>
      <c r="D2138" s="16"/>
      <c r="E2138" s="16"/>
      <c r="F2138" s="16"/>
      <c r="G2138" s="61"/>
      <c r="H2138" s="173"/>
      <c r="I2138" s="172"/>
    </row>
    <row r="2139" spans="2:11" x14ac:dyDescent="0.15">
      <c r="B2139" s="1"/>
      <c r="C2139" s="1"/>
      <c r="D2139" s="1"/>
      <c r="E2139" s="1"/>
      <c r="F2139" s="1"/>
      <c r="G2139" s="161"/>
      <c r="H2139" s="172"/>
      <c r="I2139" s="172"/>
      <c r="K2139" s="106"/>
    </row>
    <row r="2140" spans="2:11" x14ac:dyDescent="0.15">
      <c r="B2140" s="1"/>
      <c r="C2140" s="1"/>
      <c r="D2140" s="1"/>
      <c r="E2140" s="1"/>
      <c r="F2140" s="1"/>
      <c r="G2140" s="161"/>
      <c r="H2140" s="172"/>
      <c r="I2140" s="172"/>
    </row>
    <row r="2141" spans="2:11" x14ac:dyDescent="0.15">
      <c r="B2141" s="1"/>
      <c r="C2141" s="1"/>
      <c r="D2141" s="1"/>
      <c r="E2141" s="1"/>
      <c r="F2141" s="1"/>
      <c r="G2141" s="161"/>
      <c r="H2141" s="172"/>
      <c r="I2141" s="172"/>
    </row>
    <row r="2142" spans="2:11" x14ac:dyDescent="0.15">
      <c r="B2142" s="1"/>
      <c r="C2142" s="1"/>
      <c r="D2142" s="1"/>
      <c r="E2142" s="1"/>
      <c r="F2142" s="1"/>
      <c r="G2142" s="1"/>
      <c r="H2142" s="37"/>
      <c r="I2142" s="172"/>
    </row>
    <row r="2143" spans="2:11" ht="14" x14ac:dyDescent="0.15">
      <c r="B2143" s="102"/>
      <c r="C2143" s="1"/>
      <c r="D2143" s="1"/>
      <c r="E2143" s="1"/>
      <c r="F2143" s="1"/>
      <c r="G2143" s="1"/>
      <c r="H2143" s="1"/>
      <c r="I2143" s="172"/>
    </row>
    <row r="2144" spans="2:11" ht="14" x14ac:dyDescent="0.15">
      <c r="B2144" s="83"/>
      <c r="C2144" s="11"/>
      <c r="D2144" s="1"/>
      <c r="E2144" s="916"/>
      <c r="F2144" s="916"/>
      <c r="G2144" s="916"/>
      <c r="H2144" s="916"/>
      <c r="I2144" s="171"/>
    </row>
    <row r="2145" spans="2:9" ht="14" x14ac:dyDescent="0.15">
      <c r="B2145" s="83"/>
      <c r="C2145" s="11"/>
      <c r="D2145" s="1"/>
      <c r="E2145" s="155"/>
      <c r="F2145" s="155"/>
      <c r="G2145" s="155"/>
      <c r="H2145" s="155"/>
      <c r="I2145" s="171"/>
    </row>
    <row r="2146" spans="2:9" x14ac:dyDescent="0.15">
      <c r="B2146" s="11"/>
      <c r="C2146" s="11"/>
      <c r="D2146" s="1"/>
      <c r="E2146" s="155"/>
      <c r="F2146" s="155"/>
      <c r="G2146" s="155"/>
      <c r="H2146" s="155"/>
      <c r="I2146" s="171"/>
    </row>
    <row r="2147" spans="2:9" x14ac:dyDescent="0.15">
      <c r="B2147" s="11"/>
      <c r="C2147" s="11"/>
      <c r="D2147" s="1"/>
      <c r="E2147" s="155"/>
      <c r="F2147" s="155"/>
      <c r="G2147" s="155"/>
      <c r="H2147" s="155"/>
      <c r="I2147" s="171"/>
    </row>
    <row r="2148" spans="2:9" x14ac:dyDescent="0.15">
      <c r="B2148" s="11"/>
      <c r="C2148" s="11"/>
      <c r="D2148" s="1"/>
      <c r="E2148" s="155"/>
      <c r="F2148" s="155"/>
      <c r="G2148" s="155"/>
      <c r="H2148" s="155"/>
      <c r="I2148" s="171"/>
    </row>
    <row r="2149" spans="2:9" x14ac:dyDescent="0.15">
      <c r="B2149" s="11"/>
      <c r="C2149" s="11"/>
      <c r="D2149" s="1"/>
      <c r="E2149" s="155"/>
      <c r="F2149" s="155"/>
      <c r="G2149" s="155"/>
      <c r="H2149" s="155"/>
      <c r="I2149" s="171"/>
    </row>
    <row r="2150" spans="2:9" x14ac:dyDescent="0.15">
      <c r="B2150" s="11"/>
      <c r="C2150" s="11"/>
      <c r="D2150" s="1"/>
      <c r="E2150" s="155"/>
      <c r="F2150" s="155"/>
      <c r="G2150" s="155"/>
      <c r="H2150" s="155"/>
      <c r="I2150" s="171"/>
    </row>
    <row r="2151" spans="2:9" x14ac:dyDescent="0.15">
      <c r="B2151" s="11"/>
      <c r="C2151" s="11"/>
      <c r="D2151" s="1"/>
      <c r="E2151" s="155"/>
      <c r="F2151" s="155"/>
      <c r="G2151" s="155"/>
      <c r="H2151" s="155"/>
      <c r="I2151" s="171"/>
    </row>
    <row r="2152" spans="2:9" x14ac:dyDescent="0.15">
      <c r="B2152" s="11"/>
      <c r="C2152" s="11"/>
      <c r="D2152" s="11"/>
      <c r="E2152" s="11"/>
      <c r="F2152" s="11"/>
      <c r="G2152" s="11"/>
      <c r="H2152" s="11"/>
      <c r="I2152" s="11"/>
    </row>
    <row r="2153" spans="2:9" ht="14" thickBot="1" x14ac:dyDescent="0.2">
      <c r="B2153" s="11"/>
      <c r="C2153" s="11"/>
      <c r="D2153" s="11"/>
      <c r="E2153" s="11"/>
      <c r="F2153" s="11"/>
      <c r="G2153" s="11"/>
      <c r="H2153" s="11"/>
      <c r="I2153" s="11"/>
    </row>
    <row r="2154" spans="2:9" s="90" customFormat="1" ht="21.75" customHeight="1" x14ac:dyDescent="0.2">
      <c r="B2154" s="885" t="s">
        <v>874</v>
      </c>
      <c r="C2154" s="886"/>
      <c r="D2154" s="886"/>
      <c r="E2154" s="886"/>
      <c r="F2154" s="887"/>
      <c r="G2154" s="429"/>
      <c r="H2154" s="968" t="s">
        <v>20</v>
      </c>
      <c r="I2154" s="969"/>
    </row>
    <row r="2155" spans="2:9" s="90" customFormat="1" ht="21" customHeight="1" x14ac:dyDescent="0.2">
      <c r="B2155" s="888" t="s">
        <v>875</v>
      </c>
      <c r="C2155" s="889"/>
      <c r="D2155" s="889"/>
      <c r="E2155" s="889"/>
      <c r="F2155" s="890"/>
      <c r="G2155" s="430"/>
      <c r="H2155" s="970"/>
      <c r="I2155" s="971"/>
    </row>
    <row r="2156" spans="2:9" s="90" customFormat="1" ht="15" customHeight="1" x14ac:dyDescent="0.2">
      <c r="B2156" s="906" t="s">
        <v>876</v>
      </c>
      <c r="C2156" s="907"/>
      <c r="D2156" s="907"/>
      <c r="E2156" s="907"/>
      <c r="F2156" s="908"/>
      <c r="G2156" s="430"/>
      <c r="H2156" s="935" t="s">
        <v>1607</v>
      </c>
      <c r="I2156" s="939"/>
    </row>
    <row r="2157" spans="2:9" s="90" customFormat="1" ht="15.75" customHeight="1" thickBot="1" x14ac:dyDescent="0.25">
      <c r="B2157" s="909"/>
      <c r="C2157" s="910"/>
      <c r="D2157" s="910"/>
      <c r="E2157" s="910"/>
      <c r="F2157" s="911"/>
      <c r="G2157" s="429"/>
      <c r="H2157" s="935"/>
      <c r="I2157" s="939"/>
    </row>
    <row r="2158" spans="2:9" ht="15.75" customHeight="1" thickBot="1" x14ac:dyDescent="0.2">
      <c r="B2158" s="15"/>
      <c r="C2158" s="16"/>
      <c r="D2158" s="1"/>
      <c r="E2158" s="1"/>
      <c r="F2158" s="1"/>
      <c r="G2158" s="431"/>
      <c r="H2158" s="935"/>
      <c r="I2158" s="939"/>
    </row>
    <row r="2159" spans="2:9" ht="15.75" customHeight="1" x14ac:dyDescent="0.15">
      <c r="B2159" s="922" t="s">
        <v>836</v>
      </c>
      <c r="C2159" s="923"/>
      <c r="D2159" s="923"/>
      <c r="E2159" s="923"/>
      <c r="F2159" s="924"/>
      <c r="G2159" s="429"/>
      <c r="H2159" s="935"/>
      <c r="I2159" s="939"/>
    </row>
    <row r="2160" spans="2:9" ht="15" customHeight="1" x14ac:dyDescent="0.15">
      <c r="B2160" s="925"/>
      <c r="C2160" s="926"/>
      <c r="D2160" s="926"/>
      <c r="E2160" s="926"/>
      <c r="F2160" s="927"/>
      <c r="G2160" s="83"/>
      <c r="H2160" s="935"/>
      <c r="I2160" s="939"/>
    </row>
    <row r="2161" spans="2:9" ht="15" customHeight="1" x14ac:dyDescent="0.15">
      <c r="B2161" s="925"/>
      <c r="C2161" s="926"/>
      <c r="D2161" s="926"/>
      <c r="E2161" s="926"/>
      <c r="F2161" s="927"/>
      <c r="G2161" s="432"/>
      <c r="H2161" s="935"/>
      <c r="I2161" s="939"/>
    </row>
    <row r="2162" spans="2:9" ht="15" thickBot="1" x14ac:dyDescent="0.2">
      <c r="B2162" s="928"/>
      <c r="C2162" s="929"/>
      <c r="D2162" s="929"/>
      <c r="E2162" s="929"/>
      <c r="F2162" s="930"/>
      <c r="G2162" s="83"/>
      <c r="H2162" s="433" t="s">
        <v>45</v>
      </c>
      <c r="I2162" s="434" t="s">
        <v>5</v>
      </c>
    </row>
    <row r="2163" spans="2:9" ht="14" x14ac:dyDescent="0.15">
      <c r="B2163" s="435"/>
      <c r="C2163" s="429"/>
      <c r="D2163" s="435"/>
      <c r="E2163" s="429"/>
      <c r="F2163" s="429"/>
      <c r="G2163" s="83"/>
      <c r="H2163" s="436"/>
      <c r="I2163" s="231"/>
    </row>
    <row r="2164" spans="2:9" ht="14" thickBot="1" x14ac:dyDescent="0.2">
      <c r="B2164" s="436" t="s">
        <v>21</v>
      </c>
      <c r="C2164" s="436"/>
      <c r="D2164" s="429"/>
      <c r="E2164" s="429"/>
      <c r="F2164" s="437"/>
      <c r="G2164" s="429"/>
      <c r="H2164" s="429"/>
      <c r="I2164" s="429"/>
    </row>
    <row r="2165" spans="2:9" x14ac:dyDescent="0.15">
      <c r="B2165" s="993" t="s">
        <v>22</v>
      </c>
      <c r="C2165" s="994"/>
      <c r="D2165" s="995"/>
      <c r="E2165" s="438" t="s">
        <v>23</v>
      </c>
      <c r="F2165" s="439" t="s">
        <v>108</v>
      </c>
      <c r="G2165" s="438" t="s">
        <v>24</v>
      </c>
      <c r="H2165" s="440" t="s">
        <v>25</v>
      </c>
      <c r="I2165" s="441"/>
    </row>
    <row r="2166" spans="2:9" x14ac:dyDescent="0.15">
      <c r="B2166" s="897" t="s">
        <v>56</v>
      </c>
      <c r="C2166" s="898"/>
      <c r="D2166" s="899"/>
      <c r="E2166" s="5"/>
      <c r="F2166" s="419"/>
      <c r="G2166" s="20"/>
      <c r="H2166" s="426">
        <f>I2190*0.05</f>
        <v>1466.1091666666669</v>
      </c>
      <c r="I2166" s="94"/>
    </row>
    <row r="2167" spans="2:9" x14ac:dyDescent="0.15">
      <c r="B2167" s="897" t="s">
        <v>1542</v>
      </c>
      <c r="C2167" s="898"/>
      <c r="D2167" s="899"/>
      <c r="E2167" s="5"/>
      <c r="F2167" s="421">
        <f>'HERRAMIENTAS Y EQUIPOS'!C24*6</f>
        <v>27000</v>
      </c>
      <c r="G2167" s="20">
        <v>15</v>
      </c>
      <c r="H2167" s="426">
        <f>F2167/G2167</f>
        <v>1800</v>
      </c>
      <c r="I2167" s="94"/>
    </row>
    <row r="2168" spans="2:9" ht="14" thickBot="1" x14ac:dyDescent="0.2">
      <c r="B2168" s="1004"/>
      <c r="C2168" s="1005"/>
      <c r="D2168" s="1006"/>
      <c r="E2168" s="442"/>
      <c r="F2168" s="443"/>
      <c r="G2168" s="444"/>
      <c r="H2168" s="445"/>
      <c r="I2168" s="446"/>
    </row>
    <row r="2169" spans="2:9" ht="14" thickBot="1" x14ac:dyDescent="0.2">
      <c r="B2169" s="429"/>
      <c r="C2169" s="429"/>
      <c r="D2169" s="429"/>
      <c r="E2169" s="429"/>
      <c r="F2169" s="429"/>
      <c r="G2169" s="429"/>
      <c r="H2169" s="447" t="s">
        <v>26</v>
      </c>
      <c r="I2169" s="448">
        <f>SUM(H2166:H2168)</f>
        <v>3266.1091666666671</v>
      </c>
    </row>
    <row r="2170" spans="2:9" ht="14" thickBot="1" x14ac:dyDescent="0.2">
      <c r="B2170" s="436" t="s">
        <v>27</v>
      </c>
      <c r="C2170" s="436"/>
      <c r="D2170" s="429"/>
      <c r="E2170" s="429"/>
      <c r="F2170" s="429"/>
      <c r="G2170" s="429"/>
      <c r="H2170" s="429"/>
      <c r="I2170" s="429"/>
    </row>
    <row r="2171" spans="2:9" x14ac:dyDescent="0.15">
      <c r="B2171" s="993" t="s">
        <v>22</v>
      </c>
      <c r="C2171" s="994"/>
      <c r="D2171" s="995"/>
      <c r="E2171" s="438" t="s">
        <v>28</v>
      </c>
      <c r="F2171" s="438" t="s">
        <v>29</v>
      </c>
      <c r="G2171" s="438" t="s">
        <v>30</v>
      </c>
      <c r="H2171" s="440" t="s">
        <v>25</v>
      </c>
      <c r="I2171" s="441"/>
    </row>
    <row r="2172" spans="2:9" x14ac:dyDescent="0.15">
      <c r="B2172" s="4" t="s">
        <v>666</v>
      </c>
      <c r="C2172" s="24"/>
      <c r="D2172" s="6"/>
      <c r="E2172" s="3" t="s">
        <v>6</v>
      </c>
      <c r="F2172" s="421">
        <f>'APU -BASICOS'!H96</f>
        <v>555217</v>
      </c>
      <c r="G2172" s="422">
        <f>1*1*0.1</f>
        <v>0.1</v>
      </c>
      <c r="H2172" s="449">
        <f>F2172*G2172</f>
        <v>55521.700000000004</v>
      </c>
      <c r="I2172" s="94"/>
    </row>
    <row r="2173" spans="2:9" x14ac:dyDescent="0.15">
      <c r="B2173" s="4" t="s">
        <v>664</v>
      </c>
      <c r="C2173" s="24"/>
      <c r="D2173" s="6"/>
      <c r="E2173" s="3" t="s">
        <v>186</v>
      </c>
      <c r="F2173" s="421">
        <f>'APU -BASICOS'!H260</f>
        <v>9182</v>
      </c>
      <c r="G2173" s="65">
        <f>3.6*2*0.25</f>
        <v>1.8</v>
      </c>
      <c r="H2173" s="449">
        <f>F2173*G2173</f>
        <v>16527.600000000002</v>
      </c>
      <c r="I2173" s="94"/>
    </row>
    <row r="2174" spans="2:9" x14ac:dyDescent="0.15">
      <c r="B2174" s="4" t="s">
        <v>534</v>
      </c>
      <c r="C2174" s="24"/>
      <c r="D2174" s="6"/>
      <c r="E2174" s="3" t="s">
        <v>103</v>
      </c>
      <c r="F2174" s="419">
        <f>MATERIALES!C32</f>
        <v>362400</v>
      </c>
      <c r="G2174" s="65">
        <v>0.02</v>
      </c>
      <c r="H2174" s="423">
        <f>F2174*G2174</f>
        <v>7248</v>
      </c>
      <c r="I2174" s="44"/>
    </row>
    <row r="2175" spans="2:9" x14ac:dyDescent="0.15">
      <c r="B2175" s="4" t="s">
        <v>318</v>
      </c>
      <c r="C2175" s="24"/>
      <c r="D2175" s="6"/>
      <c r="E2175" s="3" t="s">
        <v>193</v>
      </c>
      <c r="F2175" s="419">
        <f>MATERIALES!C33</f>
        <v>1800</v>
      </c>
      <c r="G2175" s="65">
        <v>0.2</v>
      </c>
      <c r="H2175" s="423">
        <f>F2175*G2175</f>
        <v>360</v>
      </c>
      <c r="I2175" s="44"/>
    </row>
    <row r="2176" spans="2:9" x14ac:dyDescent="0.15">
      <c r="B2176" s="4" t="s">
        <v>502</v>
      </c>
      <c r="C2176" s="24"/>
      <c r="D2176" s="6"/>
      <c r="E2176" s="3" t="s">
        <v>319</v>
      </c>
      <c r="F2176" s="421">
        <f>MATERIALES!C55</f>
        <v>78000</v>
      </c>
      <c r="G2176" s="20">
        <v>1.9979799999999999E-2</v>
      </c>
      <c r="H2176" s="423">
        <f>F2176*G2176</f>
        <v>1558.4243999999999</v>
      </c>
      <c r="I2176" s="44"/>
    </row>
    <row r="2177" spans="2:11" x14ac:dyDescent="0.15">
      <c r="B2177" s="4" t="s">
        <v>667</v>
      </c>
      <c r="C2177" s="24"/>
      <c r="D2177" s="6"/>
      <c r="E2177" s="3" t="s">
        <v>103</v>
      </c>
      <c r="F2177" s="421">
        <f>MATERIALES!C37</f>
        <v>85000</v>
      </c>
      <c r="G2177" s="65">
        <v>1.111E-2</v>
      </c>
      <c r="H2177" s="449">
        <f>G2177*F2177</f>
        <v>944.35</v>
      </c>
      <c r="I2177" s="44"/>
    </row>
    <row r="2178" spans="2:11" ht="14" thickBot="1" x14ac:dyDescent="0.2">
      <c r="B2178" s="450"/>
      <c r="C2178" s="451"/>
      <c r="D2178" s="452"/>
      <c r="E2178" s="442"/>
      <c r="F2178" s="443"/>
      <c r="G2178" s="444"/>
      <c r="H2178" s="445"/>
      <c r="I2178" s="446"/>
    </row>
    <row r="2179" spans="2:11" ht="14" thickBot="1" x14ac:dyDescent="0.2">
      <c r="B2179" s="429"/>
      <c r="C2179" s="429"/>
      <c r="D2179" s="429"/>
      <c r="E2179" s="429"/>
      <c r="F2179" s="429"/>
      <c r="G2179" s="429"/>
      <c r="H2179" s="447" t="s">
        <v>26</v>
      </c>
      <c r="I2179" s="448">
        <f>SUM(H2172:H2177)</f>
        <v>82160.074400000012</v>
      </c>
    </row>
    <row r="2180" spans="2:11" ht="14" thickBot="1" x14ac:dyDescent="0.2">
      <c r="B2180" s="453" t="s">
        <v>31</v>
      </c>
      <c r="C2180" s="453"/>
      <c r="D2180" s="451"/>
      <c r="E2180" s="429"/>
      <c r="F2180" s="429"/>
      <c r="G2180" s="429"/>
      <c r="H2180" s="429"/>
      <c r="I2180" s="429"/>
    </row>
    <row r="2181" spans="2:11" x14ac:dyDescent="0.15">
      <c r="B2181" s="454" t="s">
        <v>32</v>
      </c>
      <c r="C2181" s="455"/>
      <c r="D2181" s="456" t="s">
        <v>33</v>
      </c>
      <c r="E2181" s="438" t="s">
        <v>34</v>
      </c>
      <c r="F2181" s="438" t="s">
        <v>35</v>
      </c>
      <c r="G2181" s="438" t="s">
        <v>36</v>
      </c>
      <c r="H2181" s="457" t="s">
        <v>25</v>
      </c>
      <c r="I2181" s="441"/>
    </row>
    <row r="2182" spans="2:11" x14ac:dyDescent="0.15">
      <c r="B2182" s="4" t="s">
        <v>668</v>
      </c>
      <c r="C2182" s="24"/>
      <c r="D2182" s="60">
        <v>0.1</v>
      </c>
      <c r="E2182" s="2">
        <v>15</v>
      </c>
      <c r="F2182" s="2">
        <f>E2182*D2182</f>
        <v>1.5</v>
      </c>
      <c r="G2182" s="162">
        <v>1100</v>
      </c>
      <c r="H2182" s="55">
        <f>G2182*F2182</f>
        <v>1650</v>
      </c>
      <c r="I2182" s="44"/>
    </row>
    <row r="2183" spans="2:11" ht="14" thickBot="1" x14ac:dyDescent="0.2">
      <c r="B2183" s="459"/>
      <c r="C2183" s="460"/>
      <c r="D2183" s="442"/>
      <c r="E2183" s="443"/>
      <c r="F2183" s="444"/>
      <c r="G2183" s="445"/>
      <c r="H2183" s="442"/>
      <c r="I2183" s="94"/>
    </row>
    <row r="2184" spans="2:11" ht="14" thickBot="1" x14ac:dyDescent="0.2">
      <c r="B2184" s="429"/>
      <c r="C2184" s="429"/>
      <c r="D2184" s="429"/>
      <c r="E2184" s="429"/>
      <c r="F2184" s="429"/>
      <c r="G2184" s="429"/>
      <c r="H2184" s="447" t="s">
        <v>26</v>
      </c>
      <c r="I2184" s="448">
        <f>SUM(H2182:H2183)</f>
        <v>1650</v>
      </c>
    </row>
    <row r="2185" spans="2:11" ht="14" thickBot="1" x14ac:dyDescent="0.2">
      <c r="B2185" s="453" t="s">
        <v>37</v>
      </c>
      <c r="C2185" s="453"/>
      <c r="D2185" s="429"/>
      <c r="E2185" s="429"/>
      <c r="F2185" s="429"/>
      <c r="G2185" s="429"/>
      <c r="H2185" s="429"/>
      <c r="I2185" s="429"/>
    </row>
    <row r="2186" spans="2:11" x14ac:dyDescent="0.15">
      <c r="B2186" s="461" t="s">
        <v>38</v>
      </c>
      <c r="C2186" s="462"/>
      <c r="D2186" s="463" t="s">
        <v>39</v>
      </c>
      <c r="E2186" s="438" t="s">
        <v>40</v>
      </c>
      <c r="F2186" s="439" t="s">
        <v>41</v>
      </c>
      <c r="G2186" s="463" t="s">
        <v>24</v>
      </c>
      <c r="H2186" s="440" t="s">
        <v>25</v>
      </c>
      <c r="I2186" s="441"/>
    </row>
    <row r="2187" spans="2:11" x14ac:dyDescent="0.15">
      <c r="B2187" s="107" t="s">
        <v>65</v>
      </c>
      <c r="C2187" s="66"/>
      <c r="D2187" s="464">
        <f>'MANO DE OBRA'!E15*1</f>
        <v>95333</v>
      </c>
      <c r="E2187" s="168">
        <v>1.75</v>
      </c>
      <c r="F2187" s="419">
        <f>+E2187*D2187</f>
        <v>166832.75</v>
      </c>
      <c r="G2187" s="20">
        <v>15</v>
      </c>
      <c r="H2187" s="426">
        <f>+F2187/G2187</f>
        <v>11122.183333333332</v>
      </c>
      <c r="I2187" s="94"/>
    </row>
    <row r="2188" spans="2:11" x14ac:dyDescent="0.15">
      <c r="B2188" s="4" t="s">
        <v>64</v>
      </c>
      <c r="C2188" s="6"/>
      <c r="D2188" s="464">
        <f>'MANO DE OBRA'!E14*3</f>
        <v>156000</v>
      </c>
      <c r="E2188" s="168">
        <v>1.75</v>
      </c>
      <c r="F2188" s="419">
        <f>+E2188*D2188</f>
        <v>273000</v>
      </c>
      <c r="G2188" s="20">
        <v>15</v>
      </c>
      <c r="H2188" s="426">
        <f>+F2188/G2188</f>
        <v>18200</v>
      </c>
      <c r="I2188" s="94"/>
    </row>
    <row r="2189" spans="2:11" ht="14" thickBot="1" x14ac:dyDescent="0.2">
      <c r="B2189" s="459"/>
      <c r="C2189" s="465"/>
      <c r="D2189" s="443"/>
      <c r="E2189" s="466"/>
      <c r="F2189" s="466"/>
      <c r="G2189" s="466"/>
      <c r="H2189" s="467"/>
      <c r="I2189" s="446"/>
    </row>
    <row r="2190" spans="2:11" ht="14" thickBot="1" x14ac:dyDescent="0.2">
      <c r="B2190" s="1"/>
      <c r="C2190" s="429"/>
      <c r="D2190" s="429"/>
      <c r="E2190" s="429"/>
      <c r="F2190" s="429"/>
      <c r="G2190" s="429"/>
      <c r="H2190" s="447" t="s">
        <v>26</v>
      </c>
      <c r="I2190" s="448">
        <f>SUM(H2187:H2189)</f>
        <v>29322.183333333334</v>
      </c>
    </row>
    <row r="2191" spans="2:11" ht="14" thickBot="1" x14ac:dyDescent="0.2">
      <c r="B2191" s="1"/>
      <c r="C2191" s="429"/>
      <c r="D2191" s="429"/>
      <c r="E2191" s="429"/>
      <c r="F2191" s="429"/>
      <c r="G2191" s="429"/>
      <c r="H2191" s="431"/>
      <c r="I2191" s="429"/>
    </row>
    <row r="2192" spans="2:11" ht="15" thickBot="1" x14ac:dyDescent="0.2">
      <c r="B2192" s="1"/>
      <c r="C2192" s="429"/>
      <c r="D2192" s="429"/>
      <c r="E2192" s="429"/>
      <c r="F2192" s="35" t="s">
        <v>43</v>
      </c>
      <c r="G2192" s="468"/>
      <c r="H2192" s="468"/>
      <c r="I2192" s="664">
        <f>ROUND((I2169+I2179+I2184+I2190),0)</f>
        <v>116398</v>
      </c>
      <c r="K2192" s="474"/>
    </row>
    <row r="2193" spans="2:11" x14ac:dyDescent="0.15">
      <c r="B2193" s="12"/>
      <c r="C2193" s="436"/>
      <c r="D2193" s="429"/>
      <c r="E2193" s="429"/>
      <c r="F2193" s="429"/>
      <c r="G2193" s="429"/>
      <c r="H2193" s="429"/>
      <c r="I2193" s="429"/>
      <c r="K2193" s="474"/>
    </row>
    <row r="2194" spans="2:11" x14ac:dyDescent="0.15">
      <c r="B2194" s="16"/>
      <c r="C2194" s="468"/>
      <c r="D2194" s="468"/>
      <c r="E2194" s="468"/>
      <c r="F2194" s="468"/>
      <c r="G2194" s="431"/>
      <c r="H2194" s="431"/>
      <c r="I2194" s="429"/>
    </row>
    <row r="2195" spans="2:11" x14ac:dyDescent="0.15">
      <c r="B2195" s="1"/>
      <c r="C2195" s="1"/>
      <c r="D2195" s="1"/>
      <c r="E2195" s="1"/>
      <c r="F2195" s="1"/>
      <c r="G2195" s="161"/>
      <c r="H2195" s="428"/>
      <c r="I2195" s="428"/>
      <c r="K2195" s="475"/>
    </row>
    <row r="2196" spans="2:11" x14ac:dyDescent="0.15">
      <c r="B2196" s="1"/>
      <c r="C2196" s="1"/>
      <c r="D2196" s="1"/>
      <c r="E2196" s="1"/>
      <c r="F2196" s="1"/>
      <c r="G2196" s="161"/>
      <c r="H2196" s="428"/>
      <c r="I2196" s="428"/>
      <c r="K2196" s="42"/>
    </row>
    <row r="2197" spans="2:11" x14ac:dyDescent="0.15">
      <c r="B2197" s="1"/>
      <c r="C2197" s="1"/>
      <c r="D2197" s="1"/>
      <c r="E2197" s="1"/>
      <c r="F2197" s="1"/>
      <c r="G2197" s="161"/>
      <c r="H2197" s="428"/>
      <c r="I2197" s="428"/>
    </row>
    <row r="2198" spans="2:11" x14ac:dyDescent="0.15">
      <c r="B2198" s="1"/>
      <c r="C2198" s="429"/>
      <c r="D2198" s="429"/>
      <c r="E2198" s="429"/>
      <c r="F2198" s="429"/>
      <c r="G2198" s="429"/>
      <c r="H2198" s="447"/>
      <c r="I2198" s="469"/>
    </row>
    <row r="2199" spans="2:11" ht="14" x14ac:dyDescent="0.15">
      <c r="B2199" s="102"/>
      <c r="C2199" s="429"/>
      <c r="D2199" s="429"/>
      <c r="E2199" s="429"/>
      <c r="F2199" s="429"/>
      <c r="G2199" s="429"/>
      <c r="H2199" s="429"/>
      <c r="I2199" s="429"/>
    </row>
    <row r="2200" spans="2:11" ht="14" x14ac:dyDescent="0.15">
      <c r="B2200" s="83"/>
      <c r="C2200" s="83"/>
      <c r="D2200" s="429"/>
      <c r="E2200" s="470"/>
      <c r="F2200" s="468"/>
      <c r="G2200" s="468"/>
      <c r="H2200" s="468"/>
      <c r="I2200" s="471"/>
    </row>
    <row r="2201" spans="2:11" ht="14" x14ac:dyDescent="0.15">
      <c r="B2201" s="102"/>
      <c r="C2201" s="83"/>
      <c r="D2201" s="84"/>
      <c r="E2201" s="83"/>
      <c r="F2201" s="83"/>
      <c r="G2201" s="102"/>
      <c r="H2201" s="83"/>
      <c r="I2201" s="85"/>
      <c r="J2201" s="85"/>
    </row>
    <row r="2202" spans="2:11" ht="14" x14ac:dyDescent="0.15">
      <c r="B2202" s="83"/>
      <c r="C2202" s="83"/>
      <c r="D2202" s="84"/>
      <c r="E2202" s="83"/>
      <c r="F2202" s="83"/>
      <c r="G2202" s="119"/>
      <c r="H2202" s="83"/>
      <c r="I2202" s="85"/>
      <c r="J2202" s="85"/>
    </row>
    <row r="2203" spans="2:11" ht="14" x14ac:dyDescent="0.15">
      <c r="B2203" s="11"/>
      <c r="C2203" s="83"/>
      <c r="D2203" s="83"/>
      <c r="E2203" s="83"/>
      <c r="F2203" s="83"/>
      <c r="G2203" s="83"/>
      <c r="H2203" s="83"/>
      <c r="I2203" s="83"/>
    </row>
    <row r="2204" spans="2:11" ht="14" x14ac:dyDescent="0.15">
      <c r="B2204" s="83"/>
      <c r="C2204" s="83"/>
      <c r="D2204" s="83"/>
      <c r="E2204" s="83"/>
      <c r="F2204" s="83"/>
      <c r="G2204" s="83"/>
      <c r="H2204" s="83"/>
      <c r="I2204" s="83"/>
    </row>
    <row r="2205" spans="2:11" ht="14" x14ac:dyDescent="0.15">
      <c r="B2205" s="83"/>
      <c r="C2205" s="83"/>
      <c r="D2205" s="83"/>
      <c r="E2205" s="83"/>
      <c r="F2205" s="83"/>
      <c r="G2205" s="83"/>
      <c r="H2205" s="83"/>
      <c r="I2205" s="83"/>
    </row>
    <row r="2206" spans="2:11" ht="15" thickBot="1" x14ac:dyDescent="0.2">
      <c r="B2206" s="472"/>
      <c r="C2206" s="472"/>
      <c r="D2206" s="472"/>
      <c r="E2206" s="473"/>
      <c r="F2206" s="435"/>
      <c r="G2206" s="435"/>
      <c r="H2206" s="435"/>
      <c r="I2206" s="83"/>
    </row>
    <row r="2207" spans="2:11" ht="21" customHeight="1" x14ac:dyDescent="0.15">
      <c r="B2207" s="885" t="s">
        <v>874</v>
      </c>
      <c r="C2207" s="886"/>
      <c r="D2207" s="886"/>
      <c r="E2207" s="886"/>
      <c r="F2207" s="887"/>
      <c r="G2207" s="1"/>
      <c r="H2207" s="879" t="s">
        <v>20</v>
      </c>
      <c r="I2207" s="880"/>
    </row>
    <row r="2208" spans="2:11" ht="16.5" customHeight="1" x14ac:dyDescent="0.15">
      <c r="B2208" s="888" t="s">
        <v>875</v>
      </c>
      <c r="C2208" s="889"/>
      <c r="D2208" s="889"/>
      <c r="E2208" s="889"/>
      <c r="F2208" s="890"/>
      <c r="G2208" s="63"/>
      <c r="H2208" s="881"/>
      <c r="I2208" s="882"/>
    </row>
    <row r="2209" spans="2:9" ht="12.75" customHeight="1" x14ac:dyDescent="0.15">
      <c r="B2209" s="906" t="s">
        <v>876</v>
      </c>
      <c r="C2209" s="907"/>
      <c r="D2209" s="907"/>
      <c r="E2209" s="907"/>
      <c r="F2209" s="908"/>
      <c r="G2209" s="63"/>
      <c r="H2209" s="883"/>
      <c r="I2209" s="884"/>
    </row>
    <row r="2210" spans="2:9" ht="16.5" customHeight="1" thickBot="1" x14ac:dyDescent="0.2">
      <c r="B2210" s="909"/>
      <c r="C2210" s="910"/>
      <c r="D2210" s="910"/>
      <c r="E2210" s="910"/>
      <c r="F2210" s="911"/>
      <c r="G2210" s="1"/>
      <c r="H2210" s="873" t="s">
        <v>1608</v>
      </c>
      <c r="I2210" s="874"/>
    </row>
    <row r="2211" spans="2:9" ht="14" thickBot="1" x14ac:dyDescent="0.2">
      <c r="B2211" s="15"/>
      <c r="C2211" s="16"/>
      <c r="D2211" s="1"/>
      <c r="E2211" s="1"/>
      <c r="F2211" s="1"/>
      <c r="G2211" s="1"/>
      <c r="H2211" s="875"/>
      <c r="I2211" s="876"/>
    </row>
    <row r="2212" spans="2:9" ht="12.75" customHeight="1" x14ac:dyDescent="0.15">
      <c r="B2212" s="922" t="s">
        <v>836</v>
      </c>
      <c r="C2212" s="923"/>
      <c r="D2212" s="923"/>
      <c r="E2212" s="923"/>
      <c r="F2212" s="924"/>
      <c r="G2212" s="1"/>
      <c r="H2212" s="875"/>
      <c r="I2212" s="876"/>
    </row>
    <row r="2213" spans="2:9" ht="12.75" customHeight="1" x14ac:dyDescent="0.15">
      <c r="B2213" s="925"/>
      <c r="C2213" s="926"/>
      <c r="D2213" s="926"/>
      <c r="E2213" s="926"/>
      <c r="F2213" s="927"/>
      <c r="H2213" s="875"/>
      <c r="I2213" s="876"/>
    </row>
    <row r="2214" spans="2:9" ht="13.5" customHeight="1" x14ac:dyDescent="0.15">
      <c r="B2214" s="925"/>
      <c r="C2214" s="926"/>
      <c r="D2214" s="926"/>
      <c r="E2214" s="926"/>
      <c r="F2214" s="927"/>
      <c r="G2214" s="11"/>
      <c r="H2214" s="877"/>
      <c r="I2214" s="878"/>
    </row>
    <row r="2215" spans="2:9" ht="21.75" customHeight="1" thickBot="1" x14ac:dyDescent="0.2">
      <c r="B2215" s="928"/>
      <c r="C2215" s="929"/>
      <c r="D2215" s="929"/>
      <c r="E2215" s="929"/>
      <c r="F2215" s="930"/>
      <c r="H2215" s="64" t="s">
        <v>45</v>
      </c>
      <c r="I2215" s="17" t="s">
        <v>7</v>
      </c>
    </row>
    <row r="2216" spans="2:9" x14ac:dyDescent="0.15">
      <c r="B2216" s="18"/>
      <c r="C2216" s="18"/>
      <c r="D2216" s="1"/>
      <c r="E2216" s="18"/>
      <c r="F2216" s="18"/>
      <c r="G2216" s="18"/>
      <c r="H2216" s="18"/>
      <c r="I2216" s="1"/>
    </row>
    <row r="2217" spans="2:9" ht="14" thickBot="1" x14ac:dyDescent="0.2">
      <c r="B2217" s="12" t="s">
        <v>21</v>
      </c>
      <c r="C2217" s="12"/>
      <c r="D2217" s="1"/>
      <c r="E2217" s="1"/>
      <c r="F2217" s="1"/>
      <c r="G2217" s="1"/>
      <c r="H2217" s="1"/>
      <c r="I2217" s="1"/>
    </row>
    <row r="2218" spans="2:9" x14ac:dyDescent="0.15">
      <c r="B2218" s="903" t="s">
        <v>22</v>
      </c>
      <c r="C2218" s="904"/>
      <c r="D2218" s="905"/>
      <c r="E2218" s="209" t="s">
        <v>23</v>
      </c>
      <c r="F2218" s="19" t="s">
        <v>47</v>
      </c>
      <c r="G2218" s="209" t="s">
        <v>24</v>
      </c>
      <c r="H2218" s="208" t="s">
        <v>25</v>
      </c>
      <c r="I2218" s="43"/>
    </row>
    <row r="2219" spans="2:9" x14ac:dyDescent="0.15">
      <c r="B2219" s="897" t="s">
        <v>56</v>
      </c>
      <c r="C2219" s="898"/>
      <c r="D2219" s="899"/>
      <c r="E2219" s="5"/>
      <c r="F2219" s="162"/>
      <c r="G2219" s="58"/>
      <c r="H2219" s="162">
        <f>I2240*0.05</f>
        <v>1320.0606481481482</v>
      </c>
      <c r="I2219" s="44"/>
    </row>
    <row r="2220" spans="2:9" x14ac:dyDescent="0.15">
      <c r="B2220" s="897" t="s">
        <v>312</v>
      </c>
      <c r="C2220" s="898"/>
      <c r="D2220" s="899"/>
      <c r="E2220" s="5"/>
      <c r="F2220" s="162">
        <f>'HERRAMIENTAS Y EQUIPOS'!C23*2</f>
        <v>12000</v>
      </c>
      <c r="G2220" s="58">
        <v>27</v>
      </c>
      <c r="H2220" s="162">
        <f>F2220/G2220</f>
        <v>444.44444444444446</v>
      </c>
      <c r="I2220" s="44"/>
    </row>
    <row r="2221" spans="2:9" ht="14" thickBot="1" x14ac:dyDescent="0.2">
      <c r="B2221" s="900"/>
      <c r="C2221" s="901"/>
      <c r="D2221" s="902"/>
      <c r="E2221" s="21"/>
      <c r="F2221" s="22"/>
      <c r="G2221" s="23"/>
      <c r="H2221" s="47"/>
      <c r="I2221" s="48"/>
    </row>
    <row r="2222" spans="2:9" ht="14" thickBot="1" x14ac:dyDescent="0.2">
      <c r="B2222" s="1"/>
      <c r="C2222" s="1"/>
      <c r="D2222" s="1"/>
      <c r="E2222" s="1"/>
      <c r="F2222" s="1"/>
      <c r="G2222" s="1"/>
      <c r="H2222" s="37" t="s">
        <v>26</v>
      </c>
      <c r="I2222" s="163">
        <f>SUM(H2219:H2221)</f>
        <v>1764.5050925925925</v>
      </c>
    </row>
    <row r="2223" spans="2:9" ht="14" thickBot="1" x14ac:dyDescent="0.2">
      <c r="B2223" s="12" t="s">
        <v>27</v>
      </c>
      <c r="C2223" s="12"/>
      <c r="D2223" s="1"/>
      <c r="E2223" s="1"/>
      <c r="F2223" s="1"/>
      <c r="G2223" s="1"/>
      <c r="H2223" s="1"/>
      <c r="I2223" s="1"/>
    </row>
    <row r="2224" spans="2:9" x14ac:dyDescent="0.15">
      <c r="B2224" s="903" t="s">
        <v>22</v>
      </c>
      <c r="C2224" s="904"/>
      <c r="D2224" s="905"/>
      <c r="E2224" s="209" t="s">
        <v>28</v>
      </c>
      <c r="F2224" s="209" t="s">
        <v>29</v>
      </c>
      <c r="G2224" s="209" t="s">
        <v>30</v>
      </c>
      <c r="H2224" s="208" t="s">
        <v>25</v>
      </c>
      <c r="I2224" s="43"/>
    </row>
    <row r="2225" spans="2:11" x14ac:dyDescent="0.15">
      <c r="B2225" s="4" t="s">
        <v>67</v>
      </c>
      <c r="C2225" s="24"/>
      <c r="D2225" s="6"/>
      <c r="E2225" s="3" t="s">
        <v>58</v>
      </c>
      <c r="F2225" s="166">
        <f>'APU -BASICOS'!H260</f>
        <v>9182</v>
      </c>
      <c r="G2225" s="73">
        <f>((1.2*2*0.56)+1*7*0.56)</f>
        <v>5.2640000000000002</v>
      </c>
      <c r="H2225" s="165">
        <f>G2225*F2225</f>
        <v>48334.048000000003</v>
      </c>
      <c r="I2225" s="44"/>
    </row>
    <row r="2226" spans="2:11" x14ac:dyDescent="0.15">
      <c r="B2226" s="4" t="s">
        <v>63</v>
      </c>
      <c r="C2226" s="24"/>
      <c r="D2226" s="6"/>
      <c r="E2226" s="3" t="s">
        <v>6</v>
      </c>
      <c r="F2226" s="164">
        <f>'APU -BASICOS'!H96</f>
        <v>555217</v>
      </c>
      <c r="G2226" s="73">
        <f>0.1*0.2*1</f>
        <v>2.0000000000000004E-2</v>
      </c>
      <c r="H2226" s="165">
        <f>G2226*F2226</f>
        <v>11104.340000000002</v>
      </c>
      <c r="I2226" s="44"/>
    </row>
    <row r="2227" spans="2:11" ht="14" thickBot="1" x14ac:dyDescent="0.2">
      <c r="B2227" s="25"/>
      <c r="C2227" s="26"/>
      <c r="D2227" s="27"/>
      <c r="E2227" s="21"/>
      <c r="F2227" s="22"/>
      <c r="G2227" s="167"/>
      <c r="H2227" s="47"/>
      <c r="I2227" s="48"/>
      <c r="K2227" s="233"/>
    </row>
    <row r="2228" spans="2:11" ht="14" thickBot="1" x14ac:dyDescent="0.2">
      <c r="B2228" s="1"/>
      <c r="C2228" s="1"/>
      <c r="D2228" s="1"/>
      <c r="E2228" s="1"/>
      <c r="F2228" s="1"/>
      <c r="G2228" s="1"/>
      <c r="H2228" s="37" t="s">
        <v>26</v>
      </c>
      <c r="I2228" s="163">
        <f>SUM(H2225:H2226)</f>
        <v>59438.388000000006</v>
      </c>
    </row>
    <row r="2229" spans="2:11" ht="14" thickBot="1" x14ac:dyDescent="0.2">
      <c r="B2229" s="28" t="s">
        <v>31</v>
      </c>
      <c r="C2229" s="28"/>
      <c r="D2229" s="26"/>
      <c r="E2229" s="1"/>
      <c r="F2229" s="1"/>
      <c r="G2229" s="1"/>
      <c r="H2229" s="1"/>
      <c r="I2229" s="1"/>
    </row>
    <row r="2230" spans="2:11" x14ac:dyDescent="0.15">
      <c r="B2230" s="51" t="s">
        <v>32</v>
      </c>
      <c r="C2230" s="52"/>
      <c r="D2230" s="97" t="s">
        <v>33</v>
      </c>
      <c r="E2230" s="209" t="s">
        <v>34</v>
      </c>
      <c r="F2230" s="209" t="s">
        <v>35</v>
      </c>
      <c r="G2230" s="209" t="s">
        <v>36</v>
      </c>
      <c r="H2230" s="59" t="s">
        <v>25</v>
      </c>
      <c r="I2230" s="43"/>
    </row>
    <row r="2231" spans="2:11" x14ac:dyDescent="0.15">
      <c r="B2231" s="4"/>
      <c r="C2231" s="24"/>
      <c r="D2231" s="60"/>
      <c r="E2231" s="2"/>
      <c r="F2231" s="2"/>
      <c r="G2231" s="162"/>
      <c r="H2231" s="55"/>
      <c r="I2231" s="44"/>
      <c r="K2231" s="106"/>
    </row>
    <row r="2232" spans="2:11" x14ac:dyDescent="0.15">
      <c r="B2232" s="107"/>
      <c r="C2232" s="66"/>
      <c r="D2232" s="67"/>
      <c r="E2232" s="68"/>
      <c r="F2232" s="68"/>
      <c r="G2232" s="69"/>
      <c r="H2232" s="65"/>
      <c r="I2232" s="44"/>
    </row>
    <row r="2233" spans="2:11" ht="14" thickBot="1" x14ac:dyDescent="0.2">
      <c r="B2233" s="33"/>
      <c r="C2233" s="54"/>
      <c r="D2233" s="21"/>
      <c r="E2233" s="22"/>
      <c r="F2233" s="23"/>
      <c r="G2233" s="47"/>
      <c r="H2233" s="21"/>
      <c r="I2233" s="48"/>
    </row>
    <row r="2234" spans="2:11" ht="14" thickBot="1" x14ac:dyDescent="0.2">
      <c r="B2234" s="1"/>
      <c r="C2234" s="1"/>
      <c r="D2234" s="1"/>
      <c r="E2234" s="1"/>
      <c r="F2234" s="1"/>
      <c r="G2234" s="1"/>
      <c r="H2234" s="37" t="s">
        <v>26</v>
      </c>
      <c r="I2234" s="163">
        <f>SUM(H2231:H2233)</f>
        <v>0</v>
      </c>
    </row>
    <row r="2235" spans="2:11" ht="14" thickBot="1" x14ac:dyDescent="0.2">
      <c r="B2235" s="28" t="s">
        <v>37</v>
      </c>
      <c r="C2235" s="28"/>
      <c r="D2235" s="1"/>
      <c r="E2235" s="1"/>
      <c r="F2235" s="1"/>
      <c r="G2235" s="1"/>
      <c r="H2235" s="1"/>
      <c r="I2235" s="1"/>
    </row>
    <row r="2236" spans="2:11" x14ac:dyDescent="0.15">
      <c r="B2236" s="51" t="s">
        <v>38</v>
      </c>
      <c r="C2236" s="86"/>
      <c r="D2236" s="31" t="s">
        <v>39</v>
      </c>
      <c r="E2236" s="209" t="s">
        <v>40</v>
      </c>
      <c r="F2236" s="19" t="s">
        <v>41</v>
      </c>
      <c r="G2236" s="31" t="s">
        <v>24</v>
      </c>
      <c r="H2236" s="208" t="s">
        <v>25</v>
      </c>
      <c r="I2236" s="43"/>
      <c r="K2236" s="106"/>
    </row>
    <row r="2237" spans="2:11" x14ac:dyDescent="0.15">
      <c r="B2237" s="4" t="s">
        <v>65</v>
      </c>
      <c r="C2237" s="24"/>
      <c r="D2237" s="32">
        <f>'MANO DE OBRA'!E15</f>
        <v>95333</v>
      </c>
      <c r="E2237" s="88">
        <v>1.75</v>
      </c>
      <c r="F2237" s="164">
        <f>+E2237*D2237</f>
        <v>166832.75</v>
      </c>
      <c r="G2237" s="20">
        <f>G2220</f>
        <v>27</v>
      </c>
      <c r="H2237" s="169">
        <f>+F2237/G2237</f>
        <v>6178.9907407407409</v>
      </c>
      <c r="I2237" s="44"/>
    </row>
    <row r="2238" spans="2:11" x14ac:dyDescent="0.15">
      <c r="B2238" s="4" t="s">
        <v>94</v>
      </c>
      <c r="C2238" s="24"/>
      <c r="D2238" s="32">
        <f>'MANO DE OBRA'!E14*6</f>
        <v>312000</v>
      </c>
      <c r="E2238" s="88">
        <v>1.75</v>
      </c>
      <c r="F2238" s="164">
        <f>+E2238*D2238</f>
        <v>546000</v>
      </c>
      <c r="G2238" s="20">
        <f>G2220</f>
        <v>27</v>
      </c>
      <c r="H2238" s="169">
        <f>+F2238/G2238</f>
        <v>20222.222222222223</v>
      </c>
      <c r="I2238" s="44"/>
    </row>
    <row r="2239" spans="2:11" ht="14" thickBot="1" x14ac:dyDescent="0.2">
      <c r="B2239" s="33"/>
      <c r="C2239" s="34"/>
      <c r="D2239" s="22"/>
      <c r="E2239" s="21"/>
      <c r="F2239" s="22"/>
      <c r="G2239" s="23"/>
      <c r="H2239" s="47"/>
      <c r="I2239" s="48"/>
      <c r="K2239" s="106"/>
    </row>
    <row r="2240" spans="2:11" ht="14" thickBot="1" x14ac:dyDescent="0.2">
      <c r="B2240" s="1"/>
      <c r="C2240" s="1"/>
      <c r="D2240" s="1"/>
      <c r="E2240" s="1"/>
      <c r="F2240" s="1"/>
      <c r="G2240" s="1"/>
      <c r="H2240" s="37" t="s">
        <v>26</v>
      </c>
      <c r="I2240" s="177">
        <f>SUM(H2237:H2239)</f>
        <v>26401.212962962964</v>
      </c>
    </row>
    <row r="2241" spans="2:9" ht="14" thickBot="1" x14ac:dyDescent="0.2">
      <c r="B2241" s="1"/>
      <c r="C2241" s="1"/>
      <c r="D2241" s="1"/>
      <c r="E2241" s="1"/>
      <c r="F2241" s="1"/>
      <c r="G2241" s="1"/>
      <c r="H2241" s="61"/>
      <c r="I2241" s="1"/>
    </row>
    <row r="2242" spans="2:9" ht="15" thickBot="1" x14ac:dyDescent="0.2">
      <c r="B2242" s="1"/>
      <c r="C2242" s="1"/>
      <c r="D2242" s="1"/>
      <c r="E2242" s="1"/>
      <c r="F2242" s="35" t="s">
        <v>43</v>
      </c>
      <c r="G2242" s="16"/>
      <c r="H2242" s="16"/>
      <c r="I2242" s="232">
        <f>ROUND((I2222+I2228+I2234+I2240),0)</f>
        <v>87604</v>
      </c>
    </row>
    <row r="2243" spans="2:9" x14ac:dyDescent="0.15">
      <c r="B2243" s="12"/>
      <c r="C2243" s="12"/>
      <c r="D2243" s="1"/>
      <c r="E2243" s="1"/>
      <c r="F2243" s="1"/>
      <c r="G2243" s="1"/>
      <c r="H2243" s="172"/>
      <c r="I2243" s="172"/>
    </row>
    <row r="2244" spans="2:9" x14ac:dyDescent="0.15">
      <c r="B2244" s="16"/>
      <c r="C2244" s="16"/>
      <c r="D2244" s="16"/>
      <c r="E2244" s="16"/>
      <c r="F2244" s="16"/>
      <c r="G2244" s="61"/>
      <c r="H2244" s="173"/>
      <c r="I2244" s="172"/>
    </row>
    <row r="2245" spans="2:9" x14ac:dyDescent="0.15">
      <c r="B2245" s="1"/>
      <c r="C2245" s="1"/>
      <c r="D2245" s="1"/>
      <c r="E2245" s="1"/>
      <c r="F2245" s="1"/>
      <c r="G2245" s="161"/>
      <c r="H2245" s="172"/>
      <c r="I2245" s="172"/>
    </row>
    <row r="2246" spans="2:9" x14ac:dyDescent="0.15">
      <c r="B2246" s="1"/>
      <c r="C2246" s="1"/>
      <c r="D2246" s="1"/>
      <c r="E2246" s="1"/>
      <c r="F2246" s="1"/>
      <c r="G2246" s="161"/>
      <c r="H2246" s="172"/>
      <c r="I2246" s="172"/>
    </row>
    <row r="2247" spans="2:9" x14ac:dyDescent="0.15">
      <c r="B2247" s="1"/>
      <c r="C2247" s="1"/>
      <c r="D2247" s="1"/>
      <c r="E2247" s="1"/>
      <c r="F2247" s="1"/>
      <c r="G2247" s="161"/>
      <c r="H2247" s="172"/>
      <c r="I2247" s="172"/>
    </row>
    <row r="2248" spans="2:9" x14ac:dyDescent="0.15">
      <c r="B2248" s="1"/>
      <c r="C2248" s="1"/>
      <c r="D2248" s="1"/>
      <c r="E2248" s="1"/>
      <c r="F2248" s="1"/>
      <c r="G2248" s="1"/>
      <c r="H2248" s="37"/>
      <c r="I2248" s="172"/>
    </row>
    <row r="2249" spans="2:9" ht="14" x14ac:dyDescent="0.15">
      <c r="B2249" s="102"/>
      <c r="C2249" s="1"/>
      <c r="D2249" s="1"/>
      <c r="E2249" s="1"/>
      <c r="F2249" s="1"/>
      <c r="G2249" s="1"/>
      <c r="H2249" s="1"/>
      <c r="I2249" s="172"/>
    </row>
    <row r="2250" spans="2:9" ht="14" x14ac:dyDescent="0.15">
      <c r="B2250" s="83"/>
      <c r="C2250" s="11"/>
      <c r="D2250" s="1"/>
      <c r="E2250" s="916"/>
      <c r="F2250" s="916"/>
      <c r="G2250" s="916"/>
      <c r="H2250" s="916"/>
      <c r="I2250" s="171"/>
    </row>
    <row r="2251" spans="2:9" ht="14" x14ac:dyDescent="0.15">
      <c r="B2251" s="102"/>
      <c r="C2251" s="11"/>
      <c r="D2251" s="1"/>
      <c r="E2251" s="155"/>
      <c r="F2251" s="155"/>
      <c r="G2251" s="155"/>
      <c r="H2251" s="155"/>
      <c r="I2251" s="171"/>
    </row>
    <row r="2252" spans="2:9" ht="14" x14ac:dyDescent="0.15">
      <c r="B2252" s="83"/>
      <c r="C2252" s="11"/>
      <c r="D2252" s="1"/>
      <c r="E2252" s="155"/>
      <c r="F2252" s="155"/>
      <c r="G2252" s="155"/>
      <c r="H2252" s="155"/>
      <c r="I2252" s="171"/>
    </row>
    <row r="2253" spans="2:9" ht="14" x14ac:dyDescent="0.15">
      <c r="B2253" s="83"/>
      <c r="C2253" s="11"/>
      <c r="D2253" s="1"/>
      <c r="E2253" s="155"/>
      <c r="F2253" s="155"/>
      <c r="G2253" s="155"/>
      <c r="H2253" s="155"/>
      <c r="I2253" s="171"/>
    </row>
    <row r="2254" spans="2:9" x14ac:dyDescent="0.15">
      <c r="B2254" s="11"/>
      <c r="C2254" s="11"/>
      <c r="D2254" s="1"/>
      <c r="E2254" s="155"/>
      <c r="F2254" s="155"/>
      <c r="G2254" s="155"/>
      <c r="H2254" s="155"/>
      <c r="I2254" s="171"/>
    </row>
    <row r="2255" spans="2:9" x14ac:dyDescent="0.15">
      <c r="B2255" s="11"/>
      <c r="C2255" s="11"/>
      <c r="D2255" s="1"/>
      <c r="E2255" s="155"/>
      <c r="F2255" s="155"/>
      <c r="G2255" s="155"/>
      <c r="H2255" s="155"/>
      <c r="I2255" s="171"/>
    </row>
    <row r="2256" spans="2:9" x14ac:dyDescent="0.15">
      <c r="B2256" s="11"/>
      <c r="C2256" s="11"/>
      <c r="D2256" s="1"/>
      <c r="E2256" s="155"/>
      <c r="F2256" s="155"/>
      <c r="G2256" s="155"/>
      <c r="H2256" s="155"/>
      <c r="I2256" s="171"/>
    </row>
    <row r="2257" spans="2:10" x14ac:dyDescent="0.15">
      <c r="B2257" s="11"/>
      <c r="C2257" s="11"/>
      <c r="D2257" s="1"/>
      <c r="E2257" s="155"/>
      <c r="F2257" s="155"/>
      <c r="G2257" s="155"/>
      <c r="H2257" s="155"/>
      <c r="I2257" s="171"/>
    </row>
    <row r="2258" spans="2:10" x14ac:dyDescent="0.15">
      <c r="B2258" s="11"/>
      <c r="C2258" s="11"/>
      <c r="D2258" s="1"/>
      <c r="E2258" s="155"/>
      <c r="F2258" s="155"/>
      <c r="G2258" s="155"/>
      <c r="H2258" s="155"/>
      <c r="I2258" s="171"/>
    </row>
    <row r="2259" spans="2:10" x14ac:dyDescent="0.15">
      <c r="B2259" s="11"/>
      <c r="C2259" s="11"/>
      <c r="D2259" s="1"/>
      <c r="E2259" s="155"/>
      <c r="F2259" s="155"/>
      <c r="G2259" s="155"/>
      <c r="H2259" s="155"/>
      <c r="I2259" s="171"/>
    </row>
    <row r="2260" spans="2:10" ht="14" x14ac:dyDescent="0.15">
      <c r="B2260" s="83"/>
      <c r="C2260" s="83"/>
      <c r="D2260" s="84"/>
      <c r="E2260" s="83"/>
      <c r="F2260" s="83"/>
      <c r="G2260" s="104"/>
      <c r="H2260" s="83"/>
      <c r="I2260" s="85"/>
      <c r="J2260" s="85"/>
    </row>
    <row r="2261" spans="2:10" ht="14" x14ac:dyDescent="0.15">
      <c r="B2261" s="83"/>
      <c r="C2261" s="83"/>
      <c r="D2261" s="84"/>
      <c r="E2261" s="83"/>
      <c r="F2261" s="83"/>
      <c r="G2261" s="104"/>
      <c r="H2261" s="83"/>
      <c r="I2261" s="85"/>
      <c r="J2261" s="85"/>
    </row>
    <row r="2262" spans="2:10" ht="14" thickBot="1" x14ac:dyDescent="0.2">
      <c r="B2262" s="11"/>
      <c r="C2262" s="11"/>
      <c r="D2262" s="1"/>
      <c r="E2262" s="155"/>
      <c r="F2262" s="155"/>
      <c r="G2262" s="155"/>
      <c r="H2262" s="155"/>
      <c r="I2262" s="171"/>
    </row>
    <row r="2263" spans="2:10" ht="21" customHeight="1" x14ac:dyDescent="0.15">
      <c r="B2263" s="885" t="s">
        <v>874</v>
      </c>
      <c r="C2263" s="886"/>
      <c r="D2263" s="886"/>
      <c r="E2263" s="886"/>
      <c r="F2263" s="887"/>
      <c r="G2263" s="1"/>
      <c r="H2263" s="879" t="s">
        <v>20</v>
      </c>
      <c r="I2263" s="880"/>
    </row>
    <row r="2264" spans="2:10" ht="16.5" customHeight="1" x14ac:dyDescent="0.15">
      <c r="B2264" s="888" t="s">
        <v>875</v>
      </c>
      <c r="C2264" s="889"/>
      <c r="D2264" s="889"/>
      <c r="E2264" s="889"/>
      <c r="F2264" s="890"/>
      <c r="G2264" s="63"/>
      <c r="H2264" s="881"/>
      <c r="I2264" s="882"/>
    </row>
    <row r="2265" spans="2:10" ht="12.75" customHeight="1" x14ac:dyDescent="0.15">
      <c r="B2265" s="906" t="s">
        <v>876</v>
      </c>
      <c r="C2265" s="907"/>
      <c r="D2265" s="907"/>
      <c r="E2265" s="907"/>
      <c r="F2265" s="908"/>
      <c r="G2265" s="63"/>
      <c r="H2265" s="883"/>
      <c r="I2265" s="884"/>
    </row>
    <row r="2266" spans="2:10" ht="16.5" customHeight="1" thickBot="1" x14ac:dyDescent="0.2">
      <c r="B2266" s="909"/>
      <c r="C2266" s="910"/>
      <c r="D2266" s="910"/>
      <c r="E2266" s="910"/>
      <c r="F2266" s="911"/>
      <c r="G2266" s="1"/>
      <c r="H2266" s="873" t="s">
        <v>1609</v>
      </c>
      <c r="I2266" s="874"/>
    </row>
    <row r="2267" spans="2:10" ht="14" thickBot="1" x14ac:dyDescent="0.2">
      <c r="B2267" s="15"/>
      <c r="C2267" s="16"/>
      <c r="D2267" s="1"/>
      <c r="E2267" s="1"/>
      <c r="F2267" s="1"/>
      <c r="G2267" s="1"/>
      <c r="H2267" s="875"/>
      <c r="I2267" s="876"/>
    </row>
    <row r="2268" spans="2:10" ht="12.75" customHeight="1" x14ac:dyDescent="0.15">
      <c r="B2268" s="922" t="s">
        <v>836</v>
      </c>
      <c r="C2268" s="923"/>
      <c r="D2268" s="923"/>
      <c r="E2268" s="923"/>
      <c r="F2268" s="924"/>
      <c r="G2268" s="1"/>
      <c r="H2268" s="875"/>
      <c r="I2268" s="876"/>
    </row>
    <row r="2269" spans="2:10" ht="12.75" customHeight="1" x14ac:dyDescent="0.15">
      <c r="B2269" s="925"/>
      <c r="C2269" s="926"/>
      <c r="D2269" s="926"/>
      <c r="E2269" s="926"/>
      <c r="F2269" s="927"/>
      <c r="H2269" s="875"/>
      <c r="I2269" s="876"/>
    </row>
    <row r="2270" spans="2:10" ht="13.5" customHeight="1" x14ac:dyDescent="0.15">
      <c r="B2270" s="925"/>
      <c r="C2270" s="926"/>
      <c r="D2270" s="926"/>
      <c r="E2270" s="926"/>
      <c r="F2270" s="927"/>
      <c r="G2270" s="11"/>
      <c r="H2270" s="877"/>
      <c r="I2270" s="878"/>
    </row>
    <row r="2271" spans="2:10" ht="21.75" customHeight="1" thickBot="1" x14ac:dyDescent="0.2">
      <c r="B2271" s="928"/>
      <c r="C2271" s="929"/>
      <c r="D2271" s="929"/>
      <c r="E2271" s="929"/>
      <c r="F2271" s="930"/>
      <c r="H2271" s="64" t="s">
        <v>45</v>
      </c>
      <c r="I2271" s="17" t="s">
        <v>7</v>
      </c>
    </row>
    <row r="2272" spans="2:10" x14ac:dyDescent="0.15">
      <c r="B2272" s="18"/>
      <c r="C2272" s="18"/>
      <c r="D2272" s="1"/>
      <c r="E2272" s="18"/>
      <c r="F2272" s="18"/>
      <c r="G2272" s="18"/>
      <c r="H2272" s="18"/>
      <c r="I2272" s="1"/>
    </row>
    <row r="2273" spans="2:11" ht="14" thickBot="1" x14ac:dyDescent="0.2">
      <c r="B2273" s="12" t="s">
        <v>21</v>
      </c>
      <c r="C2273" s="12"/>
      <c r="D2273" s="1"/>
      <c r="E2273" s="1"/>
      <c r="F2273" s="1"/>
      <c r="G2273" s="1"/>
      <c r="H2273" s="1"/>
      <c r="I2273" s="1"/>
    </row>
    <row r="2274" spans="2:11" x14ac:dyDescent="0.15">
      <c r="B2274" s="903" t="s">
        <v>22</v>
      </c>
      <c r="C2274" s="904"/>
      <c r="D2274" s="905"/>
      <c r="E2274" s="209" t="s">
        <v>23</v>
      </c>
      <c r="F2274" s="19" t="s">
        <v>47</v>
      </c>
      <c r="G2274" s="209" t="s">
        <v>24</v>
      </c>
      <c r="H2274" s="208" t="s">
        <v>25</v>
      </c>
      <c r="I2274" s="43"/>
    </row>
    <row r="2275" spans="2:11" x14ac:dyDescent="0.15">
      <c r="B2275" s="897" t="s">
        <v>56</v>
      </c>
      <c r="C2275" s="898"/>
      <c r="D2275" s="899"/>
      <c r="E2275" s="5"/>
      <c r="F2275" s="162"/>
      <c r="G2275" s="58"/>
      <c r="H2275" s="162">
        <f>I2297*0.05</f>
        <v>1320.0606481481482</v>
      </c>
      <c r="I2275" s="44"/>
    </row>
    <row r="2276" spans="2:11" x14ac:dyDescent="0.15">
      <c r="B2276" s="897" t="s">
        <v>630</v>
      </c>
      <c r="C2276" s="898"/>
      <c r="D2276" s="899"/>
      <c r="E2276" s="5"/>
      <c r="F2276" s="162">
        <f>'HERRAMIENTAS Y EQUIPOS'!C24*6</f>
        <v>27000</v>
      </c>
      <c r="G2276" s="58">
        <v>27</v>
      </c>
      <c r="H2276" s="162">
        <f>F2276/G2276</f>
        <v>1000</v>
      </c>
      <c r="I2276" s="44"/>
    </row>
    <row r="2277" spans="2:11" ht="14" thickBot="1" x14ac:dyDescent="0.2">
      <c r="B2277" s="900"/>
      <c r="C2277" s="901"/>
      <c r="D2277" s="902"/>
      <c r="E2277" s="21"/>
      <c r="F2277" s="22"/>
      <c r="G2277" s="23"/>
      <c r="H2277" s="47"/>
      <c r="I2277" s="48"/>
    </row>
    <row r="2278" spans="2:11" ht="14" thickBot="1" x14ac:dyDescent="0.2">
      <c r="B2278" s="1"/>
      <c r="C2278" s="1"/>
      <c r="D2278" s="1"/>
      <c r="E2278" s="1"/>
      <c r="F2278" s="1"/>
      <c r="G2278" s="1"/>
      <c r="H2278" s="37" t="s">
        <v>26</v>
      </c>
      <c r="I2278" s="163">
        <f>SUM(H2275:H2277)</f>
        <v>2320.0606481481482</v>
      </c>
    </row>
    <row r="2279" spans="2:11" ht="14" thickBot="1" x14ac:dyDescent="0.2">
      <c r="B2279" s="12" t="s">
        <v>27</v>
      </c>
      <c r="C2279" s="12"/>
      <c r="D2279" s="1"/>
      <c r="E2279" s="1"/>
      <c r="F2279" s="1"/>
      <c r="G2279" s="1"/>
      <c r="H2279" s="1"/>
      <c r="I2279" s="1"/>
    </row>
    <row r="2280" spans="2:11" x14ac:dyDescent="0.15">
      <c r="B2280" s="903" t="s">
        <v>22</v>
      </c>
      <c r="C2280" s="904"/>
      <c r="D2280" s="905"/>
      <c r="E2280" s="209" t="s">
        <v>28</v>
      </c>
      <c r="F2280" s="209" t="s">
        <v>29</v>
      </c>
      <c r="G2280" s="209" t="s">
        <v>30</v>
      </c>
      <c r="H2280" s="208" t="s">
        <v>25</v>
      </c>
      <c r="I2280" s="43"/>
    </row>
    <row r="2281" spans="2:11" x14ac:dyDescent="0.15">
      <c r="B2281" s="4" t="s">
        <v>558</v>
      </c>
      <c r="C2281" s="24"/>
      <c r="D2281" s="6"/>
      <c r="E2281" s="3" t="s">
        <v>58</v>
      </c>
      <c r="F2281" s="166">
        <f>'APU -BASICOS'!H204</f>
        <v>9182</v>
      </c>
      <c r="G2281" s="73">
        <f>4*1.2*0.56</f>
        <v>2.6880000000000002</v>
      </c>
      <c r="H2281" s="165">
        <f>G2281*F2281</f>
        <v>24681.216</v>
      </c>
      <c r="I2281" s="44"/>
    </row>
    <row r="2282" spans="2:11" x14ac:dyDescent="0.15">
      <c r="B2282" s="4" t="s">
        <v>558</v>
      </c>
      <c r="C2282" s="24"/>
      <c r="D2282" s="6"/>
      <c r="E2282" s="3" t="s">
        <v>58</v>
      </c>
      <c r="F2282" s="166">
        <f>'APU -BASICOS'!H260</f>
        <v>9182</v>
      </c>
      <c r="G2282" s="73">
        <f>0.85*4*0.56</f>
        <v>1.9040000000000001</v>
      </c>
      <c r="H2282" s="165">
        <f>G2282*F2282</f>
        <v>17482.528000000002</v>
      </c>
      <c r="I2282" s="44"/>
    </row>
    <row r="2283" spans="2:11" x14ac:dyDescent="0.15">
      <c r="B2283" s="4" t="s">
        <v>63</v>
      </c>
      <c r="C2283" s="24"/>
      <c r="D2283" s="6"/>
      <c r="E2283" s="3" t="s">
        <v>6</v>
      </c>
      <c r="F2283" s="164">
        <f>'APU -BASICOS'!H96</f>
        <v>555217</v>
      </c>
      <c r="G2283" s="73">
        <f>0.15*0.25*1</f>
        <v>3.7499999999999999E-2</v>
      </c>
      <c r="H2283" s="165">
        <f>G2283*F2283</f>
        <v>20820.637500000001</v>
      </c>
      <c r="I2283" s="44"/>
    </row>
    <row r="2284" spans="2:11" ht="14" thickBot="1" x14ac:dyDescent="0.2">
      <c r="B2284" s="25"/>
      <c r="C2284" s="26"/>
      <c r="D2284" s="27"/>
      <c r="E2284" s="21"/>
      <c r="F2284" s="22"/>
      <c r="G2284" s="167"/>
      <c r="H2284" s="47"/>
      <c r="I2284" s="48"/>
      <c r="K2284" s="233"/>
    </row>
    <row r="2285" spans="2:11" ht="14" thickBot="1" x14ac:dyDescent="0.2">
      <c r="B2285" s="1"/>
      <c r="C2285" s="1"/>
      <c r="D2285" s="1"/>
      <c r="E2285" s="1"/>
      <c r="F2285" s="1"/>
      <c r="G2285" s="1"/>
      <c r="H2285" s="37" t="s">
        <v>26</v>
      </c>
      <c r="I2285" s="163">
        <f>SUM(H2281:H2283)</f>
        <v>62984.381500000003</v>
      </c>
    </row>
    <row r="2286" spans="2:11" ht="14" thickBot="1" x14ac:dyDescent="0.2">
      <c r="B2286" s="28" t="s">
        <v>31</v>
      </c>
      <c r="C2286" s="28"/>
      <c r="D2286" s="26"/>
      <c r="E2286" s="1"/>
      <c r="F2286" s="1"/>
      <c r="G2286" s="1"/>
      <c r="H2286" s="1"/>
      <c r="I2286" s="1"/>
    </row>
    <row r="2287" spans="2:11" x14ac:dyDescent="0.15">
      <c r="B2287" s="51" t="s">
        <v>32</v>
      </c>
      <c r="C2287" s="52"/>
      <c r="D2287" s="97" t="s">
        <v>33</v>
      </c>
      <c r="E2287" s="209" t="s">
        <v>34</v>
      </c>
      <c r="F2287" s="209" t="s">
        <v>35</v>
      </c>
      <c r="G2287" s="209" t="s">
        <v>36</v>
      </c>
      <c r="H2287" s="59" t="s">
        <v>25</v>
      </c>
      <c r="I2287" s="43"/>
    </row>
    <row r="2288" spans="2:11" x14ac:dyDescent="0.15">
      <c r="B2288" s="4"/>
      <c r="C2288" s="24"/>
      <c r="D2288" s="60"/>
      <c r="E2288" s="2"/>
      <c r="F2288" s="2"/>
      <c r="G2288" s="162"/>
      <c r="H2288" s="55"/>
      <c r="I2288" s="44"/>
      <c r="K2288" s="106"/>
    </row>
    <row r="2289" spans="2:11" x14ac:dyDescent="0.15">
      <c r="B2289" s="107"/>
      <c r="C2289" s="66"/>
      <c r="D2289" s="67"/>
      <c r="E2289" s="68"/>
      <c r="F2289" s="68"/>
      <c r="G2289" s="69"/>
      <c r="H2289" s="65"/>
      <c r="I2289" s="44"/>
    </row>
    <row r="2290" spans="2:11" ht="14" thickBot="1" x14ac:dyDescent="0.2">
      <c r="B2290" s="33"/>
      <c r="C2290" s="54"/>
      <c r="D2290" s="21"/>
      <c r="E2290" s="22"/>
      <c r="F2290" s="23"/>
      <c r="G2290" s="47"/>
      <c r="H2290" s="21"/>
      <c r="I2290" s="48"/>
    </row>
    <row r="2291" spans="2:11" ht="14" thickBot="1" x14ac:dyDescent="0.2">
      <c r="B2291" s="1"/>
      <c r="C2291" s="1"/>
      <c r="D2291" s="1"/>
      <c r="E2291" s="1"/>
      <c r="F2291" s="1"/>
      <c r="G2291" s="1"/>
      <c r="H2291" s="37" t="s">
        <v>26</v>
      </c>
      <c r="I2291" s="163">
        <f>SUM(H2288:H2290)</f>
        <v>0</v>
      </c>
    </row>
    <row r="2292" spans="2:11" ht="14" thickBot="1" x14ac:dyDescent="0.2">
      <c r="B2292" s="28" t="s">
        <v>37</v>
      </c>
      <c r="C2292" s="28"/>
      <c r="D2292" s="1"/>
      <c r="E2292" s="1"/>
      <c r="F2292" s="1"/>
      <c r="G2292" s="1"/>
      <c r="H2292" s="1"/>
      <c r="I2292" s="1"/>
    </row>
    <row r="2293" spans="2:11" x14ac:dyDescent="0.15">
      <c r="B2293" s="51" t="s">
        <v>38</v>
      </c>
      <c r="C2293" s="86"/>
      <c r="D2293" s="31" t="s">
        <v>39</v>
      </c>
      <c r="E2293" s="209" t="s">
        <v>40</v>
      </c>
      <c r="F2293" s="19" t="s">
        <v>41</v>
      </c>
      <c r="G2293" s="31" t="s">
        <v>24</v>
      </c>
      <c r="H2293" s="208" t="s">
        <v>25</v>
      </c>
      <c r="I2293" s="43"/>
      <c r="K2293" s="106"/>
    </row>
    <row r="2294" spans="2:11" x14ac:dyDescent="0.15">
      <c r="B2294" s="4" t="s">
        <v>65</v>
      </c>
      <c r="C2294" s="24"/>
      <c r="D2294" s="32">
        <f>'MANO DE OBRA'!E15</f>
        <v>95333</v>
      </c>
      <c r="E2294" s="88">
        <v>1.75</v>
      </c>
      <c r="F2294" s="164">
        <f>+E2294*D2294</f>
        <v>166832.75</v>
      </c>
      <c r="G2294" s="20">
        <f>G2276</f>
        <v>27</v>
      </c>
      <c r="H2294" s="169">
        <f>+F2294/G2294</f>
        <v>6178.9907407407409</v>
      </c>
      <c r="I2294" s="44"/>
    </row>
    <row r="2295" spans="2:11" x14ac:dyDescent="0.15">
      <c r="B2295" s="4" t="s">
        <v>94</v>
      </c>
      <c r="C2295" s="24"/>
      <c r="D2295" s="32">
        <f>'MANO DE OBRA'!E14*6</f>
        <v>312000</v>
      </c>
      <c r="E2295" s="88">
        <v>1.75</v>
      </c>
      <c r="F2295" s="164">
        <f>+E2295*D2295</f>
        <v>546000</v>
      </c>
      <c r="G2295" s="20">
        <f>G2276</f>
        <v>27</v>
      </c>
      <c r="H2295" s="169">
        <f>+F2295/G2295</f>
        <v>20222.222222222223</v>
      </c>
      <c r="I2295" s="44"/>
    </row>
    <row r="2296" spans="2:11" ht="14" thickBot="1" x14ac:dyDescent="0.2">
      <c r="B2296" s="33"/>
      <c r="C2296" s="34"/>
      <c r="D2296" s="22"/>
      <c r="E2296" s="21"/>
      <c r="F2296" s="22"/>
      <c r="G2296" s="23"/>
      <c r="H2296" s="47"/>
      <c r="I2296" s="48"/>
      <c r="K2296" s="106"/>
    </row>
    <row r="2297" spans="2:11" ht="14" thickBot="1" x14ac:dyDescent="0.2">
      <c r="B2297" s="1"/>
      <c r="C2297" s="1"/>
      <c r="D2297" s="1"/>
      <c r="E2297" s="1"/>
      <c r="F2297" s="1"/>
      <c r="G2297" s="1"/>
      <c r="H2297" s="37" t="s">
        <v>26</v>
      </c>
      <c r="I2297" s="177">
        <f>SUM(H2294:H2296)</f>
        <v>26401.212962962964</v>
      </c>
    </row>
    <row r="2298" spans="2:11" ht="14" thickBot="1" x14ac:dyDescent="0.2">
      <c r="B2298" s="1"/>
      <c r="C2298" s="1"/>
      <c r="D2298" s="1"/>
      <c r="E2298" s="1"/>
      <c r="F2298" s="1"/>
      <c r="G2298" s="1"/>
      <c r="H2298" s="61"/>
      <c r="I2298" s="1"/>
    </row>
    <row r="2299" spans="2:11" ht="15" thickBot="1" x14ac:dyDescent="0.2">
      <c r="B2299" s="1"/>
      <c r="C2299" s="1"/>
      <c r="D2299" s="1"/>
      <c r="E2299" s="1"/>
      <c r="F2299" s="35" t="s">
        <v>43</v>
      </c>
      <c r="G2299" s="16"/>
      <c r="H2299" s="16"/>
      <c r="I2299" s="232">
        <f>ROUND((I2278+I2285+I2291+I2297),0)</f>
        <v>91706</v>
      </c>
    </row>
    <row r="2300" spans="2:11" x14ac:dyDescent="0.15">
      <c r="B2300" s="12"/>
      <c r="C2300" s="12"/>
      <c r="D2300" s="1"/>
      <c r="E2300" s="1"/>
      <c r="F2300" s="1"/>
      <c r="G2300" s="1"/>
      <c r="H2300" s="172"/>
      <c r="I2300" s="172"/>
    </row>
    <row r="2301" spans="2:11" x14ac:dyDescent="0.15">
      <c r="B2301" s="16"/>
      <c r="C2301" s="16"/>
      <c r="D2301" s="16"/>
      <c r="E2301" s="16"/>
      <c r="F2301" s="16"/>
      <c r="G2301" s="61"/>
      <c r="H2301" s="173"/>
      <c r="I2301" s="172"/>
    </row>
    <row r="2302" spans="2:11" x14ac:dyDescent="0.15">
      <c r="B2302" s="1"/>
      <c r="C2302" s="1"/>
      <c r="D2302" s="1"/>
      <c r="E2302" s="1"/>
      <c r="F2302" s="1"/>
      <c r="G2302" s="161"/>
      <c r="H2302" s="172"/>
      <c r="I2302" s="172"/>
    </row>
    <row r="2303" spans="2:11" x14ac:dyDescent="0.15">
      <c r="B2303" s="1"/>
      <c r="C2303" s="1"/>
      <c r="D2303" s="1"/>
      <c r="E2303" s="1"/>
      <c r="F2303" s="1"/>
      <c r="G2303" s="161"/>
      <c r="H2303" s="172"/>
      <c r="I2303" s="172"/>
    </row>
    <row r="2304" spans="2:11" x14ac:dyDescent="0.15">
      <c r="B2304" s="1"/>
      <c r="C2304" s="1"/>
      <c r="D2304" s="1"/>
      <c r="E2304" s="1"/>
      <c r="F2304" s="1"/>
      <c r="G2304" s="161"/>
      <c r="H2304" s="172"/>
      <c r="I2304" s="172"/>
    </row>
    <row r="2305" spans="2:10" x14ac:dyDescent="0.15">
      <c r="B2305" s="1"/>
      <c r="C2305" s="1"/>
      <c r="D2305" s="1"/>
      <c r="E2305" s="1"/>
      <c r="F2305" s="1"/>
      <c r="G2305" s="1"/>
      <c r="H2305" s="37"/>
      <c r="I2305" s="172"/>
    </row>
    <row r="2306" spans="2:10" ht="14" x14ac:dyDescent="0.15">
      <c r="B2306" s="102"/>
      <c r="C2306" s="1"/>
      <c r="D2306" s="1"/>
      <c r="E2306" s="1"/>
      <c r="F2306" s="1"/>
      <c r="G2306" s="1"/>
      <c r="H2306" s="1"/>
      <c r="I2306" s="172"/>
    </row>
    <row r="2307" spans="2:10" ht="14" x14ac:dyDescent="0.15">
      <c r="B2307" s="83"/>
      <c r="C2307" s="11"/>
      <c r="D2307" s="1"/>
      <c r="E2307" s="916"/>
      <c r="F2307" s="916"/>
      <c r="G2307" s="916"/>
      <c r="H2307" s="916"/>
      <c r="I2307" s="171"/>
    </row>
    <row r="2308" spans="2:10" ht="14" x14ac:dyDescent="0.15">
      <c r="B2308" s="102"/>
      <c r="C2308" s="11"/>
      <c r="D2308" s="1"/>
      <c r="E2308" s="155"/>
      <c r="F2308" s="155"/>
      <c r="G2308" s="155"/>
      <c r="H2308" s="155"/>
      <c r="I2308" s="171"/>
    </row>
    <row r="2309" spans="2:10" ht="14" x14ac:dyDescent="0.15">
      <c r="B2309" s="83"/>
      <c r="C2309" s="11"/>
      <c r="D2309" s="1"/>
      <c r="E2309" s="155"/>
      <c r="F2309" s="155"/>
      <c r="G2309" s="155"/>
      <c r="H2309" s="155"/>
      <c r="I2309" s="171"/>
    </row>
    <row r="2310" spans="2:10" x14ac:dyDescent="0.15">
      <c r="B2310" s="11"/>
      <c r="C2310" s="11"/>
      <c r="D2310" s="1"/>
      <c r="E2310" s="155"/>
      <c r="F2310" s="155"/>
      <c r="G2310" s="155"/>
      <c r="H2310" s="155"/>
      <c r="I2310" s="171"/>
    </row>
    <row r="2311" spans="2:10" x14ac:dyDescent="0.15">
      <c r="B2311" s="11"/>
      <c r="C2311" s="11"/>
      <c r="D2311" s="1"/>
      <c r="E2311" s="155"/>
      <c r="F2311" s="155"/>
      <c r="G2311" s="155"/>
      <c r="H2311" s="155"/>
      <c r="I2311" s="171"/>
    </row>
    <row r="2312" spans="2:10" x14ac:dyDescent="0.15">
      <c r="B2312" s="11"/>
      <c r="C2312" s="11"/>
      <c r="D2312" s="1"/>
      <c r="E2312" s="155"/>
      <c r="F2312" s="155"/>
      <c r="G2312" s="155"/>
      <c r="H2312" s="155"/>
      <c r="I2312" s="171"/>
    </row>
    <row r="2313" spans="2:10" x14ac:dyDescent="0.15">
      <c r="B2313" s="11"/>
      <c r="C2313" s="11"/>
      <c r="D2313" s="1"/>
      <c r="E2313" s="155"/>
      <c r="F2313" s="155"/>
      <c r="G2313" s="155"/>
      <c r="H2313" s="155"/>
      <c r="I2313" s="171"/>
    </row>
    <row r="2314" spans="2:10" x14ac:dyDescent="0.15">
      <c r="B2314" s="11"/>
      <c r="C2314" s="11"/>
      <c r="D2314" s="1"/>
      <c r="E2314" s="155"/>
      <c r="F2314" s="155"/>
      <c r="G2314" s="155"/>
      <c r="H2314" s="155"/>
      <c r="I2314" s="171"/>
    </row>
    <row r="2315" spans="2:10" ht="14" x14ac:dyDescent="0.15">
      <c r="B2315" s="102"/>
      <c r="C2315" s="83"/>
      <c r="D2315" s="84"/>
      <c r="E2315" s="83"/>
      <c r="F2315" s="83"/>
      <c r="G2315" s="103"/>
      <c r="H2315" s="83"/>
      <c r="I2315" s="85"/>
      <c r="J2315" s="85"/>
    </row>
    <row r="2316" spans="2:10" ht="14" x14ac:dyDescent="0.15">
      <c r="B2316" s="83"/>
      <c r="C2316" s="83"/>
      <c r="D2316" s="84"/>
      <c r="E2316" s="83"/>
      <c r="F2316" s="83"/>
      <c r="G2316" s="104"/>
      <c r="H2316" s="83"/>
      <c r="I2316" s="85"/>
      <c r="J2316" s="85"/>
    </row>
    <row r="2317" spans="2:10" ht="14" x14ac:dyDescent="0.15">
      <c r="B2317" s="83"/>
      <c r="C2317" s="83"/>
      <c r="D2317" s="84"/>
      <c r="E2317" s="83"/>
      <c r="F2317" s="83"/>
      <c r="G2317" s="104"/>
      <c r="H2317" s="83"/>
      <c r="I2317" s="85"/>
      <c r="J2317" s="85"/>
    </row>
    <row r="2318" spans="2:10" ht="14" thickBot="1" x14ac:dyDescent="0.2">
      <c r="B2318" s="11"/>
      <c r="C2318" s="11"/>
      <c r="D2318" s="1"/>
      <c r="E2318" s="155"/>
      <c r="F2318" s="155"/>
      <c r="G2318" s="155"/>
      <c r="H2318" s="155"/>
      <c r="I2318" s="171"/>
    </row>
    <row r="2319" spans="2:10" ht="21" customHeight="1" x14ac:dyDescent="0.15">
      <c r="B2319" s="885" t="s">
        <v>874</v>
      </c>
      <c r="C2319" s="886"/>
      <c r="D2319" s="886"/>
      <c r="E2319" s="886"/>
      <c r="F2319" s="887"/>
      <c r="G2319" s="1"/>
      <c r="H2319" s="879" t="s">
        <v>20</v>
      </c>
      <c r="I2319" s="880"/>
    </row>
    <row r="2320" spans="2:10" ht="16.5" customHeight="1" x14ac:dyDescent="0.15">
      <c r="B2320" s="888" t="s">
        <v>875</v>
      </c>
      <c r="C2320" s="889"/>
      <c r="D2320" s="889"/>
      <c r="E2320" s="889"/>
      <c r="F2320" s="890"/>
      <c r="G2320" s="63"/>
      <c r="H2320" s="881"/>
      <c r="I2320" s="882"/>
    </row>
    <row r="2321" spans="2:9" ht="12.75" customHeight="1" x14ac:dyDescent="0.15">
      <c r="B2321" s="906" t="s">
        <v>876</v>
      </c>
      <c r="C2321" s="907"/>
      <c r="D2321" s="907"/>
      <c r="E2321" s="907"/>
      <c r="F2321" s="908"/>
      <c r="G2321" s="63"/>
      <c r="H2321" s="883"/>
      <c r="I2321" s="884"/>
    </row>
    <row r="2322" spans="2:9" ht="16.5" customHeight="1" thickBot="1" x14ac:dyDescent="0.2">
      <c r="B2322" s="909"/>
      <c r="C2322" s="910"/>
      <c r="D2322" s="910"/>
      <c r="E2322" s="910"/>
      <c r="F2322" s="911"/>
      <c r="G2322" s="1"/>
      <c r="H2322" s="873" t="s">
        <v>1610</v>
      </c>
      <c r="I2322" s="874"/>
    </row>
    <row r="2323" spans="2:9" ht="14" thickBot="1" x14ac:dyDescent="0.2">
      <c r="B2323" s="15"/>
      <c r="C2323" s="16"/>
      <c r="D2323" s="1"/>
      <c r="E2323" s="1"/>
      <c r="F2323" s="1"/>
      <c r="G2323" s="1"/>
      <c r="H2323" s="875"/>
      <c r="I2323" s="876"/>
    </row>
    <row r="2324" spans="2:9" ht="12.75" customHeight="1" x14ac:dyDescent="0.15">
      <c r="B2324" s="922" t="s">
        <v>836</v>
      </c>
      <c r="C2324" s="923"/>
      <c r="D2324" s="923"/>
      <c r="E2324" s="923"/>
      <c r="F2324" s="924"/>
      <c r="G2324" s="1"/>
      <c r="H2324" s="875"/>
      <c r="I2324" s="876"/>
    </row>
    <row r="2325" spans="2:9" ht="12.75" customHeight="1" x14ac:dyDescent="0.15">
      <c r="B2325" s="925"/>
      <c r="C2325" s="926"/>
      <c r="D2325" s="926"/>
      <c r="E2325" s="926"/>
      <c r="F2325" s="927"/>
      <c r="H2325" s="875"/>
      <c r="I2325" s="876"/>
    </row>
    <row r="2326" spans="2:9" ht="13.5" customHeight="1" x14ac:dyDescent="0.15">
      <c r="B2326" s="925"/>
      <c r="C2326" s="926"/>
      <c r="D2326" s="926"/>
      <c r="E2326" s="926"/>
      <c r="F2326" s="927"/>
      <c r="G2326" s="11"/>
      <c r="H2326" s="877"/>
      <c r="I2326" s="878"/>
    </row>
    <row r="2327" spans="2:9" ht="21.75" customHeight="1" thickBot="1" x14ac:dyDescent="0.2">
      <c r="B2327" s="928"/>
      <c r="C2327" s="929"/>
      <c r="D2327" s="929"/>
      <c r="E2327" s="929"/>
      <c r="F2327" s="930"/>
      <c r="H2327" s="64" t="s">
        <v>45</v>
      </c>
      <c r="I2327" s="17" t="s">
        <v>7</v>
      </c>
    </row>
    <row r="2328" spans="2:9" x14ac:dyDescent="0.15">
      <c r="B2328" s="18"/>
      <c r="C2328" s="18"/>
      <c r="D2328" s="1"/>
      <c r="E2328" s="18"/>
      <c r="F2328" s="18"/>
      <c r="G2328" s="18"/>
      <c r="H2328" s="18"/>
      <c r="I2328" s="1"/>
    </row>
    <row r="2329" spans="2:9" ht="14" thickBot="1" x14ac:dyDescent="0.2">
      <c r="B2329" s="12" t="s">
        <v>21</v>
      </c>
      <c r="C2329" s="12"/>
      <c r="D2329" s="1"/>
      <c r="E2329" s="1"/>
      <c r="F2329" s="1"/>
      <c r="G2329" s="1"/>
      <c r="H2329" s="1"/>
      <c r="I2329" s="1"/>
    </row>
    <row r="2330" spans="2:9" x14ac:dyDescent="0.15">
      <c r="B2330" s="903" t="s">
        <v>22</v>
      </c>
      <c r="C2330" s="904"/>
      <c r="D2330" s="905"/>
      <c r="E2330" s="209" t="s">
        <v>23</v>
      </c>
      <c r="F2330" s="19" t="s">
        <v>47</v>
      </c>
      <c r="G2330" s="209" t="s">
        <v>24</v>
      </c>
      <c r="H2330" s="208" t="s">
        <v>25</v>
      </c>
      <c r="I2330" s="43"/>
    </row>
    <row r="2331" spans="2:9" x14ac:dyDescent="0.15">
      <c r="B2331" s="897" t="s">
        <v>56</v>
      </c>
      <c r="C2331" s="898"/>
      <c r="D2331" s="899"/>
      <c r="E2331" s="5"/>
      <c r="F2331" s="162"/>
      <c r="G2331" s="58"/>
      <c r="H2331" s="162">
        <f>I2353*0.05</f>
        <v>1320.0606481481482</v>
      </c>
      <c r="I2331" s="44"/>
    </row>
    <row r="2332" spans="2:9" x14ac:dyDescent="0.15">
      <c r="B2332" s="897" t="s">
        <v>312</v>
      </c>
      <c r="C2332" s="898"/>
      <c r="D2332" s="899"/>
      <c r="E2332" s="5"/>
      <c r="F2332" s="162">
        <v>30000</v>
      </c>
      <c r="G2332" s="58">
        <v>27</v>
      </c>
      <c r="H2332" s="162">
        <f>F2332/G2332</f>
        <v>1111.1111111111111</v>
      </c>
      <c r="I2332" s="44"/>
    </row>
    <row r="2333" spans="2:9" ht="14" thickBot="1" x14ac:dyDescent="0.2">
      <c r="B2333" s="900"/>
      <c r="C2333" s="901"/>
      <c r="D2333" s="902"/>
      <c r="E2333" s="21"/>
      <c r="F2333" s="22"/>
      <c r="G2333" s="23"/>
      <c r="H2333" s="47"/>
      <c r="I2333" s="48"/>
    </row>
    <row r="2334" spans="2:9" ht="14" thickBot="1" x14ac:dyDescent="0.2">
      <c r="B2334" s="1"/>
      <c r="C2334" s="1"/>
      <c r="D2334" s="1"/>
      <c r="E2334" s="1"/>
      <c r="F2334" s="1"/>
      <c r="G2334" s="1"/>
      <c r="H2334" s="37" t="s">
        <v>26</v>
      </c>
      <c r="I2334" s="163">
        <f>SUM(H2331:H2333)</f>
        <v>2431.1717592592595</v>
      </c>
    </row>
    <row r="2335" spans="2:9" ht="14" thickBot="1" x14ac:dyDescent="0.2">
      <c r="B2335" s="12" t="s">
        <v>27</v>
      </c>
      <c r="C2335" s="12"/>
      <c r="D2335" s="1"/>
      <c r="E2335" s="1"/>
      <c r="F2335" s="1"/>
      <c r="G2335" s="1"/>
      <c r="H2335" s="1"/>
      <c r="I2335" s="1"/>
    </row>
    <row r="2336" spans="2:9" x14ac:dyDescent="0.15">
      <c r="B2336" s="903" t="s">
        <v>22</v>
      </c>
      <c r="C2336" s="904"/>
      <c r="D2336" s="905"/>
      <c r="E2336" s="209" t="s">
        <v>28</v>
      </c>
      <c r="F2336" s="209" t="s">
        <v>29</v>
      </c>
      <c r="G2336" s="209" t="s">
        <v>30</v>
      </c>
      <c r="H2336" s="208" t="s">
        <v>25</v>
      </c>
      <c r="I2336" s="43"/>
    </row>
    <row r="2337" spans="2:11" x14ac:dyDescent="0.15">
      <c r="B2337" s="4" t="s">
        <v>557</v>
      </c>
      <c r="C2337" s="24"/>
      <c r="D2337" s="6"/>
      <c r="E2337" s="3" t="s">
        <v>58</v>
      </c>
      <c r="F2337" s="166">
        <f>'APU -BASICOS'!H204</f>
        <v>9182</v>
      </c>
      <c r="G2337" s="73">
        <f>2.4*0.56</f>
        <v>1.3440000000000001</v>
      </c>
      <c r="H2337" s="165">
        <f>G2337*F2337</f>
        <v>12340.608</v>
      </c>
      <c r="I2337" s="44"/>
    </row>
    <row r="2338" spans="2:11" x14ac:dyDescent="0.15">
      <c r="B2338" s="4" t="s">
        <v>558</v>
      </c>
      <c r="C2338" s="24"/>
      <c r="D2338" s="6"/>
      <c r="E2338" s="3" t="s">
        <v>58</v>
      </c>
      <c r="F2338" s="166">
        <f>'APU -BASICOS'!H260</f>
        <v>9182</v>
      </c>
      <c r="G2338" s="73">
        <f>0.7*5*0.56</f>
        <v>1.9600000000000002</v>
      </c>
      <c r="H2338" s="165">
        <f>G2338*F2338</f>
        <v>17996.72</v>
      </c>
      <c r="I2338" s="44"/>
    </row>
    <row r="2339" spans="2:11" x14ac:dyDescent="0.15">
      <c r="B2339" s="4" t="s">
        <v>63</v>
      </c>
      <c r="C2339" s="24"/>
      <c r="D2339" s="6"/>
      <c r="E2339" s="3" t="s">
        <v>6</v>
      </c>
      <c r="F2339" s="164">
        <f>'APU -BASICOS'!H96</f>
        <v>555217</v>
      </c>
      <c r="G2339" s="73">
        <f>0.15*0.1*1</f>
        <v>1.4999999999999999E-2</v>
      </c>
      <c r="H2339" s="165">
        <f>G2339*F2339</f>
        <v>8328.2549999999992</v>
      </c>
      <c r="I2339" s="44"/>
    </row>
    <row r="2340" spans="2:11" ht="14" thickBot="1" x14ac:dyDescent="0.2">
      <c r="B2340" s="25"/>
      <c r="C2340" s="26"/>
      <c r="D2340" s="27"/>
      <c r="E2340" s="21"/>
      <c r="F2340" s="22"/>
      <c r="G2340" s="167"/>
      <c r="H2340" s="47"/>
      <c r="I2340" s="48"/>
      <c r="K2340" s="233"/>
    </row>
    <row r="2341" spans="2:11" ht="14" thickBot="1" x14ac:dyDescent="0.2">
      <c r="B2341" s="1"/>
      <c r="C2341" s="1"/>
      <c r="D2341" s="1"/>
      <c r="E2341" s="1"/>
      <c r="F2341" s="1"/>
      <c r="G2341" s="1"/>
      <c r="H2341" s="37" t="s">
        <v>26</v>
      </c>
      <c r="I2341" s="163">
        <f>SUM(H2337:H2339)</f>
        <v>38665.582999999999</v>
      </c>
    </row>
    <row r="2342" spans="2:11" ht="14" thickBot="1" x14ac:dyDescent="0.2">
      <c r="B2342" s="28" t="s">
        <v>31</v>
      </c>
      <c r="C2342" s="28"/>
      <c r="D2342" s="26"/>
      <c r="E2342" s="1"/>
      <c r="F2342" s="1"/>
      <c r="G2342" s="1"/>
      <c r="H2342" s="1"/>
      <c r="I2342" s="1"/>
    </row>
    <row r="2343" spans="2:11" x14ac:dyDescent="0.15">
      <c r="B2343" s="51" t="s">
        <v>32</v>
      </c>
      <c r="C2343" s="52"/>
      <c r="D2343" s="97" t="s">
        <v>33</v>
      </c>
      <c r="E2343" s="209" t="s">
        <v>34</v>
      </c>
      <c r="F2343" s="209" t="s">
        <v>35</v>
      </c>
      <c r="G2343" s="209" t="s">
        <v>36</v>
      </c>
      <c r="H2343" s="59" t="s">
        <v>25</v>
      </c>
      <c r="I2343" s="43"/>
    </row>
    <row r="2344" spans="2:11" x14ac:dyDescent="0.15">
      <c r="B2344" s="4"/>
      <c r="C2344" s="24"/>
      <c r="D2344" s="60"/>
      <c r="E2344" s="2"/>
      <c r="F2344" s="2"/>
      <c r="G2344" s="162"/>
      <c r="H2344" s="55"/>
      <c r="I2344" s="44"/>
      <c r="K2344" s="106"/>
    </row>
    <row r="2345" spans="2:11" x14ac:dyDescent="0.15">
      <c r="B2345" s="107"/>
      <c r="C2345" s="66"/>
      <c r="D2345" s="67"/>
      <c r="E2345" s="68"/>
      <c r="F2345" s="68"/>
      <c r="G2345" s="69"/>
      <c r="H2345" s="65"/>
      <c r="I2345" s="44"/>
    </row>
    <row r="2346" spans="2:11" ht="14" thickBot="1" x14ac:dyDescent="0.2">
      <c r="B2346" s="33"/>
      <c r="C2346" s="54"/>
      <c r="D2346" s="21"/>
      <c r="E2346" s="22"/>
      <c r="F2346" s="23"/>
      <c r="G2346" s="47"/>
      <c r="H2346" s="21"/>
      <c r="I2346" s="48"/>
    </row>
    <row r="2347" spans="2:11" ht="14" thickBot="1" x14ac:dyDescent="0.2">
      <c r="B2347" s="1"/>
      <c r="C2347" s="1"/>
      <c r="D2347" s="1"/>
      <c r="E2347" s="1"/>
      <c r="F2347" s="1"/>
      <c r="G2347" s="1"/>
      <c r="H2347" s="37" t="s">
        <v>26</v>
      </c>
      <c r="I2347" s="163">
        <f>SUM(H2344:H2346)</f>
        <v>0</v>
      </c>
    </row>
    <row r="2348" spans="2:11" ht="14" thickBot="1" x14ac:dyDescent="0.2">
      <c r="B2348" s="28" t="s">
        <v>37</v>
      </c>
      <c r="C2348" s="28"/>
      <c r="D2348" s="1"/>
      <c r="E2348" s="1"/>
      <c r="F2348" s="1"/>
      <c r="G2348" s="1"/>
      <c r="H2348" s="1"/>
      <c r="I2348" s="1"/>
    </row>
    <row r="2349" spans="2:11" x14ac:dyDescent="0.15">
      <c r="B2349" s="51" t="s">
        <v>38</v>
      </c>
      <c r="C2349" s="86"/>
      <c r="D2349" s="31" t="s">
        <v>39</v>
      </c>
      <c r="E2349" s="209" t="s">
        <v>40</v>
      </c>
      <c r="F2349" s="19" t="s">
        <v>41</v>
      </c>
      <c r="G2349" s="31" t="s">
        <v>24</v>
      </c>
      <c r="H2349" s="208" t="s">
        <v>25</v>
      </c>
      <c r="I2349" s="43"/>
      <c r="K2349" s="106"/>
    </row>
    <row r="2350" spans="2:11" x14ac:dyDescent="0.15">
      <c r="B2350" s="4" t="s">
        <v>65</v>
      </c>
      <c r="C2350" s="24"/>
      <c r="D2350" s="32">
        <f>'MANO DE OBRA'!E15</f>
        <v>95333</v>
      </c>
      <c r="E2350" s="88">
        <v>1.75</v>
      </c>
      <c r="F2350" s="164">
        <f>+E2350*D2350</f>
        <v>166832.75</v>
      </c>
      <c r="G2350" s="20">
        <f>G2332</f>
        <v>27</v>
      </c>
      <c r="H2350" s="169">
        <f>+F2350/G2350</f>
        <v>6178.9907407407409</v>
      </c>
      <c r="I2350" s="44"/>
    </row>
    <row r="2351" spans="2:11" x14ac:dyDescent="0.15">
      <c r="B2351" s="4" t="s">
        <v>94</v>
      </c>
      <c r="C2351" s="24"/>
      <c r="D2351" s="32">
        <f>'MANO DE OBRA'!E14*6</f>
        <v>312000</v>
      </c>
      <c r="E2351" s="88">
        <v>1.75</v>
      </c>
      <c r="F2351" s="164">
        <f>+E2351*D2351</f>
        <v>546000</v>
      </c>
      <c r="G2351" s="20">
        <f>G2332</f>
        <v>27</v>
      </c>
      <c r="H2351" s="169">
        <f>+F2351/G2351</f>
        <v>20222.222222222223</v>
      </c>
      <c r="I2351" s="44"/>
    </row>
    <row r="2352" spans="2:11" ht="14" thickBot="1" x14ac:dyDescent="0.2">
      <c r="B2352" s="33"/>
      <c r="C2352" s="34"/>
      <c r="D2352" s="22"/>
      <c r="E2352" s="21"/>
      <c r="F2352" s="22"/>
      <c r="G2352" s="23"/>
      <c r="H2352" s="47"/>
      <c r="I2352" s="48"/>
      <c r="K2352" s="106"/>
    </row>
    <row r="2353" spans="2:9" ht="14" thickBot="1" x14ac:dyDescent="0.2">
      <c r="B2353" s="1"/>
      <c r="C2353" s="1"/>
      <c r="D2353" s="1"/>
      <c r="E2353" s="1"/>
      <c r="F2353" s="1"/>
      <c r="G2353" s="1"/>
      <c r="H2353" s="37" t="s">
        <v>26</v>
      </c>
      <c r="I2353" s="177">
        <f>SUM(H2350:H2352)</f>
        <v>26401.212962962964</v>
      </c>
    </row>
    <row r="2354" spans="2:9" ht="14" thickBot="1" x14ac:dyDescent="0.2">
      <c r="B2354" s="1"/>
      <c r="C2354" s="1"/>
      <c r="D2354" s="1"/>
      <c r="E2354" s="1"/>
      <c r="F2354" s="1"/>
      <c r="G2354" s="1"/>
      <c r="H2354" s="61"/>
      <c r="I2354" s="1"/>
    </row>
    <row r="2355" spans="2:9" ht="15" thickBot="1" x14ac:dyDescent="0.2">
      <c r="B2355" s="1"/>
      <c r="C2355" s="1"/>
      <c r="D2355" s="1"/>
      <c r="E2355" s="1"/>
      <c r="F2355" s="35" t="s">
        <v>43</v>
      </c>
      <c r="G2355" s="16"/>
      <c r="H2355" s="16"/>
      <c r="I2355" s="232">
        <f>ROUND((I2334+I2341+I2347+I2353),0)</f>
        <v>67498</v>
      </c>
    </row>
    <row r="2356" spans="2:9" x14ac:dyDescent="0.15">
      <c r="B2356" s="12"/>
      <c r="C2356" s="12"/>
      <c r="D2356" s="1"/>
      <c r="E2356" s="1"/>
      <c r="F2356" s="1"/>
      <c r="G2356" s="1"/>
      <c r="H2356" s="172"/>
      <c r="I2356" s="172"/>
    </row>
    <row r="2357" spans="2:9" x14ac:dyDescent="0.15">
      <c r="B2357" s="16"/>
      <c r="C2357" s="16"/>
      <c r="D2357" s="16"/>
      <c r="E2357" s="16"/>
      <c r="F2357" s="16"/>
      <c r="G2357" s="61"/>
      <c r="H2357" s="173"/>
      <c r="I2357" s="172"/>
    </row>
    <row r="2358" spans="2:9" x14ac:dyDescent="0.15">
      <c r="B2358" s="1"/>
      <c r="C2358" s="1"/>
      <c r="D2358" s="1"/>
      <c r="E2358" s="1"/>
      <c r="F2358" s="1"/>
      <c r="G2358" s="161"/>
      <c r="H2358" s="172"/>
      <c r="I2358" s="172"/>
    </row>
    <row r="2359" spans="2:9" x14ac:dyDescent="0.15">
      <c r="B2359" s="1"/>
      <c r="C2359" s="1"/>
      <c r="D2359" s="1"/>
      <c r="E2359" s="1"/>
      <c r="F2359" s="1"/>
      <c r="G2359" s="161"/>
      <c r="H2359" s="172"/>
      <c r="I2359" s="172"/>
    </row>
    <row r="2360" spans="2:9" x14ac:dyDescent="0.15">
      <c r="B2360" s="1"/>
      <c r="C2360" s="1"/>
      <c r="D2360" s="1"/>
      <c r="E2360" s="1"/>
      <c r="F2360" s="1"/>
      <c r="G2360" s="161"/>
      <c r="H2360" s="172"/>
      <c r="I2360" s="172"/>
    </row>
    <row r="2361" spans="2:9" x14ac:dyDescent="0.15">
      <c r="B2361" s="1"/>
      <c r="C2361" s="1"/>
      <c r="D2361" s="1"/>
      <c r="E2361" s="1"/>
      <c r="F2361" s="1"/>
      <c r="G2361" s="1"/>
      <c r="H2361" s="37"/>
      <c r="I2361" s="172"/>
    </row>
    <row r="2362" spans="2:9" ht="14" x14ac:dyDescent="0.15">
      <c r="B2362" s="102"/>
      <c r="C2362" s="1"/>
      <c r="D2362" s="1"/>
      <c r="E2362" s="1"/>
      <c r="F2362" s="1"/>
      <c r="G2362" s="1"/>
      <c r="H2362" s="1"/>
      <c r="I2362" s="172"/>
    </row>
    <row r="2363" spans="2:9" ht="14" x14ac:dyDescent="0.15">
      <c r="B2363" s="83"/>
      <c r="C2363" s="11"/>
      <c r="D2363" s="1"/>
      <c r="E2363" s="916"/>
      <c r="F2363" s="916"/>
      <c r="G2363" s="916"/>
      <c r="H2363" s="916"/>
      <c r="I2363" s="171"/>
    </row>
    <row r="2364" spans="2:9" ht="14" x14ac:dyDescent="0.15">
      <c r="B2364" s="102"/>
      <c r="C2364" s="11"/>
      <c r="D2364" s="1"/>
      <c r="E2364" s="155"/>
      <c r="F2364" s="155"/>
      <c r="G2364" s="155"/>
      <c r="H2364" s="155"/>
      <c r="I2364" s="171"/>
    </row>
    <row r="2365" spans="2:9" ht="14" x14ac:dyDescent="0.15">
      <c r="B2365" s="83"/>
      <c r="C2365" s="11"/>
      <c r="D2365" s="1"/>
      <c r="E2365" s="155"/>
      <c r="F2365" s="155"/>
      <c r="G2365" s="155"/>
      <c r="H2365" s="155"/>
      <c r="I2365" s="171"/>
    </row>
    <row r="2366" spans="2:9" x14ac:dyDescent="0.15">
      <c r="B2366" s="11"/>
      <c r="C2366" s="11"/>
      <c r="D2366" s="1"/>
      <c r="E2366" s="155"/>
      <c r="F2366" s="155"/>
      <c r="G2366" s="155"/>
      <c r="H2366" s="155"/>
      <c r="I2366" s="171"/>
    </row>
    <row r="2367" spans="2:9" x14ac:dyDescent="0.15">
      <c r="B2367" s="11"/>
      <c r="C2367" s="11"/>
      <c r="D2367" s="1"/>
      <c r="E2367" s="155"/>
      <c r="F2367" s="155"/>
      <c r="G2367" s="155"/>
      <c r="H2367" s="155"/>
      <c r="I2367" s="171"/>
    </row>
    <row r="2368" spans="2:9" x14ac:dyDescent="0.15">
      <c r="B2368" s="11"/>
      <c r="C2368" s="11"/>
      <c r="D2368" s="1"/>
      <c r="E2368" s="155"/>
      <c r="F2368" s="155"/>
      <c r="G2368" s="155"/>
      <c r="H2368" s="155"/>
      <c r="I2368" s="171"/>
    </row>
    <row r="2369" spans="2:10" x14ac:dyDescent="0.15">
      <c r="B2369" s="11"/>
      <c r="C2369" s="11"/>
      <c r="D2369" s="1"/>
      <c r="E2369" s="155"/>
      <c r="F2369" s="155"/>
      <c r="G2369" s="155"/>
      <c r="H2369" s="155"/>
      <c r="I2369" s="171"/>
    </row>
    <row r="2370" spans="2:10" x14ac:dyDescent="0.15">
      <c r="B2370" s="11"/>
      <c r="C2370" s="11"/>
      <c r="D2370" s="1"/>
      <c r="E2370" s="155"/>
      <c r="F2370" s="155"/>
      <c r="G2370" s="155"/>
      <c r="H2370" s="155"/>
      <c r="I2370" s="171"/>
    </row>
    <row r="2371" spans="2:10" x14ac:dyDescent="0.15">
      <c r="B2371" s="11"/>
      <c r="C2371" s="11"/>
      <c r="D2371" s="1"/>
      <c r="E2371" s="155"/>
      <c r="F2371" s="155"/>
      <c r="G2371" s="155"/>
      <c r="H2371" s="155"/>
      <c r="I2371" s="171"/>
    </row>
    <row r="2372" spans="2:10" ht="14" x14ac:dyDescent="0.15">
      <c r="B2372" s="102"/>
      <c r="C2372" s="83"/>
      <c r="D2372" s="84"/>
      <c r="E2372" s="83"/>
      <c r="F2372" s="83"/>
      <c r="G2372" s="103"/>
      <c r="H2372" s="83"/>
      <c r="I2372" s="85"/>
      <c r="J2372" s="85"/>
    </row>
    <row r="2373" spans="2:10" ht="14" x14ac:dyDescent="0.15">
      <c r="B2373" s="83"/>
      <c r="C2373" s="83"/>
      <c r="D2373" s="84"/>
      <c r="E2373" s="83"/>
      <c r="F2373" s="83"/>
      <c r="G2373" s="104"/>
      <c r="H2373" s="83"/>
      <c r="I2373" s="85"/>
      <c r="J2373" s="85"/>
    </row>
    <row r="2374" spans="2:10" ht="14" thickBot="1" x14ac:dyDescent="0.2">
      <c r="B2374" s="11"/>
      <c r="C2374" s="11"/>
      <c r="D2374" s="1"/>
      <c r="E2374" s="155"/>
      <c r="F2374" s="155"/>
      <c r="G2374" s="155"/>
      <c r="H2374" s="155"/>
      <c r="I2374" s="171"/>
    </row>
    <row r="2375" spans="2:10" ht="21" customHeight="1" x14ac:dyDescent="0.15">
      <c r="B2375" s="885" t="s">
        <v>874</v>
      </c>
      <c r="C2375" s="886"/>
      <c r="D2375" s="886"/>
      <c r="E2375" s="886"/>
      <c r="F2375" s="887"/>
      <c r="G2375" s="1"/>
      <c r="H2375" s="879" t="s">
        <v>20</v>
      </c>
      <c r="I2375" s="880"/>
    </row>
    <row r="2376" spans="2:10" ht="16.5" customHeight="1" x14ac:dyDescent="0.15">
      <c r="B2376" s="888" t="s">
        <v>875</v>
      </c>
      <c r="C2376" s="889"/>
      <c r="D2376" s="889"/>
      <c r="E2376" s="889"/>
      <c r="F2376" s="890"/>
      <c r="G2376" s="63"/>
      <c r="H2376" s="881"/>
      <c r="I2376" s="882"/>
    </row>
    <row r="2377" spans="2:10" ht="12.75" customHeight="1" x14ac:dyDescent="0.15">
      <c r="B2377" s="906" t="s">
        <v>876</v>
      </c>
      <c r="C2377" s="907"/>
      <c r="D2377" s="907"/>
      <c r="E2377" s="907"/>
      <c r="F2377" s="908"/>
      <c r="G2377" s="63"/>
      <c r="H2377" s="883"/>
      <c r="I2377" s="884"/>
    </row>
    <row r="2378" spans="2:10" ht="16.5" customHeight="1" thickBot="1" x14ac:dyDescent="0.2">
      <c r="B2378" s="909"/>
      <c r="C2378" s="910"/>
      <c r="D2378" s="910"/>
      <c r="E2378" s="910"/>
      <c r="F2378" s="911"/>
      <c r="G2378" s="1"/>
      <c r="H2378" s="873" t="s">
        <v>1611</v>
      </c>
      <c r="I2378" s="874"/>
    </row>
    <row r="2379" spans="2:10" ht="14" thickBot="1" x14ac:dyDescent="0.2">
      <c r="B2379" s="15"/>
      <c r="C2379" s="16"/>
      <c r="D2379" s="1"/>
      <c r="E2379" s="1"/>
      <c r="F2379" s="1"/>
      <c r="G2379" s="1"/>
      <c r="H2379" s="875"/>
      <c r="I2379" s="876"/>
    </row>
    <row r="2380" spans="2:10" ht="12.75" customHeight="1" x14ac:dyDescent="0.15">
      <c r="B2380" s="922" t="s">
        <v>836</v>
      </c>
      <c r="C2380" s="923"/>
      <c r="D2380" s="923"/>
      <c r="E2380" s="923"/>
      <c r="F2380" s="924"/>
      <c r="G2380" s="1"/>
      <c r="H2380" s="875"/>
      <c r="I2380" s="876"/>
    </row>
    <row r="2381" spans="2:10" ht="12.75" customHeight="1" x14ac:dyDescent="0.15">
      <c r="B2381" s="925"/>
      <c r="C2381" s="926"/>
      <c r="D2381" s="926"/>
      <c r="E2381" s="926"/>
      <c r="F2381" s="927"/>
      <c r="H2381" s="875"/>
      <c r="I2381" s="876"/>
    </row>
    <row r="2382" spans="2:10" ht="13.5" customHeight="1" x14ac:dyDescent="0.15">
      <c r="B2382" s="925"/>
      <c r="C2382" s="926"/>
      <c r="D2382" s="926"/>
      <c r="E2382" s="926"/>
      <c r="F2382" s="927"/>
      <c r="G2382" s="11"/>
      <c r="H2382" s="877"/>
      <c r="I2382" s="878"/>
    </row>
    <row r="2383" spans="2:10" ht="21.75" customHeight="1" thickBot="1" x14ac:dyDescent="0.2">
      <c r="B2383" s="928"/>
      <c r="C2383" s="929"/>
      <c r="D2383" s="929"/>
      <c r="E2383" s="929"/>
      <c r="F2383" s="930"/>
      <c r="H2383" s="64" t="s">
        <v>45</v>
      </c>
      <c r="I2383" s="17" t="s">
        <v>5</v>
      </c>
    </row>
    <row r="2384" spans="2:10" x14ac:dyDescent="0.15">
      <c r="B2384" s="18"/>
      <c r="C2384" s="18"/>
      <c r="D2384" s="1"/>
      <c r="E2384" s="18"/>
      <c r="F2384" s="18"/>
      <c r="G2384" s="18"/>
      <c r="H2384" s="18"/>
      <c r="I2384" s="1"/>
    </row>
    <row r="2385" spans="2:9" ht="14" thickBot="1" x14ac:dyDescent="0.2">
      <c r="B2385" s="12" t="s">
        <v>21</v>
      </c>
      <c r="C2385" s="12"/>
      <c r="D2385" s="1"/>
      <c r="E2385" s="1"/>
      <c r="F2385" s="1"/>
      <c r="G2385" s="1"/>
      <c r="H2385" s="1"/>
      <c r="I2385" s="1"/>
    </row>
    <row r="2386" spans="2:9" x14ac:dyDescent="0.15">
      <c r="B2386" s="903" t="s">
        <v>22</v>
      </c>
      <c r="C2386" s="904"/>
      <c r="D2386" s="905"/>
      <c r="E2386" s="209" t="s">
        <v>23</v>
      </c>
      <c r="F2386" s="19" t="s">
        <v>47</v>
      </c>
      <c r="G2386" s="209" t="s">
        <v>24</v>
      </c>
      <c r="H2386" s="208" t="s">
        <v>25</v>
      </c>
      <c r="I2386" s="43"/>
    </row>
    <row r="2387" spans="2:9" x14ac:dyDescent="0.15">
      <c r="B2387" s="897" t="s">
        <v>56</v>
      </c>
      <c r="C2387" s="898"/>
      <c r="D2387" s="899"/>
      <c r="E2387" s="5"/>
      <c r="F2387" s="162"/>
      <c r="G2387" s="58"/>
      <c r="H2387" s="162">
        <f>I2407*0.05</f>
        <v>1453.4697916666667</v>
      </c>
      <c r="I2387" s="44"/>
    </row>
    <row r="2388" spans="2:9" ht="14" thickBot="1" x14ac:dyDescent="0.2">
      <c r="B2388" s="900"/>
      <c r="C2388" s="901"/>
      <c r="D2388" s="902"/>
      <c r="E2388" s="21"/>
      <c r="F2388" s="22"/>
      <c r="G2388" s="23"/>
      <c r="H2388" s="47"/>
      <c r="I2388" s="48"/>
    </row>
    <row r="2389" spans="2:9" ht="14" thickBot="1" x14ac:dyDescent="0.2">
      <c r="B2389" s="1"/>
      <c r="C2389" s="1"/>
      <c r="D2389" s="1"/>
      <c r="E2389" s="1"/>
      <c r="F2389" s="1"/>
      <c r="G2389" s="1"/>
      <c r="H2389" s="37" t="s">
        <v>26</v>
      </c>
      <c r="I2389" s="163">
        <f>SUM(H2387:H2388)</f>
        <v>1453.4697916666667</v>
      </c>
    </row>
    <row r="2390" spans="2:9" ht="14" thickBot="1" x14ac:dyDescent="0.2">
      <c r="B2390" s="12" t="s">
        <v>27</v>
      </c>
      <c r="C2390" s="12"/>
      <c r="D2390" s="1"/>
      <c r="E2390" s="1"/>
      <c r="F2390" s="1"/>
      <c r="G2390" s="1"/>
      <c r="H2390" s="1"/>
      <c r="I2390" s="1"/>
    </row>
    <row r="2391" spans="2:9" x14ac:dyDescent="0.15">
      <c r="B2391" s="903" t="s">
        <v>22</v>
      </c>
      <c r="C2391" s="904"/>
      <c r="D2391" s="905"/>
      <c r="E2391" s="209" t="s">
        <v>28</v>
      </c>
      <c r="F2391" s="209" t="s">
        <v>29</v>
      </c>
      <c r="G2391" s="209" t="s">
        <v>30</v>
      </c>
      <c r="H2391" s="208" t="s">
        <v>25</v>
      </c>
      <c r="I2391" s="43"/>
    </row>
    <row r="2392" spans="2:9" x14ac:dyDescent="0.15">
      <c r="B2392" s="4" t="s">
        <v>581</v>
      </c>
      <c r="C2392" s="24"/>
      <c r="D2392" s="6"/>
      <c r="E2392" s="3" t="s">
        <v>319</v>
      </c>
      <c r="F2392" s="166">
        <f>MATERIALES!C39</f>
        <v>3105</v>
      </c>
      <c r="G2392" s="73">
        <v>12.5</v>
      </c>
      <c r="H2392" s="165">
        <f>G2392*F2392</f>
        <v>38812.5</v>
      </c>
      <c r="I2392" s="44"/>
    </row>
    <row r="2393" spans="2:9" x14ac:dyDescent="0.15">
      <c r="B2393" s="4" t="s">
        <v>68</v>
      </c>
      <c r="C2393" s="24"/>
      <c r="D2393" s="6"/>
      <c r="E2393" s="3" t="s">
        <v>6</v>
      </c>
      <c r="F2393" s="166">
        <f>'APU -BASICOS'!H153</f>
        <v>643337</v>
      </c>
      <c r="G2393" s="100">
        <v>1.4999999999999999E-2</v>
      </c>
      <c r="H2393" s="165">
        <f>G2393*F2393</f>
        <v>9650.0550000000003</v>
      </c>
      <c r="I2393" s="44"/>
    </row>
    <row r="2394" spans="2:9" x14ac:dyDescent="0.15">
      <c r="B2394" s="4" t="s">
        <v>63</v>
      </c>
      <c r="C2394" s="24"/>
      <c r="D2394" s="6"/>
      <c r="E2394" s="3" t="s">
        <v>6</v>
      </c>
      <c r="F2394" s="166">
        <f>'APU -BASICOS'!H96</f>
        <v>555217</v>
      </c>
      <c r="G2394" s="100">
        <v>0.06</v>
      </c>
      <c r="H2394" s="165">
        <f>G2394*F2394</f>
        <v>33313.019999999997</v>
      </c>
      <c r="I2394" s="44"/>
    </row>
    <row r="2395" spans="2:9" ht="14" thickBot="1" x14ac:dyDescent="0.2">
      <c r="B2395" s="25"/>
      <c r="C2395" s="26"/>
      <c r="D2395" s="27"/>
      <c r="E2395" s="21"/>
      <c r="F2395" s="22"/>
      <c r="G2395" s="167"/>
      <c r="H2395" s="47"/>
      <c r="I2395" s="48"/>
    </row>
    <row r="2396" spans="2:9" ht="14" thickBot="1" x14ac:dyDescent="0.2">
      <c r="B2396" s="1"/>
      <c r="C2396" s="1"/>
      <c r="D2396" s="1"/>
      <c r="E2396" s="1"/>
      <c r="F2396" s="1"/>
      <c r="G2396" s="1"/>
      <c r="H2396" s="37" t="s">
        <v>26</v>
      </c>
      <c r="I2396" s="163">
        <f>SUM(H2392:H2394)</f>
        <v>81775.574999999997</v>
      </c>
    </row>
    <row r="2397" spans="2:9" ht="14" thickBot="1" x14ac:dyDescent="0.2">
      <c r="B2397" s="28" t="s">
        <v>31</v>
      </c>
      <c r="C2397" s="28"/>
      <c r="D2397" s="26"/>
      <c r="E2397" s="1"/>
      <c r="F2397" s="1"/>
      <c r="G2397" s="1"/>
      <c r="H2397" s="1"/>
      <c r="I2397" s="1"/>
    </row>
    <row r="2398" spans="2:9" x14ac:dyDescent="0.15">
      <c r="B2398" s="51" t="s">
        <v>32</v>
      </c>
      <c r="C2398" s="52"/>
      <c r="D2398" s="97" t="s">
        <v>33</v>
      </c>
      <c r="E2398" s="209" t="s">
        <v>34</v>
      </c>
      <c r="F2398" s="209" t="s">
        <v>35</v>
      </c>
      <c r="G2398" s="209" t="s">
        <v>36</v>
      </c>
      <c r="H2398" s="59" t="s">
        <v>25</v>
      </c>
      <c r="I2398" s="43"/>
    </row>
    <row r="2399" spans="2:9" x14ac:dyDescent="0.15">
      <c r="B2399" s="4" t="s">
        <v>582</v>
      </c>
      <c r="C2399" s="6"/>
      <c r="D2399" s="53">
        <f>1*0.9*0.15</f>
        <v>0.13500000000000001</v>
      </c>
      <c r="E2399" s="2">
        <v>15</v>
      </c>
      <c r="F2399" s="2">
        <f>E2399*D2399</f>
        <v>2.0250000000000004</v>
      </c>
      <c r="G2399" s="162">
        <v>1100</v>
      </c>
      <c r="H2399" s="20">
        <f>G2399*F2399</f>
        <v>2227.5000000000005</v>
      </c>
      <c r="I2399" s="44"/>
    </row>
    <row r="2400" spans="2:9" ht="14" thickBot="1" x14ac:dyDescent="0.2">
      <c r="B2400" s="33"/>
      <c r="C2400" s="54"/>
      <c r="D2400" s="21"/>
      <c r="E2400" s="22"/>
      <c r="F2400" s="23"/>
      <c r="G2400" s="47"/>
      <c r="H2400" s="21"/>
      <c r="I2400" s="48"/>
    </row>
    <row r="2401" spans="2:9" ht="14" thickBot="1" x14ac:dyDescent="0.2">
      <c r="B2401" s="1"/>
      <c r="C2401" s="1"/>
      <c r="D2401" s="1"/>
      <c r="E2401" s="1"/>
      <c r="F2401" s="1"/>
      <c r="G2401" s="1"/>
      <c r="H2401" s="37" t="s">
        <v>26</v>
      </c>
      <c r="I2401" s="163">
        <f>SUM(H2399:H2400)</f>
        <v>2227.5000000000005</v>
      </c>
    </row>
    <row r="2402" spans="2:9" ht="14" thickBot="1" x14ac:dyDescent="0.2">
      <c r="B2402" s="28" t="s">
        <v>37</v>
      </c>
      <c r="C2402" s="28"/>
      <c r="D2402" s="1"/>
      <c r="E2402" s="1"/>
      <c r="F2402" s="1"/>
      <c r="G2402" s="1"/>
      <c r="H2402" s="1"/>
      <c r="I2402" s="1"/>
    </row>
    <row r="2403" spans="2:9" x14ac:dyDescent="0.15">
      <c r="B2403" s="51" t="s">
        <v>38</v>
      </c>
      <c r="C2403" s="86"/>
      <c r="D2403" s="31" t="s">
        <v>39</v>
      </c>
      <c r="E2403" s="209" t="s">
        <v>40</v>
      </c>
      <c r="F2403" s="19" t="s">
        <v>41</v>
      </c>
      <c r="G2403" s="31" t="s">
        <v>24</v>
      </c>
      <c r="H2403" s="208" t="s">
        <v>25</v>
      </c>
      <c r="I2403" s="43"/>
    </row>
    <row r="2404" spans="2:9" x14ac:dyDescent="0.15">
      <c r="B2404" s="4" t="s">
        <v>65</v>
      </c>
      <c r="C2404" s="24"/>
      <c r="D2404" s="32">
        <f>'MANO DE OBRA'!E15</f>
        <v>95333</v>
      </c>
      <c r="E2404" s="88">
        <v>1.75</v>
      </c>
      <c r="F2404" s="164">
        <f>+E2404*D2404</f>
        <v>166832.75</v>
      </c>
      <c r="G2404" s="20">
        <v>12</v>
      </c>
      <c r="H2404" s="169">
        <f>+F2404/G2404</f>
        <v>13902.729166666666</v>
      </c>
      <c r="I2404" s="44"/>
    </row>
    <row r="2405" spans="2:9" x14ac:dyDescent="0.15">
      <c r="B2405" s="4" t="s">
        <v>55</v>
      </c>
      <c r="C2405" s="24"/>
      <c r="D2405" s="32">
        <f>'MANO DE OBRA'!E14*2</f>
        <v>104000</v>
      </c>
      <c r="E2405" s="88">
        <v>1.75</v>
      </c>
      <c r="F2405" s="164">
        <f>+E2405*D2405</f>
        <v>182000</v>
      </c>
      <c r="G2405" s="20">
        <v>12</v>
      </c>
      <c r="H2405" s="169">
        <f>+F2405/G2405</f>
        <v>15166.666666666666</v>
      </c>
      <c r="I2405" s="44"/>
    </row>
    <row r="2406" spans="2:9" ht="14" thickBot="1" x14ac:dyDescent="0.2">
      <c r="B2406" s="33"/>
      <c r="C2406" s="34"/>
      <c r="D2406" s="22"/>
      <c r="E2406" s="21"/>
      <c r="F2406" s="22"/>
      <c r="G2406" s="23"/>
      <c r="H2406" s="47"/>
      <c r="I2406" s="48"/>
    </row>
    <row r="2407" spans="2:9" ht="14" thickBot="1" x14ac:dyDescent="0.2">
      <c r="B2407" s="1"/>
      <c r="C2407" s="1"/>
      <c r="D2407" s="1"/>
      <c r="E2407" s="1"/>
      <c r="F2407" s="1"/>
      <c r="G2407" s="1"/>
      <c r="H2407" s="37" t="s">
        <v>26</v>
      </c>
      <c r="I2407" s="177">
        <f>SUM(H2404:H2405)</f>
        <v>29069.395833333332</v>
      </c>
    </row>
    <row r="2408" spans="2:9" ht="14" thickBot="1" x14ac:dyDescent="0.2">
      <c r="B2408" s="1"/>
      <c r="C2408" s="1"/>
      <c r="D2408" s="1"/>
      <c r="E2408" s="1"/>
      <c r="F2408" s="1"/>
      <c r="G2408" s="1"/>
      <c r="H2408" s="61"/>
      <c r="I2408" s="1"/>
    </row>
    <row r="2409" spans="2:9" ht="15" thickBot="1" x14ac:dyDescent="0.2">
      <c r="B2409" s="1"/>
      <c r="C2409" s="1"/>
      <c r="D2409" s="1"/>
      <c r="E2409" s="1"/>
      <c r="F2409" s="35" t="s">
        <v>43</v>
      </c>
      <c r="G2409" s="16"/>
      <c r="H2409" s="16"/>
      <c r="I2409" s="232">
        <f>ROUND((I2389+I2396+I2401+I2407),0)</f>
        <v>114526</v>
      </c>
    </row>
    <row r="2410" spans="2:9" x14ac:dyDescent="0.15">
      <c r="B2410" s="12"/>
      <c r="C2410" s="12"/>
      <c r="D2410" s="1"/>
      <c r="E2410" s="1"/>
      <c r="F2410" s="1"/>
      <c r="G2410" s="1"/>
      <c r="H2410" s="172"/>
      <c r="I2410" s="172"/>
    </row>
    <row r="2411" spans="2:9" x14ac:dyDescent="0.15">
      <c r="B2411" s="16"/>
      <c r="C2411" s="16"/>
      <c r="D2411" s="16"/>
      <c r="E2411" s="16"/>
      <c r="F2411" s="16"/>
      <c r="G2411" s="61"/>
      <c r="H2411" s="173"/>
      <c r="I2411" s="172"/>
    </row>
    <row r="2412" spans="2:9" x14ac:dyDescent="0.15">
      <c r="B2412" s="1"/>
      <c r="C2412" s="1"/>
      <c r="D2412" s="1"/>
      <c r="E2412" s="1"/>
      <c r="F2412" s="1"/>
      <c r="G2412" s="161"/>
      <c r="H2412" s="172"/>
      <c r="I2412" s="172"/>
    </row>
    <row r="2413" spans="2:9" x14ac:dyDescent="0.15">
      <c r="B2413" s="1"/>
      <c r="C2413" s="1"/>
      <c r="D2413" s="1"/>
      <c r="E2413" s="1"/>
      <c r="F2413" s="1"/>
      <c r="G2413" s="161"/>
      <c r="H2413" s="172"/>
      <c r="I2413" s="172"/>
    </row>
    <row r="2414" spans="2:9" x14ac:dyDescent="0.15">
      <c r="B2414" s="1"/>
      <c r="C2414" s="1"/>
      <c r="D2414" s="1"/>
      <c r="E2414" s="1"/>
      <c r="F2414" s="1"/>
      <c r="G2414" s="161"/>
      <c r="H2414" s="172"/>
      <c r="I2414" s="172"/>
    </row>
    <row r="2415" spans="2:9" x14ac:dyDescent="0.15">
      <c r="B2415" s="1"/>
      <c r="C2415" s="1"/>
      <c r="D2415" s="1"/>
      <c r="E2415" s="1"/>
      <c r="F2415" s="1"/>
      <c r="G2415" s="1"/>
      <c r="H2415" s="37"/>
      <c r="I2415" s="172"/>
    </row>
    <row r="2416" spans="2:9" ht="14" x14ac:dyDescent="0.15">
      <c r="B2416" s="102"/>
      <c r="C2416" s="1"/>
      <c r="D2416" s="1"/>
      <c r="E2416" s="1"/>
      <c r="F2416" s="1"/>
      <c r="G2416" s="1"/>
      <c r="H2416" s="1"/>
      <c r="I2416" s="172"/>
    </row>
    <row r="2417" spans="2:10" ht="14" x14ac:dyDescent="0.15">
      <c r="B2417" s="83"/>
      <c r="C2417" s="11"/>
      <c r="D2417" s="1"/>
      <c r="E2417" s="916"/>
      <c r="F2417" s="916"/>
      <c r="G2417" s="916"/>
      <c r="H2417" s="916"/>
      <c r="I2417" s="171"/>
    </row>
    <row r="2418" spans="2:10" ht="14" x14ac:dyDescent="0.15">
      <c r="B2418" s="102"/>
      <c r="C2418" s="11"/>
      <c r="D2418" s="1"/>
      <c r="E2418" s="155"/>
      <c r="F2418" s="155"/>
      <c r="G2418" s="155"/>
      <c r="H2418" s="155"/>
      <c r="I2418" s="171"/>
    </row>
    <row r="2419" spans="2:10" ht="14" x14ac:dyDescent="0.15">
      <c r="B2419" s="83"/>
      <c r="C2419" s="11"/>
      <c r="D2419" s="1"/>
      <c r="E2419" s="155"/>
      <c r="F2419" s="155"/>
      <c r="G2419" s="155"/>
      <c r="H2419" s="155"/>
      <c r="I2419" s="171"/>
    </row>
    <row r="2420" spans="2:10" x14ac:dyDescent="0.15">
      <c r="B2420" s="11"/>
      <c r="C2420" s="11"/>
      <c r="D2420" s="1"/>
      <c r="E2420" s="155"/>
      <c r="F2420" s="155"/>
      <c r="G2420" s="155"/>
      <c r="H2420" s="155"/>
      <c r="I2420" s="171"/>
    </row>
    <row r="2421" spans="2:10" x14ac:dyDescent="0.15">
      <c r="B2421" s="11"/>
      <c r="C2421" s="11"/>
      <c r="D2421" s="1"/>
      <c r="E2421" s="155"/>
      <c r="F2421" s="155"/>
      <c r="G2421" s="155"/>
      <c r="H2421" s="155"/>
      <c r="I2421" s="171"/>
    </row>
    <row r="2422" spans="2:10" x14ac:dyDescent="0.15">
      <c r="B2422" s="11"/>
      <c r="C2422" s="11"/>
      <c r="D2422" s="1"/>
      <c r="E2422" s="155"/>
      <c r="F2422" s="155"/>
      <c r="G2422" s="155"/>
      <c r="H2422" s="155"/>
      <c r="I2422" s="171"/>
    </row>
    <row r="2423" spans="2:10" x14ac:dyDescent="0.15">
      <c r="B2423" s="11"/>
      <c r="C2423" s="11"/>
      <c r="D2423" s="1"/>
      <c r="E2423" s="155"/>
      <c r="F2423" s="155"/>
      <c r="G2423" s="155"/>
      <c r="H2423" s="155"/>
      <c r="I2423" s="171"/>
    </row>
    <row r="2424" spans="2:10" x14ac:dyDescent="0.15">
      <c r="B2424" s="11"/>
      <c r="C2424" s="11"/>
      <c r="D2424" s="1"/>
      <c r="E2424" s="155"/>
      <c r="F2424" s="155"/>
      <c r="G2424" s="155"/>
      <c r="H2424" s="155"/>
      <c r="I2424" s="171"/>
    </row>
    <row r="2425" spans="2:10" x14ac:dyDescent="0.15">
      <c r="B2425" s="11"/>
      <c r="C2425" s="11"/>
      <c r="D2425" s="1"/>
      <c r="E2425" s="155"/>
      <c r="F2425" s="155"/>
      <c r="G2425" s="155"/>
      <c r="H2425" s="155"/>
      <c r="I2425" s="171"/>
    </row>
    <row r="2426" spans="2:10" x14ac:dyDescent="0.15">
      <c r="B2426" s="11"/>
      <c r="C2426" s="11"/>
      <c r="D2426" s="1"/>
      <c r="E2426" s="155"/>
      <c r="F2426" s="155"/>
      <c r="G2426" s="155"/>
      <c r="H2426" s="155"/>
      <c r="I2426" s="171"/>
    </row>
    <row r="2427" spans="2:10" ht="14" x14ac:dyDescent="0.15">
      <c r="B2427" s="102"/>
      <c r="C2427" s="83"/>
      <c r="D2427" s="84"/>
      <c r="E2427" s="83"/>
      <c r="F2427" s="83"/>
      <c r="G2427" s="103"/>
      <c r="H2427" s="83"/>
      <c r="I2427" s="85"/>
      <c r="J2427" s="85"/>
    </row>
    <row r="2428" spans="2:10" ht="14" x14ac:dyDescent="0.15">
      <c r="B2428" s="83"/>
      <c r="C2428" s="83"/>
      <c r="D2428" s="84"/>
      <c r="E2428" s="83"/>
      <c r="F2428" s="83"/>
      <c r="G2428" s="104"/>
      <c r="H2428" s="83"/>
      <c r="I2428" s="85"/>
      <c r="J2428" s="85"/>
    </row>
    <row r="2429" spans="2:10" ht="15" thickBot="1" x14ac:dyDescent="0.2">
      <c r="B2429" s="83"/>
      <c r="C2429" s="83"/>
      <c r="D2429" s="84"/>
      <c r="E2429" s="83"/>
      <c r="F2429" s="83"/>
      <c r="G2429" s="104"/>
      <c r="H2429" s="83"/>
      <c r="I2429" s="85"/>
      <c r="J2429" s="85"/>
    </row>
    <row r="2430" spans="2:10" ht="21" customHeight="1" x14ac:dyDescent="0.15">
      <c r="B2430" s="885" t="s">
        <v>874</v>
      </c>
      <c r="C2430" s="886"/>
      <c r="D2430" s="886"/>
      <c r="E2430" s="886"/>
      <c r="F2430" s="887"/>
      <c r="G2430" s="1"/>
      <c r="H2430" s="912" t="s">
        <v>20</v>
      </c>
      <c r="I2430" s="913"/>
    </row>
    <row r="2431" spans="2:10" ht="16.5" customHeight="1" x14ac:dyDescent="0.15">
      <c r="B2431" s="888" t="s">
        <v>875</v>
      </c>
      <c r="C2431" s="889"/>
      <c r="D2431" s="889"/>
      <c r="E2431" s="889"/>
      <c r="F2431" s="890"/>
      <c r="G2431" s="63"/>
      <c r="H2431" s="943"/>
      <c r="I2431" s="944"/>
    </row>
    <row r="2432" spans="2:10" ht="12.75" customHeight="1" x14ac:dyDescent="0.15">
      <c r="B2432" s="906" t="s">
        <v>876</v>
      </c>
      <c r="C2432" s="907"/>
      <c r="D2432" s="907"/>
      <c r="E2432" s="907"/>
      <c r="F2432" s="908"/>
      <c r="G2432" s="63"/>
      <c r="H2432" s="945" t="s">
        <v>1612</v>
      </c>
      <c r="I2432" s="946"/>
    </row>
    <row r="2433" spans="2:9" ht="16.5" customHeight="1" thickBot="1" x14ac:dyDescent="0.2">
      <c r="B2433" s="909"/>
      <c r="C2433" s="910"/>
      <c r="D2433" s="910"/>
      <c r="E2433" s="910"/>
      <c r="F2433" s="911"/>
      <c r="G2433" s="1"/>
      <c r="H2433" s="945"/>
      <c r="I2433" s="946"/>
    </row>
    <row r="2434" spans="2:9" ht="13.5" customHeight="1" thickBot="1" x14ac:dyDescent="0.2">
      <c r="B2434" s="15"/>
      <c r="C2434" s="16"/>
      <c r="D2434" s="1"/>
      <c r="E2434" s="1"/>
      <c r="F2434" s="1"/>
      <c r="G2434" s="1"/>
      <c r="H2434" s="945"/>
      <c r="I2434" s="946"/>
    </row>
    <row r="2435" spans="2:9" ht="12.75" customHeight="1" x14ac:dyDescent="0.15">
      <c r="B2435" s="922" t="s">
        <v>836</v>
      </c>
      <c r="C2435" s="923"/>
      <c r="D2435" s="923"/>
      <c r="E2435" s="923"/>
      <c r="F2435" s="924"/>
      <c r="G2435" s="1"/>
      <c r="H2435" s="945"/>
      <c r="I2435" s="946"/>
    </row>
    <row r="2436" spans="2:9" ht="12.75" customHeight="1" x14ac:dyDescent="0.15">
      <c r="B2436" s="925"/>
      <c r="C2436" s="926"/>
      <c r="D2436" s="926"/>
      <c r="E2436" s="926"/>
      <c r="F2436" s="927"/>
      <c r="H2436" s="945"/>
      <c r="I2436" s="946"/>
    </row>
    <row r="2437" spans="2:9" ht="13.5" customHeight="1" x14ac:dyDescent="0.15">
      <c r="B2437" s="925"/>
      <c r="C2437" s="926"/>
      <c r="D2437" s="926"/>
      <c r="E2437" s="926"/>
      <c r="F2437" s="927"/>
      <c r="G2437" s="11"/>
      <c r="H2437" s="945"/>
      <c r="I2437" s="946"/>
    </row>
    <row r="2438" spans="2:9" ht="21.75" customHeight="1" thickBot="1" x14ac:dyDescent="0.2">
      <c r="B2438" s="928"/>
      <c r="C2438" s="929"/>
      <c r="D2438" s="929"/>
      <c r="E2438" s="929"/>
      <c r="F2438" s="930"/>
      <c r="H2438" s="64" t="s">
        <v>45</v>
      </c>
      <c r="I2438" s="17" t="s">
        <v>5</v>
      </c>
    </row>
    <row r="2439" spans="2:9" x14ac:dyDescent="0.15">
      <c r="B2439" s="18"/>
      <c r="C2439" s="18"/>
      <c r="D2439" s="1"/>
      <c r="E2439" s="18"/>
      <c r="F2439" s="18"/>
      <c r="G2439" s="18"/>
      <c r="H2439" s="18"/>
      <c r="I2439" s="1"/>
    </row>
    <row r="2440" spans="2:9" ht="14" thickBot="1" x14ac:dyDescent="0.2">
      <c r="B2440" s="12" t="s">
        <v>21</v>
      </c>
      <c r="C2440" s="12"/>
      <c r="D2440" s="1"/>
      <c r="E2440" s="1"/>
      <c r="F2440" s="1"/>
      <c r="G2440" s="1"/>
      <c r="H2440" s="1"/>
      <c r="I2440" s="1"/>
    </row>
    <row r="2441" spans="2:9" x14ac:dyDescent="0.15">
      <c r="B2441" s="903" t="s">
        <v>22</v>
      </c>
      <c r="C2441" s="904"/>
      <c r="D2441" s="905"/>
      <c r="E2441" s="209" t="s">
        <v>23</v>
      </c>
      <c r="F2441" s="19" t="s">
        <v>47</v>
      </c>
      <c r="G2441" s="209" t="s">
        <v>24</v>
      </c>
      <c r="H2441" s="208" t="s">
        <v>25</v>
      </c>
      <c r="I2441" s="43"/>
    </row>
    <row r="2442" spans="2:9" x14ac:dyDescent="0.15">
      <c r="B2442" s="897" t="s">
        <v>56</v>
      </c>
      <c r="C2442" s="898"/>
      <c r="D2442" s="899"/>
      <c r="E2442" s="5"/>
      <c r="F2442" s="162"/>
      <c r="G2442" s="58"/>
      <c r="H2442" s="162">
        <f>I2463*0.05</f>
        <v>1782.0818749999999</v>
      </c>
      <c r="I2442" s="44"/>
    </row>
    <row r="2443" spans="2:9" x14ac:dyDescent="0.15">
      <c r="B2443" s="897" t="s">
        <v>312</v>
      </c>
      <c r="C2443" s="898"/>
      <c r="D2443" s="899"/>
      <c r="E2443" s="5"/>
      <c r="F2443" s="162">
        <f>'HERRAMIENTAS Y EQUIPOS'!C25</f>
        <v>45000</v>
      </c>
      <c r="G2443" s="58">
        <v>20</v>
      </c>
      <c r="H2443" s="162">
        <f>F2443/G2443</f>
        <v>2250</v>
      </c>
      <c r="I2443" s="44"/>
    </row>
    <row r="2444" spans="2:9" ht="14" thickBot="1" x14ac:dyDescent="0.2">
      <c r="B2444" s="900"/>
      <c r="C2444" s="901"/>
      <c r="D2444" s="902"/>
      <c r="E2444" s="21"/>
      <c r="F2444" s="22"/>
      <c r="G2444" s="23"/>
      <c r="H2444" s="47"/>
      <c r="I2444" s="48"/>
    </row>
    <row r="2445" spans="2:9" ht="14" thickBot="1" x14ac:dyDescent="0.2">
      <c r="B2445" s="1"/>
      <c r="C2445" s="1"/>
      <c r="D2445" s="1"/>
      <c r="E2445" s="1"/>
      <c r="F2445" s="1"/>
      <c r="G2445" s="1"/>
      <c r="H2445" s="37" t="s">
        <v>26</v>
      </c>
      <c r="I2445" s="163">
        <f>SUM(H2442:H2444)</f>
        <v>4032.0818749999999</v>
      </c>
    </row>
    <row r="2446" spans="2:9" ht="14" thickBot="1" x14ac:dyDescent="0.2">
      <c r="B2446" s="12" t="s">
        <v>27</v>
      </c>
      <c r="C2446" s="12"/>
      <c r="D2446" s="1"/>
      <c r="E2446" s="1"/>
      <c r="F2446" s="1"/>
      <c r="G2446" s="1"/>
      <c r="H2446" s="1"/>
      <c r="I2446" s="1"/>
    </row>
    <row r="2447" spans="2:9" x14ac:dyDescent="0.15">
      <c r="B2447" s="903" t="s">
        <v>22</v>
      </c>
      <c r="C2447" s="904"/>
      <c r="D2447" s="905"/>
      <c r="E2447" s="209" t="s">
        <v>28</v>
      </c>
      <c r="F2447" s="209" t="s">
        <v>29</v>
      </c>
      <c r="G2447" s="209" t="s">
        <v>30</v>
      </c>
      <c r="H2447" s="208" t="s">
        <v>25</v>
      </c>
      <c r="I2447" s="43"/>
    </row>
    <row r="2448" spans="2:9" x14ac:dyDescent="0.15">
      <c r="B2448" s="4" t="s">
        <v>66</v>
      </c>
      <c r="C2448" s="24"/>
      <c r="D2448" s="6"/>
      <c r="E2448" s="3" t="s">
        <v>58</v>
      </c>
      <c r="F2448" s="166">
        <f>'APU -BASICOS'!H260</f>
        <v>9182</v>
      </c>
      <c r="G2448" s="73">
        <f>(7*1.2*2*1)</f>
        <v>16.8</v>
      </c>
      <c r="H2448" s="165">
        <f>G2448*F2448</f>
        <v>154257.60000000001</v>
      </c>
      <c r="I2448" s="44"/>
    </row>
    <row r="2449" spans="2:13" x14ac:dyDescent="0.15">
      <c r="B2449" s="4" t="s">
        <v>63</v>
      </c>
      <c r="C2449" s="24"/>
      <c r="D2449" s="6"/>
      <c r="E2449" s="3" t="s">
        <v>6</v>
      </c>
      <c r="F2449" s="164">
        <f>'APU -BASICOS'!H96</f>
        <v>555217</v>
      </c>
      <c r="G2449" s="73">
        <f>1*1*0.1</f>
        <v>0.1</v>
      </c>
      <c r="H2449" s="165">
        <f>G2449*F2449</f>
        <v>55521.700000000004</v>
      </c>
      <c r="I2449" s="44"/>
    </row>
    <row r="2450" spans="2:13" ht="14" thickBot="1" x14ac:dyDescent="0.2">
      <c r="B2450" s="25"/>
      <c r="C2450" s="26"/>
      <c r="D2450" s="27"/>
      <c r="E2450" s="21"/>
      <c r="F2450" s="22"/>
      <c r="G2450" s="167"/>
      <c r="H2450" s="47"/>
      <c r="I2450" s="48"/>
      <c r="K2450" s="233"/>
    </row>
    <row r="2451" spans="2:13" ht="14" thickBot="1" x14ac:dyDescent="0.2">
      <c r="B2451" s="1"/>
      <c r="C2451" s="1"/>
      <c r="D2451" s="1"/>
      <c r="E2451" s="1"/>
      <c r="F2451" s="1"/>
      <c r="G2451" s="1"/>
      <c r="H2451" s="37" t="s">
        <v>26</v>
      </c>
      <c r="I2451" s="163">
        <f>SUM(H2448:H2449)</f>
        <v>209779.30000000002</v>
      </c>
    </row>
    <row r="2452" spans="2:13" ht="14" thickBot="1" x14ac:dyDescent="0.2">
      <c r="B2452" s="28" t="s">
        <v>31</v>
      </c>
      <c r="C2452" s="28"/>
      <c r="D2452" s="26"/>
      <c r="E2452" s="1"/>
      <c r="F2452" s="1"/>
      <c r="G2452" s="1"/>
      <c r="H2452" s="1"/>
      <c r="I2452" s="1"/>
    </row>
    <row r="2453" spans="2:13" x14ac:dyDescent="0.15">
      <c r="B2453" s="51" t="s">
        <v>32</v>
      </c>
      <c r="C2453" s="52"/>
      <c r="D2453" s="97" t="s">
        <v>33</v>
      </c>
      <c r="E2453" s="209" t="s">
        <v>34</v>
      </c>
      <c r="F2453" s="209" t="s">
        <v>35</v>
      </c>
      <c r="G2453" s="209" t="s">
        <v>36</v>
      </c>
      <c r="H2453" s="59" t="s">
        <v>25</v>
      </c>
      <c r="I2453" s="43"/>
    </row>
    <row r="2454" spans="2:13" x14ac:dyDescent="0.15">
      <c r="B2454" s="4"/>
      <c r="C2454" s="24"/>
      <c r="D2454" s="60"/>
      <c r="E2454" s="2"/>
      <c r="F2454" s="2"/>
      <c r="G2454" s="162"/>
      <c r="H2454" s="55"/>
      <c r="I2454" s="44"/>
      <c r="K2454" s="106"/>
    </row>
    <row r="2455" spans="2:13" x14ac:dyDescent="0.15">
      <c r="B2455" s="107"/>
      <c r="C2455" s="66"/>
      <c r="D2455" s="67"/>
      <c r="E2455" s="68"/>
      <c r="F2455" s="68"/>
      <c r="G2455" s="69"/>
      <c r="H2455" s="65"/>
      <c r="I2455" s="44"/>
    </row>
    <row r="2456" spans="2:13" ht="14" thickBot="1" x14ac:dyDescent="0.2">
      <c r="B2456" s="33"/>
      <c r="C2456" s="54"/>
      <c r="D2456" s="21"/>
      <c r="E2456" s="22"/>
      <c r="F2456" s="23"/>
      <c r="G2456" s="47"/>
      <c r="H2456" s="21"/>
      <c r="I2456" s="48"/>
    </row>
    <row r="2457" spans="2:13" ht="14" thickBot="1" x14ac:dyDescent="0.2">
      <c r="B2457" s="1"/>
      <c r="C2457" s="1"/>
      <c r="D2457" s="1"/>
      <c r="E2457" s="1"/>
      <c r="F2457" s="1"/>
      <c r="G2457" s="1"/>
      <c r="H2457" s="37" t="s">
        <v>26</v>
      </c>
      <c r="I2457" s="163">
        <f>SUM(H2454:H2456)</f>
        <v>0</v>
      </c>
    </row>
    <row r="2458" spans="2:13" ht="14" thickBot="1" x14ac:dyDescent="0.2">
      <c r="B2458" s="28" t="s">
        <v>37</v>
      </c>
      <c r="C2458" s="28"/>
      <c r="D2458" s="1"/>
      <c r="E2458" s="1"/>
      <c r="F2458" s="1"/>
      <c r="G2458" s="1"/>
      <c r="H2458" s="1"/>
      <c r="I2458" s="1"/>
    </row>
    <row r="2459" spans="2:13" x14ac:dyDescent="0.15">
      <c r="B2459" s="51" t="s">
        <v>38</v>
      </c>
      <c r="C2459" s="86"/>
      <c r="D2459" s="31" t="s">
        <v>39</v>
      </c>
      <c r="E2459" s="209" t="s">
        <v>40</v>
      </c>
      <c r="F2459" s="19" t="s">
        <v>41</v>
      </c>
      <c r="G2459" s="31" t="s">
        <v>24</v>
      </c>
      <c r="H2459" s="208" t="s">
        <v>25</v>
      </c>
      <c r="I2459" s="43"/>
      <c r="K2459" s="106"/>
    </row>
    <row r="2460" spans="2:13" x14ac:dyDescent="0.15">
      <c r="B2460" s="4" t="s">
        <v>65</v>
      </c>
      <c r="C2460" s="24"/>
      <c r="D2460" s="32">
        <f>'MANO DE OBRA'!E15</f>
        <v>95333</v>
      </c>
      <c r="E2460" s="88">
        <v>1.75</v>
      </c>
      <c r="F2460" s="164">
        <f>+E2460*D2460</f>
        <v>166832.75</v>
      </c>
      <c r="G2460" s="20">
        <f>G2443</f>
        <v>20</v>
      </c>
      <c r="H2460" s="169">
        <f>+F2460/G2460</f>
        <v>8341.6375000000007</v>
      </c>
      <c r="I2460" s="44"/>
    </row>
    <row r="2461" spans="2:13" x14ac:dyDescent="0.15">
      <c r="B2461" s="4" t="s">
        <v>94</v>
      </c>
      <c r="C2461" s="24"/>
      <c r="D2461" s="32">
        <f>'MANO DE OBRA'!E14*6</f>
        <v>312000</v>
      </c>
      <c r="E2461" s="88">
        <v>1.75</v>
      </c>
      <c r="F2461" s="164">
        <f>+E2461*D2461</f>
        <v>546000</v>
      </c>
      <c r="G2461" s="20">
        <f>G2443</f>
        <v>20</v>
      </c>
      <c r="H2461" s="169">
        <f>+F2461/G2461</f>
        <v>27300</v>
      </c>
      <c r="I2461" s="44"/>
    </row>
    <row r="2462" spans="2:13" ht="14" thickBot="1" x14ac:dyDescent="0.2">
      <c r="B2462" s="33"/>
      <c r="C2462" s="34"/>
      <c r="D2462" s="22"/>
      <c r="E2462" s="21"/>
      <c r="F2462" s="22"/>
      <c r="G2462" s="23"/>
      <c r="H2462" s="47"/>
      <c r="I2462" s="48"/>
      <c r="K2462" s="106"/>
    </row>
    <row r="2463" spans="2:13" ht="14" thickBot="1" x14ac:dyDescent="0.2">
      <c r="B2463" s="1"/>
      <c r="C2463" s="1"/>
      <c r="D2463" s="1"/>
      <c r="E2463" s="1"/>
      <c r="F2463" s="1"/>
      <c r="G2463" s="1"/>
      <c r="H2463" s="37" t="s">
        <v>26</v>
      </c>
      <c r="I2463" s="177">
        <f>SUM(H2460:H2462)</f>
        <v>35641.637499999997</v>
      </c>
      <c r="K2463" s="233"/>
    </row>
    <row r="2464" spans="2:13" ht="14" thickBot="1" x14ac:dyDescent="0.2">
      <c r="B2464" s="1"/>
      <c r="C2464" s="1"/>
      <c r="D2464" s="1"/>
      <c r="E2464" s="1"/>
      <c r="F2464" s="1"/>
      <c r="G2464" s="1"/>
      <c r="H2464" s="61"/>
      <c r="I2464" s="1"/>
      <c r="L2464" s="106"/>
      <c r="M2464" s="106"/>
    </row>
    <row r="2465" spans="2:13" ht="15" thickBot="1" x14ac:dyDescent="0.2">
      <c r="B2465" s="1"/>
      <c r="C2465" s="1"/>
      <c r="D2465" s="1"/>
      <c r="E2465" s="1"/>
      <c r="F2465" s="35" t="s">
        <v>43</v>
      </c>
      <c r="G2465" s="16"/>
      <c r="H2465" s="16"/>
      <c r="I2465" s="232">
        <f>ROUND((I2445+I2451+I2457+I2463),0)</f>
        <v>249453</v>
      </c>
      <c r="K2465" s="174"/>
    </row>
    <row r="2466" spans="2:13" x14ac:dyDescent="0.15">
      <c r="B2466" s="12"/>
      <c r="C2466" s="12"/>
      <c r="D2466" s="1"/>
      <c r="E2466" s="1"/>
      <c r="F2466" s="1"/>
      <c r="G2466" s="1"/>
      <c r="H2466" s="172"/>
      <c r="I2466" s="172"/>
      <c r="M2466" s="106"/>
    </row>
    <row r="2467" spans="2:13" x14ac:dyDescent="0.15">
      <c r="B2467" s="16"/>
      <c r="C2467" s="16"/>
      <c r="D2467" s="16"/>
      <c r="E2467" s="16"/>
      <c r="F2467" s="16"/>
      <c r="G2467" s="61"/>
      <c r="H2467" s="173"/>
      <c r="I2467" s="172"/>
    </row>
    <row r="2468" spans="2:13" x14ac:dyDescent="0.15">
      <c r="B2468" s="1"/>
      <c r="C2468" s="1"/>
      <c r="D2468" s="1"/>
      <c r="E2468" s="1"/>
      <c r="F2468" s="1"/>
      <c r="G2468" s="161"/>
      <c r="H2468" s="172"/>
      <c r="I2468" s="172"/>
    </row>
    <row r="2469" spans="2:13" x14ac:dyDescent="0.15">
      <c r="B2469" s="1"/>
      <c r="C2469" s="1"/>
      <c r="D2469" s="1"/>
      <c r="E2469" s="1"/>
      <c r="F2469" s="1"/>
      <c r="G2469" s="161"/>
      <c r="H2469" s="172"/>
      <c r="I2469" s="172"/>
    </row>
    <row r="2470" spans="2:13" x14ac:dyDescent="0.15">
      <c r="B2470" s="1"/>
      <c r="C2470" s="1"/>
      <c r="D2470" s="1"/>
      <c r="E2470" s="1"/>
      <c r="F2470" s="1"/>
      <c r="G2470" s="161"/>
      <c r="H2470" s="172"/>
      <c r="I2470" s="172"/>
    </row>
    <row r="2471" spans="2:13" x14ac:dyDescent="0.15">
      <c r="B2471" s="1"/>
      <c r="C2471" s="1"/>
      <c r="D2471" s="1"/>
      <c r="E2471" s="1"/>
      <c r="F2471" s="1"/>
      <c r="G2471" s="1"/>
      <c r="H2471" s="37"/>
      <c r="I2471" s="172"/>
    </row>
    <row r="2472" spans="2:13" ht="14" x14ac:dyDescent="0.15">
      <c r="B2472" s="102"/>
      <c r="C2472" s="1"/>
      <c r="D2472" s="1"/>
      <c r="E2472" s="1"/>
      <c r="F2472" s="1"/>
      <c r="G2472" s="1"/>
      <c r="H2472" s="1"/>
      <c r="I2472" s="172"/>
    </row>
    <row r="2473" spans="2:13" ht="14" x14ac:dyDescent="0.15">
      <c r="B2473" s="83"/>
      <c r="C2473" s="11"/>
      <c r="D2473" s="1"/>
      <c r="E2473" s="916"/>
      <c r="F2473" s="916"/>
      <c r="G2473" s="916"/>
      <c r="H2473" s="916"/>
      <c r="I2473" s="171"/>
    </row>
    <row r="2474" spans="2:13" ht="14" x14ac:dyDescent="0.15">
      <c r="B2474" s="102"/>
      <c r="C2474" s="11"/>
      <c r="D2474" s="1"/>
      <c r="E2474" s="155"/>
      <c r="F2474" s="155"/>
      <c r="G2474" s="155"/>
      <c r="H2474" s="155"/>
      <c r="I2474" s="171"/>
    </row>
    <row r="2475" spans="2:13" ht="14" x14ac:dyDescent="0.15">
      <c r="B2475" s="83"/>
      <c r="C2475" s="11"/>
      <c r="D2475" s="1"/>
      <c r="E2475" s="155"/>
      <c r="F2475" s="155"/>
      <c r="G2475" s="155"/>
      <c r="H2475" s="155"/>
      <c r="I2475" s="171"/>
    </row>
    <row r="2476" spans="2:13" x14ac:dyDescent="0.15">
      <c r="B2476" s="11"/>
      <c r="C2476" s="11"/>
      <c r="D2476" s="1"/>
      <c r="E2476" s="155"/>
      <c r="F2476" s="155"/>
      <c r="G2476" s="155"/>
      <c r="H2476" s="155"/>
      <c r="I2476" s="171"/>
    </row>
    <row r="2477" spans="2:13" x14ac:dyDescent="0.15">
      <c r="B2477" s="11"/>
      <c r="C2477" s="11"/>
      <c r="D2477" s="1"/>
      <c r="E2477" s="155"/>
      <c r="F2477" s="155"/>
      <c r="G2477" s="155"/>
      <c r="H2477" s="155"/>
      <c r="I2477" s="171"/>
    </row>
    <row r="2478" spans="2:13" x14ac:dyDescent="0.15">
      <c r="B2478" s="11"/>
      <c r="C2478" s="11"/>
      <c r="D2478" s="1"/>
      <c r="E2478" s="155"/>
      <c r="F2478" s="155"/>
      <c r="G2478" s="155"/>
      <c r="H2478" s="155"/>
      <c r="I2478" s="171"/>
    </row>
    <row r="2479" spans="2:13" x14ac:dyDescent="0.15">
      <c r="B2479" s="11"/>
      <c r="C2479" s="11"/>
      <c r="D2479" s="1"/>
      <c r="E2479" s="155"/>
      <c r="F2479" s="155"/>
      <c r="G2479" s="155"/>
      <c r="H2479" s="155"/>
      <c r="I2479" s="171"/>
    </row>
    <row r="2480" spans="2:13" x14ac:dyDescent="0.15">
      <c r="B2480" s="11"/>
      <c r="C2480" s="11"/>
      <c r="D2480" s="1"/>
      <c r="E2480" s="155"/>
      <c r="F2480" s="155"/>
      <c r="G2480" s="155"/>
      <c r="H2480" s="155"/>
      <c r="I2480" s="171"/>
    </row>
    <row r="2481" spans="2:10" x14ac:dyDescent="0.15">
      <c r="B2481" s="11"/>
      <c r="C2481" s="11"/>
      <c r="D2481" s="1"/>
      <c r="E2481" s="155"/>
      <c r="F2481" s="155"/>
      <c r="G2481" s="155"/>
      <c r="H2481" s="155"/>
      <c r="I2481" s="171"/>
    </row>
    <row r="2482" spans="2:10" ht="14" x14ac:dyDescent="0.15">
      <c r="B2482" s="102"/>
      <c r="C2482" s="83"/>
      <c r="D2482" s="84"/>
      <c r="E2482" s="83"/>
      <c r="F2482" s="83"/>
      <c r="G2482" s="103"/>
      <c r="H2482" s="83"/>
      <c r="I2482" s="85"/>
      <c r="J2482" s="85"/>
    </row>
    <row r="2483" spans="2:10" ht="14" x14ac:dyDescent="0.15">
      <c r="B2483" s="83"/>
      <c r="C2483" s="83"/>
      <c r="D2483" s="84"/>
      <c r="E2483" s="83"/>
      <c r="F2483" s="83"/>
      <c r="G2483" s="104"/>
      <c r="H2483" s="83"/>
      <c r="I2483" s="85"/>
      <c r="J2483" s="85"/>
    </row>
    <row r="2484" spans="2:10" ht="14" x14ac:dyDescent="0.15">
      <c r="B2484" s="83"/>
      <c r="C2484" s="83"/>
      <c r="D2484" s="84"/>
      <c r="E2484" s="83"/>
      <c r="F2484" s="83"/>
      <c r="G2484" s="104"/>
      <c r="H2484" s="83"/>
      <c r="I2484" s="85"/>
      <c r="J2484" s="85"/>
    </row>
    <row r="2485" spans="2:10" ht="14" thickBot="1" x14ac:dyDescent="0.2">
      <c r="B2485" s="11"/>
      <c r="C2485" s="11"/>
      <c r="D2485" s="1"/>
      <c r="E2485" s="155"/>
      <c r="F2485" s="155"/>
      <c r="G2485" s="155"/>
      <c r="H2485" s="155"/>
      <c r="I2485" s="171"/>
    </row>
    <row r="2486" spans="2:10" ht="21" customHeight="1" x14ac:dyDescent="0.15">
      <c r="B2486" s="885" t="s">
        <v>874</v>
      </c>
      <c r="C2486" s="886"/>
      <c r="D2486" s="886"/>
      <c r="E2486" s="886"/>
      <c r="F2486" s="887"/>
      <c r="G2486" s="1"/>
      <c r="H2486" s="879" t="s">
        <v>20</v>
      </c>
      <c r="I2486" s="880"/>
    </row>
    <row r="2487" spans="2:10" ht="16.5" customHeight="1" x14ac:dyDescent="0.15">
      <c r="B2487" s="888" t="s">
        <v>875</v>
      </c>
      <c r="C2487" s="889"/>
      <c r="D2487" s="889"/>
      <c r="E2487" s="889"/>
      <c r="F2487" s="890"/>
      <c r="G2487" s="63"/>
      <c r="H2487" s="881"/>
      <c r="I2487" s="882"/>
    </row>
    <row r="2488" spans="2:10" ht="12.75" customHeight="1" x14ac:dyDescent="0.15">
      <c r="B2488" s="906" t="s">
        <v>876</v>
      </c>
      <c r="C2488" s="907"/>
      <c r="D2488" s="907"/>
      <c r="E2488" s="907"/>
      <c r="F2488" s="908"/>
      <c r="G2488" s="63"/>
      <c r="H2488" s="883"/>
      <c r="I2488" s="884"/>
    </row>
    <row r="2489" spans="2:10" ht="16.5" customHeight="1" thickBot="1" x14ac:dyDescent="0.2">
      <c r="B2489" s="909"/>
      <c r="C2489" s="910"/>
      <c r="D2489" s="910"/>
      <c r="E2489" s="910"/>
      <c r="F2489" s="911"/>
      <c r="G2489" s="1"/>
      <c r="H2489" s="956" t="s">
        <v>170</v>
      </c>
      <c r="I2489" s="957"/>
    </row>
    <row r="2490" spans="2:10" ht="14" thickBot="1" x14ac:dyDescent="0.2">
      <c r="B2490" s="15"/>
      <c r="C2490" s="16"/>
      <c r="D2490" s="1"/>
      <c r="E2490" s="1"/>
      <c r="F2490" s="1"/>
      <c r="G2490" s="1"/>
      <c r="H2490" s="958"/>
      <c r="I2490" s="959"/>
    </row>
    <row r="2491" spans="2:10" ht="12.75" customHeight="1" x14ac:dyDescent="0.15">
      <c r="B2491" s="922" t="s">
        <v>836</v>
      </c>
      <c r="C2491" s="923"/>
      <c r="D2491" s="923"/>
      <c r="E2491" s="923"/>
      <c r="F2491" s="924"/>
      <c r="G2491" s="1"/>
      <c r="H2491" s="958"/>
      <c r="I2491" s="959"/>
    </row>
    <row r="2492" spans="2:10" ht="12.75" customHeight="1" x14ac:dyDescent="0.15">
      <c r="B2492" s="925"/>
      <c r="C2492" s="926"/>
      <c r="D2492" s="926"/>
      <c r="E2492" s="926"/>
      <c r="F2492" s="927"/>
      <c r="H2492" s="958"/>
      <c r="I2492" s="959"/>
    </row>
    <row r="2493" spans="2:10" ht="13.5" customHeight="1" x14ac:dyDescent="0.15">
      <c r="B2493" s="925"/>
      <c r="C2493" s="926"/>
      <c r="D2493" s="926"/>
      <c r="E2493" s="926"/>
      <c r="F2493" s="927"/>
      <c r="G2493" s="11"/>
      <c r="H2493" s="960"/>
      <c r="I2493" s="961"/>
    </row>
    <row r="2494" spans="2:10" ht="21.75" customHeight="1" thickBot="1" x14ac:dyDescent="0.2">
      <c r="B2494" s="928"/>
      <c r="C2494" s="929"/>
      <c r="D2494" s="929"/>
      <c r="E2494" s="929"/>
      <c r="F2494" s="930"/>
      <c r="H2494" s="64" t="s">
        <v>45</v>
      </c>
      <c r="I2494" s="17" t="s">
        <v>5</v>
      </c>
    </row>
    <row r="2495" spans="2:10" x14ac:dyDescent="0.15">
      <c r="B2495" s="18"/>
      <c r="C2495" s="18"/>
      <c r="D2495" s="1"/>
      <c r="E2495" s="18"/>
      <c r="F2495" s="18"/>
      <c r="G2495" s="18"/>
      <c r="H2495" s="18"/>
      <c r="I2495" s="1"/>
    </row>
    <row r="2496" spans="2:10" ht="14" thickBot="1" x14ac:dyDescent="0.2">
      <c r="B2496" s="12" t="s">
        <v>21</v>
      </c>
      <c r="C2496" s="12"/>
      <c r="D2496" s="1"/>
      <c r="E2496" s="1"/>
      <c r="F2496" s="1"/>
      <c r="G2496" s="1"/>
      <c r="H2496" s="1"/>
      <c r="I2496" s="1"/>
    </row>
    <row r="2497" spans="2:9" x14ac:dyDescent="0.15">
      <c r="B2497" s="903" t="s">
        <v>22</v>
      </c>
      <c r="C2497" s="904"/>
      <c r="D2497" s="905"/>
      <c r="E2497" s="209" t="s">
        <v>23</v>
      </c>
      <c r="F2497" s="19" t="s">
        <v>47</v>
      </c>
      <c r="G2497" s="209" t="s">
        <v>24</v>
      </c>
      <c r="H2497" s="208" t="s">
        <v>25</v>
      </c>
      <c r="I2497" s="43"/>
    </row>
    <row r="2498" spans="2:9" x14ac:dyDescent="0.15">
      <c r="B2498" s="897" t="s">
        <v>56</v>
      </c>
      <c r="C2498" s="898"/>
      <c r="D2498" s="899"/>
      <c r="E2498" s="5"/>
      <c r="F2498" s="162"/>
      <c r="G2498" s="58"/>
      <c r="H2498" s="162">
        <f>I2518*0.05</f>
        <v>968.97986111111118</v>
      </c>
      <c r="I2498" s="44"/>
    </row>
    <row r="2499" spans="2:9" x14ac:dyDescent="0.15">
      <c r="B2499" s="897"/>
      <c r="C2499" s="898"/>
      <c r="D2499" s="899"/>
      <c r="E2499" s="5"/>
      <c r="F2499" s="46"/>
      <c r="G2499" s="20"/>
      <c r="H2499" s="56"/>
      <c r="I2499" s="44"/>
    </row>
    <row r="2500" spans="2:9" ht="14" thickBot="1" x14ac:dyDescent="0.2">
      <c r="B2500" s="900"/>
      <c r="C2500" s="901"/>
      <c r="D2500" s="902"/>
      <c r="E2500" s="21"/>
      <c r="F2500" s="22"/>
      <c r="G2500" s="23"/>
      <c r="H2500" s="47"/>
      <c r="I2500" s="48"/>
    </row>
    <row r="2501" spans="2:9" ht="14" thickBot="1" x14ac:dyDescent="0.2">
      <c r="B2501" s="1"/>
      <c r="C2501" s="1"/>
      <c r="D2501" s="1"/>
      <c r="E2501" s="1"/>
      <c r="F2501" s="1"/>
      <c r="G2501" s="1"/>
      <c r="H2501" s="37" t="s">
        <v>26</v>
      </c>
      <c r="I2501" s="163">
        <f>SUM(H2498:H2500)</f>
        <v>968.97986111111118</v>
      </c>
    </row>
    <row r="2502" spans="2:9" ht="14" thickBot="1" x14ac:dyDescent="0.2">
      <c r="B2502" s="12" t="s">
        <v>27</v>
      </c>
      <c r="C2502" s="12"/>
      <c r="D2502" s="1"/>
      <c r="E2502" s="1"/>
      <c r="F2502" s="1"/>
      <c r="G2502" s="1"/>
      <c r="H2502" s="1"/>
      <c r="I2502" s="1"/>
    </row>
    <row r="2503" spans="2:9" x14ac:dyDescent="0.15">
      <c r="B2503" s="903" t="s">
        <v>22</v>
      </c>
      <c r="C2503" s="904"/>
      <c r="D2503" s="905"/>
      <c r="E2503" s="209" t="s">
        <v>28</v>
      </c>
      <c r="F2503" s="209" t="s">
        <v>29</v>
      </c>
      <c r="G2503" s="209" t="s">
        <v>30</v>
      </c>
      <c r="H2503" s="208" t="s">
        <v>25</v>
      </c>
      <c r="I2503" s="43"/>
    </row>
    <row r="2504" spans="2:9" x14ac:dyDescent="0.15">
      <c r="B2504" s="4" t="s">
        <v>171</v>
      </c>
      <c r="C2504" s="24"/>
      <c r="D2504" s="6"/>
      <c r="E2504" s="3" t="s">
        <v>319</v>
      </c>
      <c r="F2504" s="166">
        <f>MATERIALES!F40</f>
        <v>1755.0000000000002</v>
      </c>
      <c r="G2504" s="73">
        <v>12.5</v>
      </c>
      <c r="H2504" s="165">
        <f>G2504*F2504</f>
        <v>21937.500000000004</v>
      </c>
      <c r="I2504" s="44"/>
    </row>
    <row r="2505" spans="2:9" x14ac:dyDescent="0.15">
      <c r="B2505" s="4" t="s">
        <v>68</v>
      </c>
      <c r="C2505" s="24"/>
      <c r="D2505" s="6"/>
      <c r="E2505" s="3" t="s">
        <v>6</v>
      </c>
      <c r="F2505" s="166">
        <f>'APU -BASICOS'!H153</f>
        <v>643337</v>
      </c>
      <c r="G2505" s="100">
        <v>0.02</v>
      </c>
      <c r="H2505" s="165">
        <f>G2505*F2505</f>
        <v>12866.74</v>
      </c>
      <c r="I2505" s="44"/>
    </row>
    <row r="2506" spans="2:9" ht="14" thickBot="1" x14ac:dyDescent="0.2">
      <c r="B2506" s="25"/>
      <c r="C2506" s="26"/>
      <c r="D2506" s="27"/>
      <c r="E2506" s="21"/>
      <c r="F2506" s="22"/>
      <c r="G2506" s="167"/>
      <c r="H2506" s="47"/>
      <c r="I2506" s="48"/>
    </row>
    <row r="2507" spans="2:9" ht="14" thickBot="1" x14ac:dyDescent="0.2">
      <c r="B2507" s="1"/>
      <c r="C2507" s="1"/>
      <c r="D2507" s="1"/>
      <c r="E2507" s="1"/>
      <c r="F2507" s="1"/>
      <c r="G2507" s="1"/>
      <c r="H2507" s="37" t="s">
        <v>26</v>
      </c>
      <c r="I2507" s="163">
        <f>SUM(H2504:H2506)</f>
        <v>34804.240000000005</v>
      </c>
    </row>
    <row r="2508" spans="2:9" ht="14" thickBot="1" x14ac:dyDescent="0.2">
      <c r="B2508" s="28" t="s">
        <v>31</v>
      </c>
      <c r="C2508" s="28"/>
      <c r="D2508" s="26"/>
      <c r="E2508" s="1"/>
      <c r="F2508" s="1"/>
      <c r="G2508" s="1"/>
      <c r="H2508" s="1"/>
      <c r="I2508" s="1"/>
    </row>
    <row r="2509" spans="2:9" x14ac:dyDescent="0.15">
      <c r="B2509" s="51" t="s">
        <v>32</v>
      </c>
      <c r="C2509" s="52"/>
      <c r="D2509" s="97" t="s">
        <v>33</v>
      </c>
      <c r="E2509" s="209" t="s">
        <v>34</v>
      </c>
      <c r="F2509" s="209" t="s">
        <v>35</v>
      </c>
      <c r="G2509" s="209" t="s">
        <v>36</v>
      </c>
      <c r="H2509" s="59" t="s">
        <v>25</v>
      </c>
      <c r="I2509" s="43"/>
    </row>
    <row r="2510" spans="2:9" x14ac:dyDescent="0.15">
      <c r="B2510" s="4" t="s">
        <v>79</v>
      </c>
      <c r="C2510" s="6"/>
      <c r="D2510" s="53">
        <v>0.09</v>
      </c>
      <c r="E2510" s="2">
        <v>15</v>
      </c>
      <c r="F2510" s="2">
        <f>E2510*D2510</f>
        <v>1.3499999999999999</v>
      </c>
      <c r="G2510" s="162">
        <v>1100</v>
      </c>
      <c r="H2510" s="20">
        <f>G2510*F2510</f>
        <v>1484.9999999999998</v>
      </c>
      <c r="I2510" s="44"/>
    </row>
    <row r="2511" spans="2:9" ht="14" thickBot="1" x14ac:dyDescent="0.2">
      <c r="B2511" s="33"/>
      <c r="C2511" s="54"/>
      <c r="D2511" s="21"/>
      <c r="E2511" s="22"/>
      <c r="F2511" s="23"/>
      <c r="G2511" s="47"/>
      <c r="H2511" s="21"/>
      <c r="I2511" s="48"/>
    </row>
    <row r="2512" spans="2:9" ht="14" thickBot="1" x14ac:dyDescent="0.2">
      <c r="B2512" s="1"/>
      <c r="C2512" s="1"/>
      <c r="D2512" s="1"/>
      <c r="E2512" s="1"/>
      <c r="F2512" s="1"/>
      <c r="G2512" s="1"/>
      <c r="H2512" s="37" t="s">
        <v>26</v>
      </c>
      <c r="I2512" s="163">
        <f>SUM(H2510:H2511)</f>
        <v>1484.9999999999998</v>
      </c>
    </row>
    <row r="2513" spans="2:11" ht="14" thickBot="1" x14ac:dyDescent="0.2">
      <c r="B2513" s="28" t="s">
        <v>37</v>
      </c>
      <c r="C2513" s="28"/>
      <c r="D2513" s="1"/>
      <c r="E2513" s="1"/>
      <c r="F2513" s="1"/>
      <c r="G2513" s="1"/>
      <c r="H2513" s="1"/>
      <c r="I2513" s="1"/>
    </row>
    <row r="2514" spans="2:11" x14ac:dyDescent="0.15">
      <c r="B2514" s="51" t="s">
        <v>38</v>
      </c>
      <c r="C2514" s="86"/>
      <c r="D2514" s="31" t="s">
        <v>39</v>
      </c>
      <c r="E2514" s="209" t="s">
        <v>40</v>
      </c>
      <c r="F2514" s="19" t="s">
        <v>41</v>
      </c>
      <c r="G2514" s="31" t="s">
        <v>24</v>
      </c>
      <c r="H2514" s="208" t="s">
        <v>25</v>
      </c>
      <c r="I2514" s="43"/>
    </row>
    <row r="2515" spans="2:11" x14ac:dyDescent="0.15">
      <c r="B2515" s="4" t="s">
        <v>65</v>
      </c>
      <c r="C2515" s="24"/>
      <c r="D2515" s="32">
        <f>'MANO DE OBRA'!E15</f>
        <v>95333</v>
      </c>
      <c r="E2515" s="88">
        <v>1.75</v>
      </c>
      <c r="F2515" s="164">
        <f>+E2515*D2515</f>
        <v>166832.75</v>
      </c>
      <c r="G2515" s="79">
        <v>18</v>
      </c>
      <c r="H2515" s="169">
        <f>+F2515/G2515</f>
        <v>9268.4861111111113</v>
      </c>
      <c r="I2515" s="44"/>
    </row>
    <row r="2516" spans="2:11" x14ac:dyDescent="0.15">
      <c r="B2516" s="4" t="s">
        <v>55</v>
      </c>
      <c r="C2516" s="24"/>
      <c r="D2516" s="32">
        <f>'MANO DE OBRA'!E14*2</f>
        <v>104000</v>
      </c>
      <c r="E2516" s="88">
        <v>1.75</v>
      </c>
      <c r="F2516" s="164">
        <f>+E2516*D2516</f>
        <v>182000</v>
      </c>
      <c r="G2516" s="79">
        <v>18</v>
      </c>
      <c r="H2516" s="169">
        <f>+F2516/G2516</f>
        <v>10111.111111111111</v>
      </c>
      <c r="I2516" s="44"/>
    </row>
    <row r="2517" spans="2:11" ht="14" thickBot="1" x14ac:dyDescent="0.2">
      <c r="B2517" s="33"/>
      <c r="C2517" s="34"/>
      <c r="D2517" s="22"/>
      <c r="E2517" s="21"/>
      <c r="F2517" s="22"/>
      <c r="G2517" s="23"/>
      <c r="H2517" s="47"/>
      <c r="I2517" s="48"/>
      <c r="K2517" s="106"/>
    </row>
    <row r="2518" spans="2:11" ht="14" thickBot="1" x14ac:dyDescent="0.2">
      <c r="B2518" s="1"/>
      <c r="C2518" s="1"/>
      <c r="D2518" s="1"/>
      <c r="E2518" s="1"/>
      <c r="F2518" s="1"/>
      <c r="G2518" s="1"/>
      <c r="H2518" s="37" t="s">
        <v>26</v>
      </c>
      <c r="I2518" s="177">
        <f>SUM(H2515:H2517)</f>
        <v>19379.597222222223</v>
      </c>
    </row>
    <row r="2519" spans="2:11" ht="14" thickBot="1" x14ac:dyDescent="0.2">
      <c r="B2519" s="1"/>
      <c r="C2519" s="1"/>
      <c r="D2519" s="1"/>
      <c r="E2519" s="1"/>
      <c r="F2519" s="1"/>
      <c r="G2519" s="1"/>
      <c r="H2519" s="61"/>
      <c r="I2519" s="1"/>
    </row>
    <row r="2520" spans="2:11" ht="15" thickBot="1" x14ac:dyDescent="0.2">
      <c r="B2520" s="1"/>
      <c r="C2520" s="1"/>
      <c r="D2520" s="1"/>
      <c r="E2520" s="1"/>
      <c r="F2520" s="35" t="s">
        <v>43</v>
      </c>
      <c r="G2520" s="16"/>
      <c r="H2520" s="16"/>
      <c r="I2520" s="232">
        <f>ROUND((I2501+I2507+I2512+I2518),0)</f>
        <v>56638</v>
      </c>
      <c r="K2520" s="106"/>
    </row>
    <row r="2521" spans="2:11" x14ac:dyDescent="0.15">
      <c r="B2521" s="12"/>
      <c r="C2521" s="12"/>
      <c r="D2521" s="1"/>
      <c r="E2521" s="1"/>
      <c r="F2521" s="1"/>
      <c r="G2521" s="1"/>
      <c r="H2521" s="172"/>
      <c r="I2521" s="172"/>
    </row>
    <row r="2522" spans="2:11" x14ac:dyDescent="0.15">
      <c r="B2522" s="16"/>
      <c r="C2522" s="16"/>
      <c r="D2522" s="16"/>
      <c r="E2522" s="16"/>
      <c r="F2522" s="16"/>
      <c r="G2522" s="61"/>
      <c r="H2522" s="173"/>
      <c r="I2522" s="172"/>
    </row>
    <row r="2523" spans="2:11" x14ac:dyDescent="0.15">
      <c r="B2523" s="1"/>
      <c r="C2523" s="1"/>
      <c r="D2523" s="1"/>
      <c r="E2523" s="1"/>
      <c r="F2523" s="1"/>
      <c r="G2523" s="161"/>
      <c r="H2523" s="172"/>
      <c r="I2523" s="172"/>
    </row>
    <row r="2524" spans="2:11" x14ac:dyDescent="0.15">
      <c r="B2524" s="1"/>
      <c r="C2524" s="1"/>
      <c r="D2524" s="1"/>
      <c r="E2524" s="1"/>
      <c r="F2524" s="1"/>
      <c r="G2524" s="161"/>
      <c r="H2524" s="172"/>
      <c r="I2524" s="172"/>
    </row>
    <row r="2525" spans="2:11" x14ac:dyDescent="0.15">
      <c r="B2525" s="1"/>
      <c r="C2525" s="1"/>
      <c r="D2525" s="1"/>
      <c r="E2525" s="1"/>
      <c r="F2525" s="1"/>
      <c r="G2525" s="161"/>
      <c r="H2525" s="172"/>
      <c r="I2525" s="172"/>
    </row>
    <row r="2526" spans="2:11" x14ac:dyDescent="0.15">
      <c r="B2526" s="1"/>
      <c r="C2526" s="1"/>
      <c r="D2526" s="1"/>
      <c r="E2526" s="1"/>
      <c r="F2526" s="1"/>
      <c r="G2526" s="1"/>
      <c r="H2526" s="37"/>
      <c r="I2526" s="172"/>
    </row>
    <row r="2527" spans="2:11" ht="14" x14ac:dyDescent="0.15">
      <c r="B2527" s="102"/>
      <c r="C2527" s="1"/>
      <c r="D2527" s="1"/>
      <c r="E2527" s="1"/>
      <c r="F2527" s="1"/>
      <c r="G2527" s="1"/>
      <c r="H2527" s="1"/>
      <c r="I2527" s="172"/>
    </row>
    <row r="2528" spans="2:11" ht="14" x14ac:dyDescent="0.15">
      <c r="B2528" s="83"/>
      <c r="C2528" s="11"/>
      <c r="D2528" s="1"/>
      <c r="E2528" s="916"/>
      <c r="F2528" s="916"/>
      <c r="G2528" s="916"/>
      <c r="H2528" s="916"/>
      <c r="I2528" s="171"/>
    </row>
    <row r="2529" spans="2:10" ht="14" x14ac:dyDescent="0.15">
      <c r="B2529" s="102"/>
      <c r="C2529" s="11"/>
      <c r="D2529" s="1"/>
      <c r="E2529" s="155"/>
      <c r="F2529" s="155"/>
      <c r="G2529" s="155"/>
      <c r="H2529" s="155"/>
      <c r="I2529" s="171"/>
    </row>
    <row r="2530" spans="2:10" ht="14" x14ac:dyDescent="0.15">
      <c r="B2530" s="83"/>
      <c r="C2530" s="11"/>
      <c r="D2530" s="1"/>
      <c r="E2530" s="155"/>
      <c r="F2530" s="155"/>
      <c r="G2530" s="155"/>
      <c r="H2530" s="155"/>
      <c r="I2530" s="171"/>
    </row>
    <row r="2531" spans="2:10" x14ac:dyDescent="0.15">
      <c r="B2531" s="11"/>
      <c r="C2531" s="11"/>
      <c r="D2531" s="1"/>
      <c r="E2531" s="155"/>
      <c r="F2531" s="155"/>
      <c r="G2531" s="155"/>
      <c r="H2531" s="155"/>
      <c r="I2531" s="171"/>
    </row>
    <row r="2532" spans="2:10" x14ac:dyDescent="0.15">
      <c r="B2532" s="11"/>
      <c r="C2532" s="11"/>
      <c r="D2532" s="1"/>
      <c r="E2532" s="155"/>
      <c r="F2532" s="155"/>
      <c r="G2532" s="155"/>
      <c r="H2532" s="155"/>
      <c r="I2532" s="171"/>
    </row>
    <row r="2533" spans="2:10" x14ac:dyDescent="0.15">
      <c r="B2533" s="11"/>
      <c r="C2533" s="11"/>
      <c r="D2533" s="1"/>
      <c r="E2533" s="155"/>
      <c r="F2533" s="155"/>
      <c r="G2533" s="155"/>
      <c r="H2533" s="155"/>
      <c r="I2533" s="171"/>
    </row>
    <row r="2534" spans="2:10" x14ac:dyDescent="0.15">
      <c r="B2534" s="11"/>
      <c r="C2534" s="11"/>
      <c r="D2534" s="1"/>
      <c r="E2534" s="155"/>
      <c r="F2534" s="155"/>
      <c r="G2534" s="155"/>
      <c r="H2534" s="155"/>
      <c r="I2534" s="171"/>
    </row>
    <row r="2535" spans="2:10" x14ac:dyDescent="0.15">
      <c r="B2535" s="11"/>
      <c r="C2535" s="11"/>
      <c r="D2535" s="1"/>
      <c r="E2535" s="155"/>
      <c r="F2535" s="155"/>
      <c r="G2535" s="155"/>
      <c r="H2535" s="155"/>
      <c r="I2535" s="171"/>
    </row>
    <row r="2536" spans="2:10" x14ac:dyDescent="0.15">
      <c r="B2536" s="11"/>
      <c r="C2536" s="11"/>
      <c r="D2536" s="11"/>
      <c r="E2536" s="11"/>
      <c r="F2536" s="11"/>
      <c r="G2536" s="11"/>
      <c r="H2536" s="11"/>
      <c r="I2536" s="11"/>
    </row>
    <row r="2537" spans="2:10" x14ac:dyDescent="0.15">
      <c r="B2537" s="11"/>
      <c r="C2537" s="11"/>
      <c r="D2537" s="11"/>
      <c r="E2537" s="11"/>
      <c r="F2537" s="11"/>
      <c r="G2537" s="11"/>
      <c r="H2537" s="11"/>
      <c r="I2537" s="11"/>
    </row>
    <row r="2538" spans="2:10" ht="14" x14ac:dyDescent="0.15">
      <c r="B2538" s="102"/>
      <c r="C2538" s="83"/>
      <c r="D2538" s="84"/>
      <c r="E2538" s="83"/>
      <c r="F2538" s="83"/>
      <c r="G2538" s="103"/>
      <c r="H2538" s="83"/>
      <c r="I2538" s="85"/>
      <c r="J2538" s="85"/>
    </row>
    <row r="2539" spans="2:10" ht="14" x14ac:dyDescent="0.15">
      <c r="B2539" s="83"/>
      <c r="C2539" s="83"/>
      <c r="D2539" s="84"/>
      <c r="E2539" s="83"/>
      <c r="F2539" s="83"/>
      <c r="G2539" s="104"/>
      <c r="H2539" s="83"/>
      <c r="I2539" s="85"/>
      <c r="J2539" s="85"/>
    </row>
    <row r="2540" spans="2:10" x14ac:dyDescent="0.15">
      <c r="B2540" s="11"/>
      <c r="C2540" s="11"/>
      <c r="D2540" s="1"/>
      <c r="E2540" s="155"/>
      <c r="F2540" s="155"/>
      <c r="G2540" s="155"/>
      <c r="H2540" s="155"/>
      <c r="I2540" s="171"/>
    </row>
    <row r="2541" spans="2:10" ht="14" thickBot="1" x14ac:dyDescent="0.2"/>
    <row r="2542" spans="2:10" ht="21" customHeight="1" x14ac:dyDescent="0.15">
      <c r="B2542" s="885" t="s">
        <v>874</v>
      </c>
      <c r="C2542" s="886"/>
      <c r="D2542" s="886"/>
      <c r="E2542" s="886"/>
      <c r="F2542" s="887"/>
      <c r="G2542" s="1"/>
      <c r="H2542" s="912" t="s">
        <v>20</v>
      </c>
      <c r="I2542" s="913"/>
    </row>
    <row r="2543" spans="2:10" ht="16.5" customHeight="1" x14ac:dyDescent="0.15">
      <c r="B2543" s="888" t="s">
        <v>875</v>
      </c>
      <c r="C2543" s="889"/>
      <c r="D2543" s="889"/>
      <c r="E2543" s="889"/>
      <c r="F2543" s="890"/>
      <c r="G2543" s="63"/>
      <c r="H2543" s="943"/>
      <c r="I2543" s="944"/>
    </row>
    <row r="2544" spans="2:10" ht="12.75" customHeight="1" x14ac:dyDescent="0.15">
      <c r="B2544" s="906" t="s">
        <v>876</v>
      </c>
      <c r="C2544" s="907"/>
      <c r="D2544" s="907"/>
      <c r="E2544" s="907"/>
      <c r="F2544" s="908"/>
      <c r="G2544" s="63"/>
      <c r="H2544" s="891" t="s">
        <v>1099</v>
      </c>
      <c r="I2544" s="978"/>
    </row>
    <row r="2545" spans="2:9" ht="16.5" customHeight="1" thickBot="1" x14ac:dyDescent="0.2">
      <c r="B2545" s="909"/>
      <c r="C2545" s="910"/>
      <c r="D2545" s="910"/>
      <c r="E2545" s="910"/>
      <c r="F2545" s="911"/>
      <c r="G2545" s="1"/>
      <c r="H2545" s="964"/>
      <c r="I2545" s="965"/>
    </row>
    <row r="2546" spans="2:9" ht="14" thickBot="1" x14ac:dyDescent="0.2">
      <c r="B2546" s="15"/>
      <c r="C2546" s="16"/>
      <c r="D2546" s="1"/>
      <c r="E2546" s="1"/>
      <c r="F2546" s="1"/>
      <c r="G2546" s="1"/>
      <c r="H2546" s="964"/>
      <c r="I2546" s="965"/>
    </row>
    <row r="2547" spans="2:9" ht="12.75" customHeight="1" x14ac:dyDescent="0.15">
      <c r="B2547" s="922" t="s">
        <v>836</v>
      </c>
      <c r="C2547" s="923"/>
      <c r="D2547" s="923"/>
      <c r="E2547" s="923"/>
      <c r="F2547" s="924"/>
      <c r="G2547" s="1"/>
      <c r="H2547" s="964"/>
      <c r="I2547" s="965"/>
    </row>
    <row r="2548" spans="2:9" ht="12.75" customHeight="1" x14ac:dyDescent="0.15">
      <c r="B2548" s="925"/>
      <c r="C2548" s="926"/>
      <c r="D2548" s="926"/>
      <c r="E2548" s="926"/>
      <c r="F2548" s="927"/>
      <c r="H2548" s="964"/>
      <c r="I2548" s="965"/>
    </row>
    <row r="2549" spans="2:9" ht="13.5" customHeight="1" x14ac:dyDescent="0.15">
      <c r="B2549" s="925"/>
      <c r="C2549" s="926"/>
      <c r="D2549" s="926"/>
      <c r="E2549" s="926"/>
      <c r="F2549" s="927"/>
      <c r="G2549" s="11"/>
      <c r="H2549" s="979"/>
      <c r="I2549" s="980"/>
    </row>
    <row r="2550" spans="2:9" ht="21.75" customHeight="1" thickBot="1" x14ac:dyDescent="0.2">
      <c r="B2550" s="928"/>
      <c r="C2550" s="929"/>
      <c r="D2550" s="929"/>
      <c r="E2550" s="929"/>
      <c r="F2550" s="930"/>
      <c r="H2550" s="64" t="s">
        <v>45</v>
      </c>
      <c r="I2550" s="17" t="s">
        <v>5</v>
      </c>
    </row>
    <row r="2551" spans="2:9" x14ac:dyDescent="0.15">
      <c r="B2551" s="18"/>
      <c r="C2551" s="18"/>
      <c r="D2551" s="1"/>
      <c r="E2551" s="18"/>
      <c r="F2551" s="18"/>
      <c r="G2551" s="18"/>
      <c r="H2551" s="18"/>
      <c r="I2551" s="1"/>
    </row>
    <row r="2552" spans="2:9" ht="14" thickBot="1" x14ac:dyDescent="0.2">
      <c r="B2552" s="12" t="s">
        <v>21</v>
      </c>
      <c r="C2552" s="12"/>
      <c r="D2552" s="1"/>
      <c r="E2552" s="1"/>
      <c r="F2552" s="1"/>
      <c r="G2552" s="1"/>
      <c r="H2552" s="1"/>
      <c r="I2552" s="1"/>
    </row>
    <row r="2553" spans="2:9" x14ac:dyDescent="0.15">
      <c r="B2553" s="903" t="s">
        <v>22</v>
      </c>
      <c r="C2553" s="904"/>
      <c r="D2553" s="905"/>
      <c r="E2553" s="209" t="s">
        <v>23</v>
      </c>
      <c r="F2553" s="19" t="s">
        <v>47</v>
      </c>
      <c r="G2553" s="209" t="s">
        <v>24</v>
      </c>
      <c r="H2553" s="208" t="s">
        <v>25</v>
      </c>
      <c r="I2553" s="43"/>
    </row>
    <row r="2554" spans="2:9" x14ac:dyDescent="0.15">
      <c r="B2554" s="897" t="s">
        <v>56</v>
      </c>
      <c r="C2554" s="898"/>
      <c r="D2554" s="899"/>
      <c r="E2554" s="5"/>
      <c r="F2554" s="162"/>
      <c r="G2554" s="58"/>
      <c r="H2554" s="162">
        <f>I2573*0.05</f>
        <v>968.97986111111118</v>
      </c>
      <c r="I2554" s="44"/>
    </row>
    <row r="2555" spans="2:9" x14ac:dyDescent="0.15">
      <c r="B2555" s="897"/>
      <c r="C2555" s="898"/>
      <c r="D2555" s="899"/>
      <c r="E2555" s="5"/>
      <c r="F2555" s="46"/>
      <c r="G2555" s="20"/>
      <c r="H2555" s="56"/>
      <c r="I2555" s="44"/>
    </row>
    <row r="2556" spans="2:9" ht="14" thickBot="1" x14ac:dyDescent="0.2">
      <c r="B2556" s="900"/>
      <c r="C2556" s="901"/>
      <c r="D2556" s="902"/>
      <c r="E2556" s="21"/>
      <c r="F2556" s="22"/>
      <c r="G2556" s="23"/>
      <c r="H2556" s="47"/>
      <c r="I2556" s="48"/>
    </row>
    <row r="2557" spans="2:9" ht="14" thickBot="1" x14ac:dyDescent="0.2">
      <c r="B2557" s="1"/>
      <c r="C2557" s="1"/>
      <c r="D2557" s="1"/>
      <c r="E2557" s="1"/>
      <c r="F2557" s="1"/>
      <c r="G2557" s="1"/>
      <c r="H2557" s="37" t="s">
        <v>26</v>
      </c>
      <c r="I2557" s="163">
        <f>SUM(H2554:H2556)</f>
        <v>968.97986111111118</v>
      </c>
    </row>
    <row r="2558" spans="2:9" ht="14" thickBot="1" x14ac:dyDescent="0.2">
      <c r="B2558" s="12" t="s">
        <v>27</v>
      </c>
      <c r="C2558" s="12"/>
      <c r="D2558" s="1"/>
      <c r="E2558" s="1"/>
      <c r="F2558" s="1"/>
      <c r="G2558" s="1"/>
      <c r="H2558" s="1"/>
      <c r="I2558" s="1"/>
    </row>
    <row r="2559" spans="2:9" x14ac:dyDescent="0.15">
      <c r="B2559" s="903" t="s">
        <v>22</v>
      </c>
      <c r="C2559" s="904"/>
      <c r="D2559" s="905"/>
      <c r="E2559" s="209" t="s">
        <v>28</v>
      </c>
      <c r="F2559" s="209" t="s">
        <v>29</v>
      </c>
      <c r="G2559" s="209" t="s">
        <v>30</v>
      </c>
      <c r="H2559" s="208" t="s">
        <v>25</v>
      </c>
      <c r="I2559" s="43"/>
    </row>
    <row r="2560" spans="2:9" x14ac:dyDescent="0.15">
      <c r="B2560" s="4" t="s">
        <v>68</v>
      </c>
      <c r="C2560" s="24"/>
      <c r="D2560" s="6"/>
      <c r="E2560" s="3" t="s">
        <v>6</v>
      </c>
      <c r="F2560" s="164">
        <f>'APU -BASICOS'!H153</f>
        <v>643337</v>
      </c>
      <c r="G2560" s="100">
        <f>1*1*0.02</f>
        <v>0.02</v>
      </c>
      <c r="H2560" s="165">
        <f>G2560*F2560</f>
        <v>12866.74</v>
      </c>
      <c r="I2560" s="44"/>
    </row>
    <row r="2561" spans="2:9" ht="14" thickBot="1" x14ac:dyDescent="0.2">
      <c r="B2561" s="25"/>
      <c r="C2561" s="26"/>
      <c r="D2561" s="27"/>
      <c r="E2561" s="21"/>
      <c r="F2561" s="22"/>
      <c r="G2561" s="167"/>
      <c r="H2561" s="47"/>
      <c r="I2561" s="48"/>
    </row>
    <row r="2562" spans="2:9" ht="14" thickBot="1" x14ac:dyDescent="0.2">
      <c r="B2562" s="1"/>
      <c r="C2562" s="1"/>
      <c r="D2562" s="1"/>
      <c r="E2562" s="1"/>
      <c r="F2562" s="1"/>
      <c r="G2562" s="1"/>
      <c r="H2562" s="37" t="s">
        <v>26</v>
      </c>
      <c r="I2562" s="163">
        <f>SUM(H2560:H2561)</f>
        <v>12866.74</v>
      </c>
    </row>
    <row r="2563" spans="2:9" ht="14" thickBot="1" x14ac:dyDescent="0.2">
      <c r="B2563" s="28" t="s">
        <v>31</v>
      </c>
      <c r="C2563" s="28"/>
      <c r="D2563" s="26"/>
      <c r="E2563" s="1"/>
      <c r="F2563" s="1"/>
      <c r="G2563" s="1"/>
      <c r="H2563" s="1"/>
      <c r="I2563" s="1"/>
    </row>
    <row r="2564" spans="2:9" x14ac:dyDescent="0.15">
      <c r="B2564" s="51" t="s">
        <v>32</v>
      </c>
      <c r="C2564" s="52"/>
      <c r="D2564" s="97" t="s">
        <v>33</v>
      </c>
      <c r="E2564" s="209" t="s">
        <v>34</v>
      </c>
      <c r="F2564" s="209" t="s">
        <v>35</v>
      </c>
      <c r="G2564" s="209" t="s">
        <v>36</v>
      </c>
      <c r="H2564" s="59" t="s">
        <v>25</v>
      </c>
      <c r="I2564" s="43"/>
    </row>
    <row r="2565" spans="2:9" x14ac:dyDescent="0.15">
      <c r="B2565" s="4"/>
      <c r="C2565" s="6"/>
      <c r="D2565" s="53"/>
      <c r="E2565" s="2"/>
      <c r="F2565" s="2"/>
      <c r="G2565" s="162"/>
      <c r="H2565" s="20"/>
      <c r="I2565" s="44"/>
    </row>
    <row r="2566" spans="2:9" ht="14" thickBot="1" x14ac:dyDescent="0.2">
      <c r="B2566" s="33"/>
      <c r="C2566" s="54"/>
      <c r="D2566" s="21"/>
      <c r="E2566" s="22"/>
      <c r="F2566" s="23"/>
      <c r="G2566" s="47"/>
      <c r="H2566" s="21"/>
      <c r="I2566" s="48"/>
    </row>
    <row r="2567" spans="2:9" ht="14" thickBot="1" x14ac:dyDescent="0.2">
      <c r="B2567" s="1"/>
      <c r="C2567" s="1"/>
      <c r="D2567" s="1"/>
      <c r="E2567" s="1"/>
      <c r="F2567" s="1"/>
      <c r="G2567" s="1"/>
      <c r="H2567" s="37" t="s">
        <v>26</v>
      </c>
      <c r="I2567" s="163">
        <f>SUM(H2565:H2566)</f>
        <v>0</v>
      </c>
    </row>
    <row r="2568" spans="2:9" ht="14" thickBot="1" x14ac:dyDescent="0.2">
      <c r="B2568" s="28" t="s">
        <v>37</v>
      </c>
      <c r="C2568" s="28"/>
      <c r="D2568" s="1"/>
      <c r="E2568" s="1"/>
      <c r="F2568" s="1"/>
      <c r="G2568" s="1"/>
      <c r="H2568" s="1"/>
      <c r="I2568" s="1"/>
    </row>
    <row r="2569" spans="2:9" x14ac:dyDescent="0.15">
      <c r="B2569" s="51" t="s">
        <v>38</v>
      </c>
      <c r="C2569" s="86"/>
      <c r="D2569" s="31" t="s">
        <v>39</v>
      </c>
      <c r="E2569" s="209" t="s">
        <v>40</v>
      </c>
      <c r="F2569" s="19" t="s">
        <v>41</v>
      </c>
      <c r="G2569" s="31" t="s">
        <v>24</v>
      </c>
      <c r="H2569" s="208" t="s">
        <v>25</v>
      </c>
      <c r="I2569" s="43"/>
    </row>
    <row r="2570" spans="2:9" x14ac:dyDescent="0.15">
      <c r="B2570" s="4" t="s">
        <v>65</v>
      </c>
      <c r="C2570" s="24"/>
      <c r="D2570" s="32">
        <f>'MANO DE OBRA'!E15</f>
        <v>95333</v>
      </c>
      <c r="E2570" s="168">
        <v>1.75</v>
      </c>
      <c r="F2570" s="164">
        <f>+E2570*D2570</f>
        <v>166832.75</v>
      </c>
      <c r="G2570" s="20">
        <v>18</v>
      </c>
      <c r="H2570" s="169">
        <f>+F2570/G2570</f>
        <v>9268.4861111111113</v>
      </c>
      <c r="I2570" s="44"/>
    </row>
    <row r="2571" spans="2:9" x14ac:dyDescent="0.15">
      <c r="B2571" s="4" t="s">
        <v>55</v>
      </c>
      <c r="C2571" s="24"/>
      <c r="D2571" s="32">
        <f>'MANO DE OBRA'!E14*2</f>
        <v>104000</v>
      </c>
      <c r="E2571" s="168">
        <v>1.75</v>
      </c>
      <c r="F2571" s="164">
        <f>+E2571*D2571</f>
        <v>182000</v>
      </c>
      <c r="G2571" s="20">
        <f>G2570</f>
        <v>18</v>
      </c>
      <c r="H2571" s="169">
        <f>+F2571/G2571</f>
        <v>10111.111111111111</v>
      </c>
      <c r="I2571" s="44"/>
    </row>
    <row r="2572" spans="2:9" ht="14" thickBot="1" x14ac:dyDescent="0.2">
      <c r="B2572" s="33"/>
      <c r="C2572" s="34"/>
      <c r="D2572" s="22"/>
      <c r="E2572" s="21"/>
      <c r="F2572" s="22"/>
      <c r="G2572" s="23"/>
      <c r="H2572" s="47"/>
      <c r="I2572" s="48"/>
    </row>
    <row r="2573" spans="2:9" ht="14" thickBot="1" x14ac:dyDescent="0.2">
      <c r="B2573" s="1"/>
      <c r="C2573" s="1"/>
      <c r="D2573" s="1"/>
      <c r="E2573" s="1"/>
      <c r="F2573" s="1"/>
      <c r="G2573" s="1"/>
      <c r="H2573" s="37" t="s">
        <v>26</v>
      </c>
      <c r="I2573" s="177">
        <f>SUM(H2570:H2572)</f>
        <v>19379.597222222223</v>
      </c>
    </row>
    <row r="2574" spans="2:9" ht="14" thickBot="1" x14ac:dyDescent="0.2">
      <c r="B2574" s="1"/>
      <c r="C2574" s="1"/>
      <c r="D2574" s="1"/>
      <c r="E2574" s="1"/>
      <c r="F2574" s="1"/>
      <c r="G2574" s="1"/>
      <c r="H2574" s="61"/>
      <c r="I2574" s="1"/>
    </row>
    <row r="2575" spans="2:9" ht="15" thickBot="1" x14ac:dyDescent="0.2">
      <c r="B2575" s="1"/>
      <c r="C2575" s="1"/>
      <c r="D2575" s="1"/>
      <c r="E2575" s="1"/>
      <c r="F2575" s="35" t="s">
        <v>43</v>
      </c>
      <c r="G2575" s="16"/>
      <c r="H2575" s="16"/>
      <c r="I2575" s="232">
        <f>ROUND((I2557+I2562+I2567+I2573),0)</f>
        <v>33215</v>
      </c>
    </row>
    <row r="2576" spans="2:9" x14ac:dyDescent="0.15">
      <c r="B2576" s="12"/>
      <c r="C2576" s="12"/>
      <c r="D2576" s="1"/>
      <c r="E2576" s="1"/>
      <c r="F2576" s="1"/>
      <c r="G2576" s="1"/>
      <c r="H2576" s="172"/>
      <c r="I2576" s="172"/>
    </row>
    <row r="2577" spans="2:10" x14ac:dyDescent="0.15">
      <c r="B2577" s="16"/>
      <c r="C2577" s="16"/>
      <c r="D2577" s="16"/>
      <c r="E2577" s="16"/>
      <c r="F2577" s="16"/>
      <c r="G2577" s="61"/>
      <c r="H2577" s="173"/>
      <c r="I2577" s="172"/>
    </row>
    <row r="2578" spans="2:10" x14ac:dyDescent="0.15">
      <c r="B2578" s="1"/>
      <c r="C2578" s="1"/>
      <c r="D2578" s="1"/>
      <c r="E2578" s="1"/>
      <c r="F2578" s="1"/>
      <c r="G2578" s="161"/>
      <c r="H2578" s="172"/>
      <c r="I2578" s="172"/>
      <c r="J2578" s="106"/>
    </row>
    <row r="2579" spans="2:10" x14ac:dyDescent="0.15">
      <c r="B2579" s="1"/>
      <c r="C2579" s="1"/>
      <c r="D2579" s="1"/>
      <c r="E2579" s="1"/>
      <c r="F2579" s="1"/>
      <c r="G2579" s="161"/>
      <c r="H2579" s="172"/>
      <c r="I2579" s="172"/>
    </row>
    <row r="2580" spans="2:10" x14ac:dyDescent="0.15">
      <c r="B2580" s="1"/>
      <c r="C2580" s="1"/>
      <c r="D2580" s="1"/>
      <c r="E2580" s="1"/>
      <c r="F2580" s="1"/>
      <c r="G2580" s="161"/>
      <c r="H2580" s="172"/>
      <c r="I2580" s="172"/>
    </row>
    <row r="2581" spans="2:10" x14ac:dyDescent="0.15">
      <c r="B2581" s="1"/>
      <c r="C2581" s="1"/>
      <c r="D2581" s="1"/>
      <c r="E2581" s="1"/>
      <c r="F2581" s="1"/>
      <c r="G2581" s="1"/>
      <c r="H2581" s="37"/>
      <c r="I2581" s="172"/>
    </row>
    <row r="2582" spans="2:10" ht="14" x14ac:dyDescent="0.15">
      <c r="B2582" s="102"/>
      <c r="C2582" s="1"/>
      <c r="D2582" s="1"/>
      <c r="E2582" s="1"/>
      <c r="F2582" s="1"/>
      <c r="G2582" s="1"/>
      <c r="H2582" s="1"/>
      <c r="I2582" s="172"/>
    </row>
    <row r="2583" spans="2:10" ht="14" x14ac:dyDescent="0.15">
      <c r="B2583" s="83"/>
      <c r="C2583" s="11"/>
      <c r="D2583" s="1"/>
      <c r="E2583" s="916"/>
      <c r="F2583" s="916"/>
      <c r="G2583" s="916"/>
      <c r="H2583" s="916"/>
      <c r="I2583" s="171"/>
    </row>
    <row r="2584" spans="2:10" ht="14" x14ac:dyDescent="0.15">
      <c r="B2584" s="102"/>
      <c r="C2584" s="11"/>
      <c r="D2584" s="1"/>
      <c r="E2584" s="155"/>
      <c r="F2584" s="155"/>
      <c r="G2584" s="155"/>
      <c r="H2584" s="155"/>
      <c r="I2584" s="171"/>
    </row>
    <row r="2585" spans="2:10" ht="14" x14ac:dyDescent="0.15">
      <c r="B2585" s="83"/>
      <c r="C2585" s="11"/>
      <c r="D2585" s="1"/>
      <c r="E2585" s="155"/>
      <c r="F2585" s="155"/>
      <c r="G2585" s="155"/>
      <c r="H2585" s="155"/>
      <c r="I2585" s="171"/>
    </row>
    <row r="2586" spans="2:10" x14ac:dyDescent="0.15">
      <c r="B2586" s="11"/>
      <c r="C2586" s="11"/>
      <c r="D2586" s="1"/>
      <c r="E2586" s="155"/>
      <c r="F2586" s="155"/>
      <c r="G2586" s="155"/>
      <c r="H2586" s="155"/>
      <c r="I2586" s="171"/>
    </row>
    <row r="2587" spans="2:10" x14ac:dyDescent="0.15">
      <c r="B2587" s="11"/>
      <c r="C2587" s="11"/>
      <c r="D2587" s="1"/>
      <c r="E2587" s="155"/>
      <c r="F2587" s="155"/>
      <c r="G2587" s="155"/>
      <c r="H2587" s="155"/>
      <c r="I2587" s="171"/>
    </row>
    <row r="2588" spans="2:10" x14ac:dyDescent="0.15">
      <c r="B2588" s="11"/>
      <c r="C2588" s="11"/>
      <c r="D2588" s="1"/>
      <c r="E2588" s="155"/>
      <c r="F2588" s="155"/>
      <c r="G2588" s="155"/>
      <c r="H2588" s="155"/>
      <c r="I2588" s="171"/>
    </row>
    <row r="2589" spans="2:10" x14ac:dyDescent="0.15">
      <c r="B2589" s="11"/>
      <c r="C2589" s="11"/>
      <c r="D2589" s="1"/>
      <c r="E2589" s="155"/>
      <c r="F2589" s="155"/>
      <c r="G2589" s="155"/>
      <c r="H2589" s="155"/>
      <c r="I2589" s="171"/>
    </row>
    <row r="2590" spans="2:10" x14ac:dyDescent="0.15">
      <c r="B2590" s="11"/>
      <c r="C2590" s="11"/>
      <c r="D2590" s="1"/>
      <c r="E2590" s="155"/>
      <c r="F2590" s="155"/>
      <c r="G2590" s="155"/>
      <c r="H2590" s="155"/>
      <c r="I2590" s="171"/>
    </row>
    <row r="2591" spans="2:10" x14ac:dyDescent="0.15">
      <c r="B2591" s="11"/>
      <c r="C2591" s="11"/>
      <c r="D2591" s="11"/>
      <c r="E2591" s="11"/>
      <c r="F2591" s="11"/>
      <c r="G2591" s="11"/>
      <c r="H2591" s="11"/>
      <c r="I2591" s="11"/>
    </row>
    <row r="2592" spans="2:10" x14ac:dyDescent="0.15">
      <c r="B2592" s="11"/>
      <c r="C2592" s="11"/>
      <c r="D2592" s="11"/>
      <c r="E2592" s="11"/>
      <c r="F2592" s="11"/>
      <c r="G2592" s="11"/>
      <c r="H2592" s="11"/>
      <c r="I2592" s="11"/>
    </row>
    <row r="2593" spans="2:10" x14ac:dyDescent="0.15">
      <c r="B2593" s="11"/>
      <c r="C2593" s="11"/>
      <c r="D2593" s="11"/>
      <c r="E2593" s="11"/>
      <c r="F2593" s="11"/>
      <c r="G2593" s="11"/>
      <c r="H2593" s="11"/>
      <c r="I2593" s="11"/>
    </row>
    <row r="2594" spans="2:10" ht="14" x14ac:dyDescent="0.15">
      <c r="B2594" s="83"/>
      <c r="C2594" s="83"/>
      <c r="D2594" s="84"/>
      <c r="E2594" s="83"/>
      <c r="F2594" s="83"/>
      <c r="G2594" s="104"/>
      <c r="H2594" s="83"/>
      <c r="I2594" s="85"/>
      <c r="J2594" s="85"/>
    </row>
    <row r="2595" spans="2:10" ht="14" x14ac:dyDescent="0.15">
      <c r="B2595" s="83"/>
      <c r="C2595" s="83"/>
      <c r="D2595" s="84"/>
      <c r="E2595" s="83"/>
      <c r="F2595" s="83"/>
      <c r="G2595" s="104"/>
      <c r="H2595" s="83"/>
      <c r="I2595" s="85"/>
      <c r="J2595" s="85"/>
    </row>
    <row r="2596" spans="2:10" x14ac:dyDescent="0.15">
      <c r="B2596" s="11"/>
      <c r="C2596" s="11"/>
      <c r="D2596" s="1"/>
      <c r="E2596" s="155"/>
      <c r="F2596" s="155"/>
      <c r="G2596" s="155"/>
      <c r="H2596" s="155"/>
      <c r="I2596" s="171"/>
    </row>
    <row r="2597" spans="2:10" ht="14" thickBot="1" x14ac:dyDescent="0.2"/>
    <row r="2598" spans="2:10" ht="21" customHeight="1" x14ac:dyDescent="0.15">
      <c r="B2598" s="885" t="s">
        <v>874</v>
      </c>
      <c r="C2598" s="886"/>
      <c r="D2598" s="886"/>
      <c r="E2598" s="886"/>
      <c r="F2598" s="887"/>
      <c r="G2598" s="1"/>
      <c r="H2598" s="912" t="s">
        <v>20</v>
      </c>
      <c r="I2598" s="913"/>
    </row>
    <row r="2599" spans="2:10" ht="16.5" customHeight="1" x14ac:dyDescent="0.15">
      <c r="B2599" s="888" t="s">
        <v>875</v>
      </c>
      <c r="C2599" s="889"/>
      <c r="D2599" s="889"/>
      <c r="E2599" s="889"/>
      <c r="F2599" s="890"/>
      <c r="G2599" s="63"/>
      <c r="H2599" s="943"/>
      <c r="I2599" s="944"/>
    </row>
    <row r="2600" spans="2:10" ht="12.75" customHeight="1" x14ac:dyDescent="0.15">
      <c r="B2600" s="906" t="s">
        <v>876</v>
      </c>
      <c r="C2600" s="907"/>
      <c r="D2600" s="907"/>
      <c r="E2600" s="907"/>
      <c r="F2600" s="908"/>
      <c r="G2600" s="63"/>
      <c r="H2600" s="891" t="s">
        <v>1100</v>
      </c>
      <c r="I2600" s="978"/>
    </row>
    <row r="2601" spans="2:10" ht="16.5" customHeight="1" thickBot="1" x14ac:dyDescent="0.2">
      <c r="B2601" s="909"/>
      <c r="C2601" s="910"/>
      <c r="D2601" s="910"/>
      <c r="E2601" s="910"/>
      <c r="F2601" s="911"/>
      <c r="G2601" s="1"/>
      <c r="H2601" s="964"/>
      <c r="I2601" s="965"/>
    </row>
    <row r="2602" spans="2:10" ht="14" thickBot="1" x14ac:dyDescent="0.2">
      <c r="B2602" s="15"/>
      <c r="C2602" s="16"/>
      <c r="D2602" s="1"/>
      <c r="E2602" s="1"/>
      <c r="F2602" s="1"/>
      <c r="G2602" s="1"/>
      <c r="H2602" s="964"/>
      <c r="I2602" s="965"/>
    </row>
    <row r="2603" spans="2:10" ht="12.75" customHeight="1" x14ac:dyDescent="0.15">
      <c r="B2603" s="922" t="s">
        <v>836</v>
      </c>
      <c r="C2603" s="923"/>
      <c r="D2603" s="923"/>
      <c r="E2603" s="923"/>
      <c r="F2603" s="924"/>
      <c r="G2603" s="1"/>
      <c r="H2603" s="964"/>
      <c r="I2603" s="965"/>
    </row>
    <row r="2604" spans="2:10" ht="12.75" customHeight="1" x14ac:dyDescent="0.15">
      <c r="B2604" s="925"/>
      <c r="C2604" s="926"/>
      <c r="D2604" s="926"/>
      <c r="E2604" s="926"/>
      <c r="F2604" s="927"/>
      <c r="H2604" s="964"/>
      <c r="I2604" s="965"/>
    </row>
    <row r="2605" spans="2:10" ht="13.5" customHeight="1" x14ac:dyDescent="0.15">
      <c r="B2605" s="925"/>
      <c r="C2605" s="926"/>
      <c r="D2605" s="926"/>
      <c r="E2605" s="926"/>
      <c r="F2605" s="927"/>
      <c r="G2605" s="11"/>
      <c r="H2605" s="979"/>
      <c r="I2605" s="980"/>
    </row>
    <row r="2606" spans="2:10" ht="21.75" customHeight="1" thickBot="1" x14ac:dyDescent="0.2">
      <c r="B2606" s="928"/>
      <c r="C2606" s="929"/>
      <c r="D2606" s="929"/>
      <c r="E2606" s="929"/>
      <c r="F2606" s="930"/>
      <c r="H2606" s="64" t="s">
        <v>45</v>
      </c>
      <c r="I2606" s="17" t="s">
        <v>7</v>
      </c>
    </row>
    <row r="2607" spans="2:10" x14ac:dyDescent="0.15">
      <c r="B2607" s="18"/>
      <c r="C2607" s="18"/>
      <c r="D2607" s="1"/>
      <c r="E2607" s="18"/>
      <c r="F2607" s="18"/>
      <c r="G2607" s="18"/>
      <c r="H2607" s="18"/>
      <c r="I2607" s="1"/>
    </row>
    <row r="2608" spans="2:10" ht="14" thickBot="1" x14ac:dyDescent="0.2">
      <c r="B2608" s="12" t="s">
        <v>21</v>
      </c>
      <c r="C2608" s="12"/>
      <c r="D2608" s="1"/>
      <c r="E2608" s="1"/>
      <c r="F2608" s="1"/>
      <c r="G2608" s="1"/>
      <c r="H2608" s="1"/>
      <c r="I2608" s="1"/>
    </row>
    <row r="2609" spans="2:9" x14ac:dyDescent="0.15">
      <c r="B2609" s="903" t="s">
        <v>22</v>
      </c>
      <c r="C2609" s="904"/>
      <c r="D2609" s="905"/>
      <c r="E2609" s="209" t="s">
        <v>23</v>
      </c>
      <c r="F2609" s="19" t="s">
        <v>47</v>
      </c>
      <c r="G2609" s="209" t="s">
        <v>24</v>
      </c>
      <c r="H2609" s="208" t="s">
        <v>25</v>
      </c>
      <c r="I2609" s="43"/>
    </row>
    <row r="2610" spans="2:9" x14ac:dyDescent="0.15">
      <c r="B2610" s="897" t="s">
        <v>56</v>
      </c>
      <c r="C2610" s="898"/>
      <c r="D2610" s="899"/>
      <c r="E2610" s="5"/>
      <c r="F2610" s="162"/>
      <c r="G2610" s="58"/>
      <c r="H2610" s="162">
        <f>I2629*0.05</f>
        <v>436.04093750000004</v>
      </c>
      <c r="I2610" s="44"/>
    </row>
    <row r="2611" spans="2:9" x14ac:dyDescent="0.15">
      <c r="B2611" s="897"/>
      <c r="C2611" s="898"/>
      <c r="D2611" s="899"/>
      <c r="E2611" s="5"/>
      <c r="F2611" s="46"/>
      <c r="G2611" s="20"/>
      <c r="H2611" s="56"/>
      <c r="I2611" s="44"/>
    </row>
    <row r="2612" spans="2:9" ht="14" thickBot="1" x14ac:dyDescent="0.2">
      <c r="B2612" s="900"/>
      <c r="C2612" s="901"/>
      <c r="D2612" s="902"/>
      <c r="E2612" s="21"/>
      <c r="F2612" s="22"/>
      <c r="G2612" s="23"/>
      <c r="H2612" s="47"/>
      <c r="I2612" s="48"/>
    </row>
    <row r="2613" spans="2:9" ht="14" thickBot="1" x14ac:dyDescent="0.2">
      <c r="B2613" s="1"/>
      <c r="C2613" s="1"/>
      <c r="D2613" s="1"/>
      <c r="E2613" s="1"/>
      <c r="F2613" s="1"/>
      <c r="G2613" s="1"/>
      <c r="H2613" s="37" t="s">
        <v>26</v>
      </c>
      <c r="I2613" s="163">
        <f>SUM(H2610:H2612)</f>
        <v>436.04093750000004</v>
      </c>
    </row>
    <row r="2614" spans="2:9" ht="14" thickBot="1" x14ac:dyDescent="0.2">
      <c r="B2614" s="12" t="s">
        <v>27</v>
      </c>
      <c r="C2614" s="12"/>
      <c r="D2614" s="1"/>
      <c r="E2614" s="1"/>
      <c r="F2614" s="1"/>
      <c r="G2614" s="1"/>
      <c r="H2614" s="1"/>
      <c r="I2614" s="1"/>
    </row>
    <row r="2615" spans="2:9" x14ac:dyDescent="0.15">
      <c r="B2615" s="903" t="s">
        <v>22</v>
      </c>
      <c r="C2615" s="904"/>
      <c r="D2615" s="905"/>
      <c r="E2615" s="209" t="s">
        <v>28</v>
      </c>
      <c r="F2615" s="209" t="s">
        <v>29</v>
      </c>
      <c r="G2615" s="209" t="s">
        <v>30</v>
      </c>
      <c r="H2615" s="208" t="s">
        <v>25</v>
      </c>
      <c r="I2615" s="43"/>
    </row>
    <row r="2616" spans="2:9" x14ac:dyDescent="0.15">
      <c r="B2616" s="4" t="s">
        <v>68</v>
      </c>
      <c r="C2616" s="24"/>
      <c r="D2616" s="6"/>
      <c r="E2616" s="3" t="s">
        <v>6</v>
      </c>
      <c r="F2616" s="164">
        <f>'APU -BASICOS'!H153</f>
        <v>643337</v>
      </c>
      <c r="G2616" s="100">
        <f>1*0.1*0.02</f>
        <v>2E-3</v>
      </c>
      <c r="H2616" s="165">
        <f>G2616*F2616</f>
        <v>1286.674</v>
      </c>
      <c r="I2616" s="44"/>
    </row>
    <row r="2617" spans="2:9" ht="14" thickBot="1" x14ac:dyDescent="0.2">
      <c r="B2617" s="25"/>
      <c r="C2617" s="26"/>
      <c r="D2617" s="27"/>
      <c r="E2617" s="21"/>
      <c r="F2617" s="22"/>
      <c r="G2617" s="167"/>
      <c r="H2617" s="47"/>
      <c r="I2617" s="48"/>
    </row>
    <row r="2618" spans="2:9" ht="14" thickBot="1" x14ac:dyDescent="0.2">
      <c r="B2618" s="1"/>
      <c r="C2618" s="1"/>
      <c r="D2618" s="1"/>
      <c r="E2618" s="1"/>
      <c r="F2618" s="1"/>
      <c r="G2618" s="1"/>
      <c r="H2618" s="37" t="s">
        <v>26</v>
      </c>
      <c r="I2618" s="163">
        <f>SUM(H2616:H2617)</f>
        <v>1286.674</v>
      </c>
    </row>
    <row r="2619" spans="2:9" ht="14" thickBot="1" x14ac:dyDescent="0.2">
      <c r="B2619" s="28" t="s">
        <v>31</v>
      </c>
      <c r="C2619" s="28"/>
      <c r="D2619" s="26"/>
      <c r="E2619" s="1"/>
      <c r="F2619" s="1"/>
      <c r="G2619" s="1"/>
      <c r="H2619" s="1"/>
      <c r="I2619" s="1"/>
    </row>
    <row r="2620" spans="2:9" x14ac:dyDescent="0.15">
      <c r="B2620" s="51" t="s">
        <v>32</v>
      </c>
      <c r="C2620" s="52"/>
      <c r="D2620" s="97" t="s">
        <v>33</v>
      </c>
      <c r="E2620" s="209" t="s">
        <v>34</v>
      </c>
      <c r="F2620" s="209" t="s">
        <v>35</v>
      </c>
      <c r="G2620" s="209" t="s">
        <v>36</v>
      </c>
      <c r="H2620" s="59" t="s">
        <v>25</v>
      </c>
      <c r="I2620" s="43"/>
    </row>
    <row r="2621" spans="2:9" x14ac:dyDescent="0.15">
      <c r="B2621" s="4"/>
      <c r="C2621" s="6"/>
      <c r="D2621" s="53"/>
      <c r="E2621" s="2"/>
      <c r="F2621" s="2"/>
      <c r="G2621" s="162"/>
      <c r="H2621" s="20"/>
      <c r="I2621" s="44"/>
    </row>
    <row r="2622" spans="2:9" ht="14" thickBot="1" x14ac:dyDescent="0.2">
      <c r="B2622" s="33"/>
      <c r="C2622" s="54"/>
      <c r="D2622" s="21"/>
      <c r="E2622" s="22"/>
      <c r="F2622" s="23"/>
      <c r="G2622" s="47"/>
      <c r="H2622" s="21"/>
      <c r="I2622" s="48"/>
    </row>
    <row r="2623" spans="2:9" ht="14" thickBot="1" x14ac:dyDescent="0.2">
      <c r="B2623" s="1"/>
      <c r="C2623" s="1"/>
      <c r="D2623" s="1"/>
      <c r="E2623" s="1"/>
      <c r="F2623" s="1"/>
      <c r="G2623" s="1"/>
      <c r="H2623" s="37" t="s">
        <v>26</v>
      </c>
      <c r="I2623" s="163">
        <f>SUM(H2621:H2622)</f>
        <v>0</v>
      </c>
    </row>
    <row r="2624" spans="2:9" ht="14" thickBot="1" x14ac:dyDescent="0.2">
      <c r="B2624" s="28" t="s">
        <v>37</v>
      </c>
      <c r="C2624" s="28"/>
      <c r="D2624" s="1"/>
      <c r="E2624" s="1"/>
      <c r="F2624" s="1"/>
      <c r="G2624" s="1"/>
      <c r="H2624" s="1"/>
      <c r="I2624" s="1"/>
    </row>
    <row r="2625" spans="2:10" x14ac:dyDescent="0.15">
      <c r="B2625" s="51" t="s">
        <v>38</v>
      </c>
      <c r="C2625" s="86"/>
      <c r="D2625" s="31" t="s">
        <v>39</v>
      </c>
      <c r="E2625" s="209" t="s">
        <v>40</v>
      </c>
      <c r="F2625" s="19" t="s">
        <v>41</v>
      </c>
      <c r="G2625" s="31" t="s">
        <v>24</v>
      </c>
      <c r="H2625" s="208" t="s">
        <v>25</v>
      </c>
      <c r="I2625" s="43"/>
    </row>
    <row r="2626" spans="2:10" x14ac:dyDescent="0.15">
      <c r="B2626" s="4" t="s">
        <v>65</v>
      </c>
      <c r="C2626" s="24"/>
      <c r="D2626" s="32">
        <f>'MANO DE OBRA'!E15</f>
        <v>95333</v>
      </c>
      <c r="E2626" s="168">
        <v>1.75</v>
      </c>
      <c r="F2626" s="164">
        <f>+E2626*D2626</f>
        <v>166832.75</v>
      </c>
      <c r="G2626" s="20">
        <v>40</v>
      </c>
      <c r="H2626" s="169">
        <f>+F2626/G2626</f>
        <v>4170.8187500000004</v>
      </c>
      <c r="I2626" s="44"/>
    </row>
    <row r="2627" spans="2:10" x14ac:dyDescent="0.15">
      <c r="B2627" s="4" t="s">
        <v>55</v>
      </c>
      <c r="C2627" s="24"/>
      <c r="D2627" s="32">
        <f>'MANO DE OBRA'!E14*2</f>
        <v>104000</v>
      </c>
      <c r="E2627" s="168">
        <v>1.75</v>
      </c>
      <c r="F2627" s="164">
        <f>+E2627*D2627</f>
        <v>182000</v>
      </c>
      <c r="G2627" s="20">
        <v>40</v>
      </c>
      <c r="H2627" s="169">
        <f>+F2627/G2627</f>
        <v>4550</v>
      </c>
      <c r="I2627" s="44"/>
    </row>
    <row r="2628" spans="2:10" ht="14" thickBot="1" x14ac:dyDescent="0.2">
      <c r="B2628" s="33"/>
      <c r="C2628" s="34"/>
      <c r="D2628" s="22"/>
      <c r="E2628" s="21"/>
      <c r="F2628" s="22"/>
      <c r="G2628" s="23"/>
      <c r="H2628" s="47"/>
      <c r="I2628" s="48"/>
    </row>
    <row r="2629" spans="2:10" ht="14" thickBot="1" x14ac:dyDescent="0.2">
      <c r="B2629" s="1"/>
      <c r="C2629" s="1"/>
      <c r="D2629" s="1"/>
      <c r="E2629" s="1"/>
      <c r="F2629" s="1"/>
      <c r="G2629" s="1"/>
      <c r="H2629" s="37" t="s">
        <v>26</v>
      </c>
      <c r="I2629" s="177">
        <f>SUM(H2626:H2628)</f>
        <v>8720.8187500000004</v>
      </c>
    </row>
    <row r="2630" spans="2:10" ht="14" thickBot="1" x14ac:dyDescent="0.2">
      <c r="B2630" s="1"/>
      <c r="C2630" s="1"/>
      <c r="D2630" s="1"/>
      <c r="E2630" s="1"/>
      <c r="F2630" s="1"/>
      <c r="G2630" s="1"/>
      <c r="H2630" s="61"/>
      <c r="I2630" s="1"/>
    </row>
    <row r="2631" spans="2:10" ht="15" thickBot="1" x14ac:dyDescent="0.2">
      <c r="B2631" s="1"/>
      <c r="C2631" s="1"/>
      <c r="D2631" s="1"/>
      <c r="E2631" s="1"/>
      <c r="F2631" s="35" t="s">
        <v>43</v>
      </c>
      <c r="G2631" s="16"/>
      <c r="H2631" s="16"/>
      <c r="I2631" s="232">
        <f>ROUND((I2613+I2618+I2623+I2629),0)</f>
        <v>10444</v>
      </c>
    </row>
    <row r="2632" spans="2:10" x14ac:dyDescent="0.15">
      <c r="B2632" s="12"/>
      <c r="C2632" s="12"/>
      <c r="D2632" s="1"/>
      <c r="E2632" s="1"/>
      <c r="F2632" s="1"/>
      <c r="G2632" s="1"/>
      <c r="H2632" s="172"/>
      <c r="I2632" s="172"/>
    </row>
    <row r="2633" spans="2:10" x14ac:dyDescent="0.15">
      <c r="B2633" s="16"/>
      <c r="C2633" s="16"/>
      <c r="D2633" s="16"/>
      <c r="E2633" s="16"/>
      <c r="F2633" s="16"/>
      <c r="G2633" s="61"/>
      <c r="H2633" s="173"/>
      <c r="I2633" s="172"/>
    </row>
    <row r="2634" spans="2:10" x14ac:dyDescent="0.15">
      <c r="B2634" s="1"/>
      <c r="C2634" s="1"/>
      <c r="D2634" s="1"/>
      <c r="E2634" s="1"/>
      <c r="F2634" s="1"/>
      <c r="G2634" s="161"/>
      <c r="H2634" s="172"/>
      <c r="I2634" s="172"/>
      <c r="J2634" s="106"/>
    </row>
    <row r="2635" spans="2:10" x14ac:dyDescent="0.15">
      <c r="B2635" s="1"/>
      <c r="C2635" s="1"/>
      <c r="D2635" s="1"/>
      <c r="E2635" s="1"/>
      <c r="F2635" s="1"/>
      <c r="G2635" s="161"/>
      <c r="H2635" s="172"/>
      <c r="I2635" s="172"/>
    </row>
    <row r="2636" spans="2:10" x14ac:dyDescent="0.15">
      <c r="B2636" s="1"/>
      <c r="C2636" s="1"/>
      <c r="D2636" s="1"/>
      <c r="E2636" s="1"/>
      <c r="F2636" s="1"/>
      <c r="G2636" s="161"/>
      <c r="H2636" s="172"/>
      <c r="I2636" s="172"/>
    </row>
    <row r="2637" spans="2:10" x14ac:dyDescent="0.15">
      <c r="B2637" s="1"/>
      <c r="C2637" s="1"/>
      <c r="D2637" s="1"/>
      <c r="E2637" s="1"/>
      <c r="F2637" s="1"/>
      <c r="G2637" s="1"/>
      <c r="H2637" s="37"/>
      <c r="I2637" s="172"/>
    </row>
    <row r="2638" spans="2:10" ht="14" x14ac:dyDescent="0.15">
      <c r="B2638" s="102"/>
      <c r="C2638" s="1"/>
      <c r="D2638" s="1"/>
      <c r="E2638" s="1"/>
      <c r="F2638" s="1"/>
      <c r="G2638" s="1"/>
      <c r="H2638" s="1"/>
      <c r="I2638" s="172"/>
    </row>
    <row r="2639" spans="2:10" ht="14" x14ac:dyDescent="0.15">
      <c r="B2639" s="83"/>
      <c r="C2639" s="11"/>
      <c r="D2639" s="1"/>
      <c r="E2639" s="916"/>
      <c r="F2639" s="916"/>
      <c r="G2639" s="916"/>
      <c r="H2639" s="916"/>
      <c r="I2639" s="171"/>
    </row>
    <row r="2640" spans="2:10" ht="14" x14ac:dyDescent="0.15">
      <c r="B2640" s="102"/>
      <c r="C2640" s="11"/>
      <c r="D2640" s="1"/>
      <c r="E2640" s="155"/>
      <c r="F2640" s="155"/>
      <c r="G2640" s="155"/>
      <c r="H2640" s="155"/>
      <c r="I2640" s="171"/>
    </row>
    <row r="2641" spans="2:10" ht="14" x14ac:dyDescent="0.15">
      <c r="B2641" s="83"/>
      <c r="C2641" s="11"/>
      <c r="D2641" s="1"/>
      <c r="E2641" s="155"/>
      <c r="F2641" s="155"/>
      <c r="G2641" s="155"/>
      <c r="H2641" s="155"/>
      <c r="I2641" s="171"/>
    </row>
    <row r="2642" spans="2:10" x14ac:dyDescent="0.15">
      <c r="B2642" s="11"/>
      <c r="C2642" s="11"/>
      <c r="D2642" s="1"/>
      <c r="E2642" s="155"/>
      <c r="F2642" s="155"/>
      <c r="G2642" s="155"/>
      <c r="H2642" s="155"/>
      <c r="I2642" s="171"/>
    </row>
    <row r="2643" spans="2:10" x14ac:dyDescent="0.15">
      <c r="B2643" s="11"/>
      <c r="C2643" s="11"/>
      <c r="D2643" s="1"/>
      <c r="E2643" s="155"/>
      <c r="F2643" s="155"/>
      <c r="G2643" s="155"/>
      <c r="H2643" s="155"/>
      <c r="I2643" s="171"/>
    </row>
    <row r="2644" spans="2:10" x14ac:dyDescent="0.15">
      <c r="B2644" s="11"/>
      <c r="C2644" s="11"/>
      <c r="D2644" s="1"/>
      <c r="E2644" s="155"/>
      <c r="F2644" s="155"/>
      <c r="G2644" s="155"/>
      <c r="H2644" s="155"/>
      <c r="I2644" s="171"/>
    </row>
    <row r="2645" spans="2:10" x14ac:dyDescent="0.15">
      <c r="B2645" s="11"/>
      <c r="C2645" s="11"/>
      <c r="D2645" s="1"/>
      <c r="E2645" s="155"/>
      <c r="F2645" s="155"/>
      <c r="G2645" s="155"/>
      <c r="H2645" s="155"/>
      <c r="I2645" s="171"/>
    </row>
    <row r="2646" spans="2:10" x14ac:dyDescent="0.15">
      <c r="B2646" s="11"/>
      <c r="C2646" s="11"/>
      <c r="D2646" s="1"/>
      <c r="E2646" s="155"/>
      <c r="F2646" s="155"/>
      <c r="G2646" s="155"/>
      <c r="H2646" s="155"/>
      <c r="I2646" s="171"/>
    </row>
    <row r="2647" spans="2:10" x14ac:dyDescent="0.15">
      <c r="B2647" s="11"/>
      <c r="C2647" s="11"/>
      <c r="D2647" s="11"/>
      <c r="E2647" s="11"/>
      <c r="F2647" s="11"/>
      <c r="G2647" s="11"/>
      <c r="H2647" s="11"/>
      <c r="I2647" s="11"/>
    </row>
    <row r="2648" spans="2:10" x14ac:dyDescent="0.15">
      <c r="B2648" s="11"/>
      <c r="C2648" s="11"/>
      <c r="D2648" s="11"/>
      <c r="E2648" s="11"/>
      <c r="F2648" s="11"/>
      <c r="G2648" s="11"/>
      <c r="H2648" s="11"/>
      <c r="I2648" s="11"/>
    </row>
    <row r="2649" spans="2:10" x14ac:dyDescent="0.15">
      <c r="B2649" s="11"/>
      <c r="C2649" s="11"/>
      <c r="D2649" s="11"/>
      <c r="E2649" s="11"/>
      <c r="F2649" s="11"/>
      <c r="G2649" s="11"/>
      <c r="H2649" s="11"/>
      <c r="I2649" s="11"/>
    </row>
    <row r="2650" spans="2:10" ht="14" x14ac:dyDescent="0.15">
      <c r="B2650" s="83"/>
      <c r="C2650" s="83"/>
      <c r="D2650" s="84"/>
      <c r="E2650" s="83"/>
      <c r="F2650" s="83"/>
      <c r="G2650" s="104"/>
      <c r="H2650" s="83"/>
      <c r="I2650" s="85"/>
      <c r="J2650" s="85"/>
    </row>
    <row r="2651" spans="2:10" ht="14" x14ac:dyDescent="0.15">
      <c r="B2651" s="83"/>
      <c r="C2651" s="83"/>
      <c r="D2651" s="84"/>
      <c r="E2651" s="83"/>
      <c r="F2651" s="83"/>
      <c r="G2651" s="104"/>
      <c r="H2651" s="83"/>
      <c r="I2651" s="85"/>
      <c r="J2651" s="85"/>
    </row>
    <row r="2652" spans="2:10" x14ac:dyDescent="0.15">
      <c r="B2652" s="11"/>
      <c r="C2652" s="11"/>
      <c r="D2652" s="1"/>
      <c r="E2652" s="155"/>
      <c r="F2652" s="155"/>
      <c r="G2652" s="155"/>
      <c r="H2652" s="155"/>
      <c r="I2652" s="171"/>
    </row>
    <row r="2653" spans="2:10" ht="14" thickBot="1" x14ac:dyDescent="0.2"/>
    <row r="2654" spans="2:10" ht="21" customHeight="1" x14ac:dyDescent="0.15">
      <c r="B2654" s="885" t="s">
        <v>874</v>
      </c>
      <c r="C2654" s="886"/>
      <c r="D2654" s="886"/>
      <c r="E2654" s="886"/>
      <c r="F2654" s="887"/>
      <c r="G2654" s="1"/>
      <c r="H2654" s="912" t="s">
        <v>20</v>
      </c>
      <c r="I2654" s="913"/>
    </row>
    <row r="2655" spans="2:10" ht="16.5" customHeight="1" x14ac:dyDescent="0.15">
      <c r="B2655" s="888" t="s">
        <v>875</v>
      </c>
      <c r="C2655" s="889"/>
      <c r="D2655" s="889"/>
      <c r="E2655" s="889"/>
      <c r="F2655" s="890"/>
      <c r="G2655" s="63"/>
      <c r="H2655" s="943"/>
      <c r="I2655" s="944"/>
    </row>
    <row r="2656" spans="2:10" ht="12.75" customHeight="1" x14ac:dyDescent="0.15">
      <c r="B2656" s="906" t="s">
        <v>876</v>
      </c>
      <c r="C2656" s="907"/>
      <c r="D2656" s="907"/>
      <c r="E2656" s="907"/>
      <c r="F2656" s="908"/>
      <c r="G2656" s="63"/>
      <c r="H2656" s="891" t="s">
        <v>896</v>
      </c>
      <c r="I2656" s="978"/>
    </row>
    <row r="2657" spans="2:9" ht="16.5" customHeight="1" thickBot="1" x14ac:dyDescent="0.2">
      <c r="B2657" s="909"/>
      <c r="C2657" s="910"/>
      <c r="D2657" s="910"/>
      <c r="E2657" s="910"/>
      <c r="F2657" s="911"/>
      <c r="G2657" s="1"/>
      <c r="H2657" s="964"/>
      <c r="I2657" s="965"/>
    </row>
    <row r="2658" spans="2:9" ht="14" thickBot="1" x14ac:dyDescent="0.2">
      <c r="B2658" s="15"/>
      <c r="C2658" s="16"/>
      <c r="D2658" s="1"/>
      <c r="E2658" s="1"/>
      <c r="F2658" s="1"/>
      <c r="G2658" s="1"/>
      <c r="H2658" s="964"/>
      <c r="I2658" s="965"/>
    </row>
    <row r="2659" spans="2:9" ht="12.75" customHeight="1" x14ac:dyDescent="0.15">
      <c r="B2659" s="922" t="s">
        <v>836</v>
      </c>
      <c r="C2659" s="923"/>
      <c r="D2659" s="923"/>
      <c r="E2659" s="923"/>
      <c r="F2659" s="924"/>
      <c r="G2659" s="1"/>
      <c r="H2659" s="964"/>
      <c r="I2659" s="965"/>
    </row>
    <row r="2660" spans="2:9" ht="12.75" customHeight="1" x14ac:dyDescent="0.15">
      <c r="B2660" s="925"/>
      <c r="C2660" s="926"/>
      <c r="D2660" s="926"/>
      <c r="E2660" s="926"/>
      <c r="F2660" s="927"/>
      <c r="H2660" s="964"/>
      <c r="I2660" s="965"/>
    </row>
    <row r="2661" spans="2:9" ht="13.5" customHeight="1" x14ac:dyDescent="0.15">
      <c r="B2661" s="925"/>
      <c r="C2661" s="926"/>
      <c r="D2661" s="926"/>
      <c r="E2661" s="926"/>
      <c r="F2661" s="927"/>
      <c r="G2661" s="11"/>
      <c r="H2661" s="979"/>
      <c r="I2661" s="980"/>
    </row>
    <row r="2662" spans="2:9" ht="21.75" customHeight="1" thickBot="1" x14ac:dyDescent="0.2">
      <c r="B2662" s="928"/>
      <c r="C2662" s="929"/>
      <c r="D2662" s="929"/>
      <c r="E2662" s="929"/>
      <c r="F2662" s="930"/>
      <c r="H2662" s="64" t="s">
        <v>45</v>
      </c>
      <c r="I2662" s="17" t="s">
        <v>5</v>
      </c>
    </row>
    <row r="2663" spans="2:9" x14ac:dyDescent="0.15">
      <c r="B2663" s="18"/>
      <c r="C2663" s="18"/>
      <c r="D2663" s="1"/>
      <c r="E2663" s="18"/>
      <c r="F2663" s="18"/>
      <c r="G2663" s="18"/>
      <c r="H2663" s="18"/>
      <c r="I2663" s="1"/>
    </row>
    <row r="2664" spans="2:9" ht="14" thickBot="1" x14ac:dyDescent="0.2">
      <c r="B2664" s="12" t="s">
        <v>21</v>
      </c>
      <c r="C2664" s="12"/>
      <c r="D2664" s="1"/>
      <c r="E2664" s="1"/>
      <c r="F2664" s="1"/>
      <c r="G2664" s="1"/>
      <c r="H2664" s="1"/>
      <c r="I2664" s="1"/>
    </row>
    <row r="2665" spans="2:9" x14ac:dyDescent="0.15">
      <c r="B2665" s="903" t="s">
        <v>22</v>
      </c>
      <c r="C2665" s="904"/>
      <c r="D2665" s="905"/>
      <c r="E2665" s="209" t="s">
        <v>23</v>
      </c>
      <c r="F2665" s="19" t="s">
        <v>47</v>
      </c>
      <c r="G2665" s="209" t="s">
        <v>24</v>
      </c>
      <c r="H2665" s="208" t="s">
        <v>25</v>
      </c>
      <c r="I2665" s="43"/>
    </row>
    <row r="2666" spans="2:9" x14ac:dyDescent="0.15">
      <c r="B2666" s="897" t="s">
        <v>56</v>
      </c>
      <c r="C2666" s="898"/>
      <c r="D2666" s="899"/>
      <c r="E2666" s="5"/>
      <c r="F2666" s="162"/>
      <c r="G2666" s="58"/>
      <c r="H2666" s="165">
        <f>+I2686*0.05</f>
        <v>784.58187500000008</v>
      </c>
      <c r="I2666" s="44"/>
    </row>
    <row r="2667" spans="2:9" x14ac:dyDescent="0.15">
      <c r="B2667" s="897"/>
      <c r="C2667" s="898"/>
      <c r="D2667" s="899"/>
      <c r="E2667" s="5"/>
      <c r="F2667" s="46"/>
      <c r="G2667" s="20"/>
      <c r="H2667" s="56"/>
      <c r="I2667" s="44"/>
    </row>
    <row r="2668" spans="2:9" ht="14" thickBot="1" x14ac:dyDescent="0.2">
      <c r="B2668" s="900"/>
      <c r="C2668" s="901"/>
      <c r="D2668" s="902"/>
      <c r="E2668" s="21"/>
      <c r="F2668" s="22"/>
      <c r="G2668" s="23"/>
      <c r="H2668" s="47"/>
      <c r="I2668" s="48"/>
    </row>
    <row r="2669" spans="2:9" ht="14" thickBot="1" x14ac:dyDescent="0.2">
      <c r="B2669" s="1"/>
      <c r="C2669" s="1"/>
      <c r="D2669" s="1"/>
      <c r="E2669" s="1"/>
      <c r="F2669" s="1"/>
      <c r="G2669" s="1"/>
      <c r="H2669" s="37" t="s">
        <v>26</v>
      </c>
      <c r="I2669" s="163">
        <f>SUM(H2666:H2668)</f>
        <v>784.58187500000008</v>
      </c>
    </row>
    <row r="2670" spans="2:9" ht="14" thickBot="1" x14ac:dyDescent="0.2">
      <c r="B2670" s="12" t="s">
        <v>27</v>
      </c>
      <c r="C2670" s="12"/>
      <c r="D2670" s="1"/>
      <c r="E2670" s="1"/>
      <c r="F2670" s="1"/>
      <c r="G2670" s="1"/>
      <c r="H2670" s="1"/>
      <c r="I2670" s="1"/>
    </row>
    <row r="2671" spans="2:9" x14ac:dyDescent="0.15">
      <c r="B2671" s="903" t="s">
        <v>22</v>
      </c>
      <c r="C2671" s="904"/>
      <c r="D2671" s="905"/>
      <c r="E2671" s="209" t="s">
        <v>28</v>
      </c>
      <c r="F2671" s="209" t="s">
        <v>29</v>
      </c>
      <c r="G2671" s="209" t="s">
        <v>30</v>
      </c>
      <c r="H2671" s="208" t="s">
        <v>25</v>
      </c>
      <c r="I2671" s="43"/>
    </row>
    <row r="2672" spans="2:9" x14ac:dyDescent="0.15">
      <c r="B2672" s="4" t="s">
        <v>117</v>
      </c>
      <c r="C2672" s="24"/>
      <c r="D2672" s="6"/>
      <c r="E2672" s="3" t="s">
        <v>103</v>
      </c>
      <c r="F2672" s="166">
        <f>MATERIALES!F43</f>
        <v>40000</v>
      </c>
      <c r="G2672" s="73">
        <v>0.05</v>
      </c>
      <c r="H2672" s="230">
        <f>F2672*G2672</f>
        <v>2000</v>
      </c>
      <c r="I2672" s="44"/>
    </row>
    <row r="2673" spans="2:9" x14ac:dyDescent="0.15">
      <c r="B2673" s="4"/>
      <c r="C2673" s="24"/>
      <c r="D2673" s="6"/>
      <c r="E2673" s="3"/>
      <c r="F2673" s="164"/>
      <c r="G2673" s="65"/>
      <c r="H2673" s="165"/>
      <c r="I2673" s="44"/>
    </row>
    <row r="2674" spans="2:9" ht="14" thickBot="1" x14ac:dyDescent="0.2">
      <c r="B2674" s="25"/>
      <c r="C2674" s="26"/>
      <c r="D2674" s="27"/>
      <c r="E2674" s="21"/>
      <c r="F2674" s="22"/>
      <c r="G2674" s="167"/>
      <c r="H2674" s="47"/>
      <c r="I2674" s="48"/>
    </row>
    <row r="2675" spans="2:9" ht="14" thickBot="1" x14ac:dyDescent="0.2">
      <c r="B2675" s="1"/>
      <c r="C2675" s="1"/>
      <c r="D2675" s="1"/>
      <c r="E2675" s="1"/>
      <c r="F2675" s="1"/>
      <c r="G2675" s="1"/>
      <c r="H2675" s="37" t="s">
        <v>26</v>
      </c>
      <c r="I2675" s="163">
        <f>SUM(H2672:H2674)</f>
        <v>2000</v>
      </c>
    </row>
    <row r="2676" spans="2:9" ht="14" thickBot="1" x14ac:dyDescent="0.2">
      <c r="B2676" s="28" t="s">
        <v>31</v>
      </c>
      <c r="C2676" s="28"/>
      <c r="D2676" s="26"/>
      <c r="E2676" s="1"/>
      <c r="F2676" s="1"/>
      <c r="G2676" s="1"/>
      <c r="H2676" s="1"/>
      <c r="I2676" s="1"/>
    </row>
    <row r="2677" spans="2:9" x14ac:dyDescent="0.15">
      <c r="B2677" s="51" t="s">
        <v>32</v>
      </c>
      <c r="C2677" s="52"/>
      <c r="D2677" s="97" t="s">
        <v>33</v>
      </c>
      <c r="E2677" s="209" t="s">
        <v>34</v>
      </c>
      <c r="F2677" s="209" t="s">
        <v>35</v>
      </c>
      <c r="G2677" s="209" t="s">
        <v>36</v>
      </c>
      <c r="H2677" s="59" t="s">
        <v>25</v>
      </c>
      <c r="I2677" s="43"/>
    </row>
    <row r="2678" spans="2:9" x14ac:dyDescent="0.15">
      <c r="B2678" s="4" t="s">
        <v>79</v>
      </c>
      <c r="C2678" s="6"/>
      <c r="D2678" s="53">
        <v>0.05</v>
      </c>
      <c r="E2678" s="2">
        <v>15</v>
      </c>
      <c r="F2678" s="2">
        <f>E2678*D2678</f>
        <v>0.75</v>
      </c>
      <c r="G2678" s="162">
        <v>1100</v>
      </c>
      <c r="H2678" s="20">
        <f>G2678*F2678</f>
        <v>825</v>
      </c>
      <c r="I2678" s="44"/>
    </row>
    <row r="2679" spans="2:9" ht="14" thickBot="1" x14ac:dyDescent="0.2">
      <c r="B2679" s="33"/>
      <c r="C2679" s="54"/>
      <c r="D2679" s="21"/>
      <c r="E2679" s="22"/>
      <c r="F2679" s="23"/>
      <c r="G2679" s="47"/>
      <c r="H2679" s="21"/>
      <c r="I2679" s="48"/>
    </row>
    <row r="2680" spans="2:9" ht="14" thickBot="1" x14ac:dyDescent="0.2">
      <c r="B2680" s="1"/>
      <c r="C2680" s="1"/>
      <c r="D2680" s="1"/>
      <c r="E2680" s="1"/>
      <c r="F2680" s="1"/>
      <c r="G2680" s="1"/>
      <c r="H2680" s="37" t="s">
        <v>26</v>
      </c>
      <c r="I2680" s="163">
        <f>SUM(H2678:H2679)</f>
        <v>825</v>
      </c>
    </row>
    <row r="2681" spans="2:9" ht="14" thickBot="1" x14ac:dyDescent="0.2">
      <c r="B2681" s="28" t="s">
        <v>37</v>
      </c>
      <c r="C2681" s="28"/>
      <c r="D2681" s="1"/>
      <c r="E2681" s="1"/>
      <c r="F2681" s="1"/>
      <c r="G2681" s="1"/>
      <c r="H2681" s="1"/>
      <c r="I2681" s="1"/>
    </row>
    <row r="2682" spans="2:9" x14ac:dyDescent="0.15">
      <c r="B2682" s="51" t="s">
        <v>38</v>
      </c>
      <c r="C2682" s="86"/>
      <c r="D2682" s="31" t="s">
        <v>39</v>
      </c>
      <c r="E2682" s="209" t="s">
        <v>40</v>
      </c>
      <c r="F2682" s="19" t="s">
        <v>41</v>
      </c>
      <c r="G2682" s="31" t="s">
        <v>24</v>
      </c>
      <c r="H2682" s="208" t="s">
        <v>25</v>
      </c>
      <c r="I2682" s="43"/>
    </row>
    <row r="2683" spans="2:9" x14ac:dyDescent="0.15">
      <c r="B2683" s="4" t="s">
        <v>65</v>
      </c>
      <c r="C2683" s="24"/>
      <c r="D2683" s="32">
        <f>'MANO DE OBRA'!E15</f>
        <v>95333</v>
      </c>
      <c r="E2683" s="88">
        <v>1.75</v>
      </c>
      <c r="F2683" s="164">
        <f>+E2683*D2683</f>
        <v>166832.75</v>
      </c>
      <c r="G2683" s="20">
        <v>20</v>
      </c>
      <c r="H2683" s="169">
        <f>+F2683/G2683</f>
        <v>8341.6375000000007</v>
      </c>
      <c r="I2683" s="44"/>
    </row>
    <row r="2684" spans="2:9" x14ac:dyDescent="0.15">
      <c r="B2684" s="4" t="s">
        <v>55</v>
      </c>
      <c r="C2684" s="24"/>
      <c r="D2684" s="32">
        <v>84000</v>
      </c>
      <c r="E2684" s="88">
        <v>1.75</v>
      </c>
      <c r="F2684" s="164">
        <f>+E2684*D2684</f>
        <v>147000</v>
      </c>
      <c r="G2684" s="20">
        <v>20</v>
      </c>
      <c r="H2684" s="169">
        <f>+F2684/G2684</f>
        <v>7350</v>
      </c>
      <c r="I2684" s="44"/>
    </row>
    <row r="2685" spans="2:9" ht="14" thickBot="1" x14ac:dyDescent="0.2">
      <c r="B2685" s="33"/>
      <c r="C2685" s="34"/>
      <c r="D2685" s="22"/>
      <c r="E2685" s="21"/>
      <c r="F2685" s="22"/>
      <c r="G2685" s="23"/>
      <c r="H2685" s="47"/>
      <c r="I2685" s="48"/>
    </row>
    <row r="2686" spans="2:9" ht="14" thickBot="1" x14ac:dyDescent="0.2">
      <c r="B2686" s="1"/>
      <c r="C2686" s="1"/>
      <c r="D2686" s="1"/>
      <c r="E2686" s="1"/>
      <c r="F2686" s="1"/>
      <c r="G2686" s="1"/>
      <c r="H2686" s="37" t="s">
        <v>26</v>
      </c>
      <c r="I2686" s="177">
        <f>SUM(H2683:H2685)</f>
        <v>15691.637500000001</v>
      </c>
    </row>
    <row r="2687" spans="2:9" ht="14" thickBot="1" x14ac:dyDescent="0.2">
      <c r="B2687" s="1"/>
      <c r="C2687" s="1"/>
      <c r="D2687" s="1"/>
      <c r="E2687" s="1"/>
      <c r="F2687" s="1"/>
      <c r="G2687" s="1"/>
      <c r="H2687" s="61"/>
      <c r="I2687" s="1"/>
    </row>
    <row r="2688" spans="2:9" ht="15" thickBot="1" x14ac:dyDescent="0.2">
      <c r="B2688" s="1"/>
      <c r="C2688" s="1"/>
      <c r="D2688" s="1"/>
      <c r="E2688" s="1"/>
      <c r="F2688" s="35" t="s">
        <v>43</v>
      </c>
      <c r="G2688" s="16"/>
      <c r="H2688" s="16"/>
      <c r="I2688" s="232">
        <f>ROUND((I2669+I2675+I2680+I2686),0)</f>
        <v>19301</v>
      </c>
    </row>
    <row r="2689" spans="2:9" x14ac:dyDescent="0.15">
      <c r="B2689" s="12"/>
      <c r="C2689" s="12"/>
      <c r="D2689" s="1"/>
      <c r="E2689" s="1"/>
      <c r="F2689" s="1"/>
      <c r="G2689" s="1"/>
      <c r="H2689" s="172"/>
      <c r="I2689" s="172"/>
    </row>
    <row r="2690" spans="2:9" x14ac:dyDescent="0.15">
      <c r="B2690" s="16"/>
      <c r="C2690" s="16"/>
      <c r="D2690" s="16"/>
      <c r="E2690" s="16"/>
      <c r="F2690" s="16"/>
      <c r="G2690" s="61"/>
      <c r="H2690" s="173"/>
      <c r="I2690" s="172"/>
    </row>
    <row r="2691" spans="2:9" x14ac:dyDescent="0.15">
      <c r="B2691" s="1"/>
      <c r="C2691" s="1"/>
      <c r="D2691" s="1"/>
      <c r="E2691" s="1"/>
      <c r="F2691" s="1"/>
      <c r="G2691" s="161"/>
      <c r="H2691" s="172"/>
      <c r="I2691" s="172"/>
    </row>
    <row r="2692" spans="2:9" x14ac:dyDescent="0.15">
      <c r="B2692" s="1"/>
      <c r="C2692" s="1"/>
      <c r="D2692" s="1"/>
      <c r="E2692" s="1"/>
      <c r="F2692" s="1"/>
      <c r="G2692" s="161"/>
      <c r="H2692" s="172"/>
      <c r="I2692" s="172"/>
    </row>
    <row r="2693" spans="2:9" x14ac:dyDescent="0.15">
      <c r="B2693" s="1"/>
      <c r="C2693" s="1"/>
      <c r="D2693" s="1"/>
      <c r="E2693" s="1"/>
      <c r="F2693" s="1"/>
      <c r="G2693" s="161"/>
      <c r="H2693" s="172"/>
      <c r="I2693" s="172"/>
    </row>
    <row r="2694" spans="2:9" x14ac:dyDescent="0.15">
      <c r="B2694" s="1"/>
      <c r="C2694" s="1"/>
      <c r="D2694" s="1"/>
      <c r="E2694" s="1"/>
      <c r="F2694" s="1"/>
      <c r="G2694" s="1"/>
      <c r="H2694" s="37"/>
      <c r="I2694" s="172"/>
    </row>
    <row r="2695" spans="2:9" ht="14" x14ac:dyDescent="0.15">
      <c r="B2695" s="102"/>
      <c r="C2695" s="1"/>
      <c r="D2695" s="1"/>
      <c r="E2695" s="1"/>
      <c r="F2695" s="1"/>
      <c r="G2695" s="1"/>
      <c r="H2695" s="1"/>
      <c r="I2695" s="172"/>
    </row>
    <row r="2696" spans="2:9" ht="14" x14ac:dyDescent="0.15">
      <c r="B2696" s="83"/>
      <c r="C2696" s="11"/>
      <c r="D2696" s="1"/>
      <c r="E2696" s="916"/>
      <c r="F2696" s="916"/>
      <c r="G2696" s="916"/>
      <c r="H2696" s="916"/>
      <c r="I2696" s="171"/>
    </row>
    <row r="2697" spans="2:9" ht="14" x14ac:dyDescent="0.15">
      <c r="B2697" s="102"/>
      <c r="C2697" s="11"/>
      <c r="D2697" s="1"/>
      <c r="E2697" s="155"/>
      <c r="F2697" s="155"/>
      <c r="G2697" s="155"/>
      <c r="H2697" s="155"/>
      <c r="I2697" s="171"/>
    </row>
    <row r="2698" spans="2:9" ht="14" x14ac:dyDescent="0.15">
      <c r="B2698" s="83"/>
      <c r="C2698" s="11"/>
      <c r="D2698" s="1"/>
      <c r="E2698" s="155"/>
      <c r="F2698" s="155"/>
      <c r="G2698" s="155"/>
      <c r="H2698" s="155"/>
      <c r="I2698" s="171"/>
    </row>
    <row r="2699" spans="2:9" x14ac:dyDescent="0.15">
      <c r="B2699" s="11"/>
      <c r="C2699" s="11"/>
      <c r="D2699" s="1"/>
      <c r="E2699" s="155"/>
      <c r="F2699" s="155"/>
      <c r="G2699" s="155"/>
      <c r="H2699" s="155"/>
      <c r="I2699" s="171"/>
    </row>
    <row r="2700" spans="2:9" x14ac:dyDescent="0.15">
      <c r="B2700" s="11"/>
      <c r="C2700" s="11"/>
      <c r="D2700" s="1"/>
      <c r="E2700" s="155"/>
      <c r="F2700" s="155"/>
      <c r="G2700" s="155"/>
      <c r="H2700" s="155"/>
      <c r="I2700" s="171"/>
    </row>
    <row r="2701" spans="2:9" x14ac:dyDescent="0.15">
      <c r="B2701" s="11"/>
      <c r="C2701" s="11"/>
      <c r="D2701" s="1"/>
      <c r="E2701" s="155"/>
      <c r="F2701" s="155"/>
      <c r="G2701" s="155"/>
      <c r="H2701" s="155"/>
      <c r="I2701" s="171"/>
    </row>
    <row r="2702" spans="2:9" x14ac:dyDescent="0.15">
      <c r="B2702" s="11"/>
      <c r="C2702" s="11"/>
      <c r="D2702" s="1"/>
      <c r="E2702" s="155"/>
      <c r="F2702" s="155"/>
      <c r="G2702" s="155"/>
      <c r="H2702" s="155"/>
      <c r="I2702" s="171"/>
    </row>
    <row r="2703" spans="2:9" x14ac:dyDescent="0.15">
      <c r="B2703" s="11"/>
      <c r="C2703" s="11"/>
      <c r="D2703" s="1"/>
      <c r="E2703" s="155"/>
      <c r="F2703" s="155"/>
      <c r="G2703" s="155"/>
      <c r="H2703" s="155"/>
      <c r="I2703" s="171"/>
    </row>
    <row r="2704" spans="2:9" x14ac:dyDescent="0.15">
      <c r="B2704" s="11"/>
      <c r="C2704" s="11"/>
      <c r="D2704" s="11"/>
      <c r="E2704" s="11"/>
      <c r="F2704" s="11"/>
      <c r="G2704" s="11"/>
      <c r="H2704" s="11"/>
      <c r="I2704" s="11"/>
    </row>
    <row r="2705" spans="2:10" x14ac:dyDescent="0.15">
      <c r="B2705" s="11"/>
      <c r="C2705" s="11"/>
      <c r="D2705" s="11"/>
      <c r="E2705" s="11"/>
      <c r="F2705" s="11"/>
      <c r="G2705" s="11"/>
      <c r="H2705" s="11"/>
      <c r="I2705" s="11"/>
    </row>
    <row r="2706" spans="2:10" ht="14" x14ac:dyDescent="0.15">
      <c r="B2706" s="102"/>
      <c r="C2706" s="83"/>
      <c r="D2706" s="84"/>
      <c r="E2706" s="83"/>
      <c r="F2706" s="83"/>
      <c r="G2706" s="103"/>
      <c r="H2706" s="83"/>
      <c r="I2706" s="85"/>
      <c r="J2706" s="85"/>
    </row>
    <row r="2707" spans="2:10" x14ac:dyDescent="0.15">
      <c r="B2707" s="11"/>
      <c r="C2707" s="11"/>
      <c r="D2707" s="1"/>
      <c r="E2707" s="155"/>
      <c r="F2707" s="155"/>
      <c r="G2707" s="155"/>
      <c r="H2707" s="155"/>
      <c r="I2707" s="171"/>
    </row>
    <row r="2708" spans="2:10" x14ac:dyDescent="0.15">
      <c r="B2708" s="11"/>
      <c r="C2708" s="11"/>
      <c r="D2708" s="1"/>
      <c r="E2708" s="155"/>
      <c r="F2708" s="155"/>
      <c r="G2708" s="155"/>
      <c r="H2708" s="155"/>
      <c r="I2708" s="171"/>
    </row>
    <row r="2709" spans="2:10" ht="14" thickBot="1" x14ac:dyDescent="0.2"/>
    <row r="2710" spans="2:10" ht="21" customHeight="1" x14ac:dyDescent="0.15">
      <c r="B2710" s="885" t="s">
        <v>874</v>
      </c>
      <c r="C2710" s="886"/>
      <c r="D2710" s="886"/>
      <c r="E2710" s="886"/>
      <c r="F2710" s="887"/>
      <c r="G2710" s="1"/>
      <c r="H2710" s="912" t="s">
        <v>20</v>
      </c>
      <c r="I2710" s="913"/>
    </row>
    <row r="2711" spans="2:10" ht="16.5" customHeight="1" thickBot="1" x14ac:dyDescent="0.2">
      <c r="B2711" s="888" t="s">
        <v>875</v>
      </c>
      <c r="C2711" s="889"/>
      <c r="D2711" s="889"/>
      <c r="E2711" s="889"/>
      <c r="F2711" s="890"/>
      <c r="G2711" s="63"/>
      <c r="H2711" s="914"/>
      <c r="I2711" s="915"/>
    </row>
    <row r="2712" spans="2:10" ht="12.75" customHeight="1" x14ac:dyDescent="0.15">
      <c r="B2712" s="906" t="s">
        <v>876</v>
      </c>
      <c r="C2712" s="907"/>
      <c r="D2712" s="907"/>
      <c r="E2712" s="907"/>
      <c r="F2712" s="908"/>
      <c r="G2712" s="63"/>
      <c r="H2712" s="962" t="s">
        <v>897</v>
      </c>
      <c r="I2712" s="963"/>
    </row>
    <row r="2713" spans="2:10" ht="16.5" customHeight="1" thickBot="1" x14ac:dyDescent="0.2">
      <c r="B2713" s="909"/>
      <c r="C2713" s="910"/>
      <c r="D2713" s="910"/>
      <c r="E2713" s="910"/>
      <c r="F2713" s="911"/>
      <c r="G2713" s="1"/>
      <c r="H2713" s="964"/>
      <c r="I2713" s="965"/>
    </row>
    <row r="2714" spans="2:10" ht="13.5" customHeight="1" thickBot="1" x14ac:dyDescent="0.2">
      <c r="B2714" s="15"/>
      <c r="C2714" s="16"/>
      <c r="D2714" s="1"/>
      <c r="E2714" s="1"/>
      <c r="F2714" s="1"/>
      <c r="G2714" s="1"/>
      <c r="H2714" s="964"/>
      <c r="I2714" s="965"/>
    </row>
    <row r="2715" spans="2:10" ht="12.75" customHeight="1" x14ac:dyDescent="0.15">
      <c r="B2715" s="922" t="s">
        <v>836</v>
      </c>
      <c r="C2715" s="923"/>
      <c r="D2715" s="923"/>
      <c r="E2715" s="923"/>
      <c r="F2715" s="924"/>
      <c r="G2715" s="1"/>
      <c r="H2715" s="964"/>
      <c r="I2715" s="965"/>
    </row>
    <row r="2716" spans="2:10" ht="12.75" customHeight="1" x14ac:dyDescent="0.15">
      <c r="B2716" s="925"/>
      <c r="C2716" s="926"/>
      <c r="D2716" s="926"/>
      <c r="E2716" s="926"/>
      <c r="F2716" s="927"/>
      <c r="H2716" s="964"/>
      <c r="I2716" s="965"/>
    </row>
    <row r="2717" spans="2:10" ht="13.5" customHeight="1" thickBot="1" x14ac:dyDescent="0.2">
      <c r="B2717" s="925"/>
      <c r="C2717" s="926"/>
      <c r="D2717" s="926"/>
      <c r="E2717" s="926"/>
      <c r="F2717" s="927"/>
      <c r="G2717" s="11"/>
      <c r="H2717" s="966"/>
      <c r="I2717" s="967"/>
    </row>
    <row r="2718" spans="2:10" ht="21.75" customHeight="1" thickBot="1" x14ac:dyDescent="0.2">
      <c r="B2718" s="928"/>
      <c r="C2718" s="929"/>
      <c r="D2718" s="929"/>
      <c r="E2718" s="929"/>
      <c r="F2718" s="930"/>
      <c r="H2718" s="146" t="s">
        <v>45</v>
      </c>
      <c r="I2718" s="147" t="s">
        <v>5</v>
      </c>
    </row>
    <row r="2719" spans="2:10" ht="13.5" customHeight="1" x14ac:dyDescent="0.15">
      <c r="B2719" s="18"/>
      <c r="C2719" s="18"/>
      <c r="D2719" s="1"/>
      <c r="E2719" s="18"/>
      <c r="F2719" s="18"/>
      <c r="G2719" s="18"/>
      <c r="H2719" s="18"/>
      <c r="I2719" s="1"/>
    </row>
    <row r="2720" spans="2:10" ht="14" thickBot="1" x14ac:dyDescent="0.2">
      <c r="B2720" s="12" t="s">
        <v>21</v>
      </c>
      <c r="C2720" s="12"/>
      <c r="D2720" s="1"/>
      <c r="E2720" s="1"/>
      <c r="F2720" s="1"/>
      <c r="G2720" s="1"/>
      <c r="H2720" s="1"/>
      <c r="I2720" s="1"/>
    </row>
    <row r="2721" spans="2:9" x14ac:dyDescent="0.15">
      <c r="B2721" s="903" t="s">
        <v>22</v>
      </c>
      <c r="C2721" s="904"/>
      <c r="D2721" s="905"/>
      <c r="E2721" s="209" t="s">
        <v>23</v>
      </c>
      <c r="F2721" s="19" t="s">
        <v>47</v>
      </c>
      <c r="G2721" s="209" t="s">
        <v>24</v>
      </c>
      <c r="H2721" s="208" t="s">
        <v>25</v>
      </c>
      <c r="I2721" s="43"/>
    </row>
    <row r="2722" spans="2:9" x14ac:dyDescent="0.15">
      <c r="B2722" s="897" t="s">
        <v>56</v>
      </c>
      <c r="C2722" s="898"/>
      <c r="D2722" s="899"/>
      <c r="E2722" s="5"/>
      <c r="F2722" s="162"/>
      <c r="G2722" s="58"/>
      <c r="H2722" s="165">
        <f>+I2742*0.05</f>
        <v>733.05458333333343</v>
      </c>
      <c r="I2722" s="44"/>
    </row>
    <row r="2723" spans="2:9" x14ac:dyDescent="0.15">
      <c r="B2723" s="897"/>
      <c r="C2723" s="898"/>
      <c r="D2723" s="899"/>
      <c r="E2723" s="5"/>
      <c r="F2723" s="46"/>
      <c r="G2723" s="20"/>
      <c r="H2723" s="56"/>
      <c r="I2723" s="44"/>
    </row>
    <row r="2724" spans="2:9" ht="14" thickBot="1" x14ac:dyDescent="0.2">
      <c r="B2724" s="900"/>
      <c r="C2724" s="901"/>
      <c r="D2724" s="902"/>
      <c r="E2724" s="21"/>
      <c r="F2724" s="22"/>
      <c r="G2724" s="23"/>
      <c r="H2724" s="47"/>
      <c r="I2724" s="48"/>
    </row>
    <row r="2725" spans="2:9" ht="14" thickBot="1" x14ac:dyDescent="0.2">
      <c r="B2725" s="1"/>
      <c r="C2725" s="1"/>
      <c r="D2725" s="1"/>
      <c r="E2725" s="1"/>
      <c r="F2725" s="1"/>
      <c r="G2725" s="1"/>
      <c r="H2725" s="37" t="s">
        <v>26</v>
      </c>
      <c r="I2725" s="163">
        <f>SUM(H2722:H2724)</f>
        <v>733.05458333333343</v>
      </c>
    </row>
    <row r="2726" spans="2:9" ht="14" thickBot="1" x14ac:dyDescent="0.2">
      <c r="B2726" s="12" t="s">
        <v>27</v>
      </c>
      <c r="C2726" s="12"/>
      <c r="D2726" s="1"/>
      <c r="E2726" s="1"/>
      <c r="F2726" s="1"/>
      <c r="G2726" s="1"/>
      <c r="H2726" s="1"/>
      <c r="I2726" s="1"/>
    </row>
    <row r="2727" spans="2:9" x14ac:dyDescent="0.15">
      <c r="B2727" s="903" t="s">
        <v>22</v>
      </c>
      <c r="C2727" s="904"/>
      <c r="D2727" s="905"/>
      <c r="E2727" s="209" t="s">
        <v>28</v>
      </c>
      <c r="F2727" s="209" t="s">
        <v>29</v>
      </c>
      <c r="G2727" s="209" t="s">
        <v>30</v>
      </c>
      <c r="H2727" s="208" t="s">
        <v>25</v>
      </c>
      <c r="I2727" s="43"/>
    </row>
    <row r="2728" spans="2:9" x14ac:dyDescent="0.15">
      <c r="B2728" s="4" t="s">
        <v>274</v>
      </c>
      <c r="C2728" s="24"/>
      <c r="D2728" s="6"/>
      <c r="E2728" s="3" t="s">
        <v>103</v>
      </c>
      <c r="F2728" s="166">
        <f>MATERIALES!F44</f>
        <v>103000</v>
      </c>
      <c r="G2728" s="73">
        <v>0.03</v>
      </c>
      <c r="H2728" s="230">
        <f>F2728*G2728</f>
        <v>3090</v>
      </c>
      <c r="I2728" s="44"/>
    </row>
    <row r="2729" spans="2:9" ht="14" thickBot="1" x14ac:dyDescent="0.2">
      <c r="B2729" s="25"/>
      <c r="C2729" s="26"/>
      <c r="D2729" s="27"/>
      <c r="E2729" s="21"/>
      <c r="F2729" s="22"/>
      <c r="G2729" s="167"/>
      <c r="H2729" s="47"/>
      <c r="I2729" s="48"/>
    </row>
    <row r="2730" spans="2:9" ht="14" thickBot="1" x14ac:dyDescent="0.2">
      <c r="B2730" s="1"/>
      <c r="C2730" s="1"/>
      <c r="D2730" s="1"/>
      <c r="E2730" s="1"/>
      <c r="F2730" s="1"/>
      <c r="G2730" s="1"/>
      <c r="H2730" s="37" t="s">
        <v>26</v>
      </c>
      <c r="I2730" s="163">
        <f>SUM(H2728:H2729)</f>
        <v>3090</v>
      </c>
    </row>
    <row r="2731" spans="2:9" ht="14" thickBot="1" x14ac:dyDescent="0.2">
      <c r="B2731" s="28" t="s">
        <v>31</v>
      </c>
      <c r="C2731" s="28"/>
      <c r="D2731" s="26"/>
      <c r="E2731" s="1"/>
      <c r="F2731" s="1"/>
      <c r="G2731" s="1"/>
      <c r="H2731" s="1"/>
      <c r="I2731" s="1"/>
    </row>
    <row r="2732" spans="2:9" x14ac:dyDescent="0.15">
      <c r="B2732" s="51" t="s">
        <v>32</v>
      </c>
      <c r="C2732" s="52"/>
      <c r="D2732" s="97" t="s">
        <v>33</v>
      </c>
      <c r="E2732" s="209" t="s">
        <v>34</v>
      </c>
      <c r="F2732" s="209" t="s">
        <v>35</v>
      </c>
      <c r="G2732" s="209" t="s">
        <v>36</v>
      </c>
      <c r="H2732" s="59" t="s">
        <v>25</v>
      </c>
      <c r="I2732" s="43"/>
    </row>
    <row r="2733" spans="2:9" x14ac:dyDescent="0.15">
      <c r="B2733" s="4" t="s">
        <v>79</v>
      </c>
      <c r="C2733" s="6"/>
      <c r="D2733" s="53">
        <v>0.05</v>
      </c>
      <c r="E2733" s="2">
        <v>15</v>
      </c>
      <c r="F2733" s="2">
        <f>E2733*D2733</f>
        <v>0.75</v>
      </c>
      <c r="G2733" s="162">
        <v>1100</v>
      </c>
      <c r="H2733" s="20">
        <f>G2733*F2733</f>
        <v>825</v>
      </c>
      <c r="I2733" s="44"/>
    </row>
    <row r="2734" spans="2:9" x14ac:dyDescent="0.15">
      <c r="B2734" s="107"/>
      <c r="C2734" s="66"/>
      <c r="D2734" s="67"/>
      <c r="E2734" s="68"/>
      <c r="F2734" s="68"/>
      <c r="G2734" s="69"/>
      <c r="H2734" s="65"/>
      <c r="I2734" s="44"/>
    </row>
    <row r="2735" spans="2:9" ht="14" thickBot="1" x14ac:dyDescent="0.2">
      <c r="B2735" s="33"/>
      <c r="C2735" s="54"/>
      <c r="D2735" s="21"/>
      <c r="E2735" s="22"/>
      <c r="F2735" s="23"/>
      <c r="G2735" s="47"/>
      <c r="H2735" s="21"/>
      <c r="I2735" s="48"/>
    </row>
    <row r="2736" spans="2:9" ht="14" thickBot="1" x14ac:dyDescent="0.2">
      <c r="B2736" s="1"/>
      <c r="C2736" s="1"/>
      <c r="D2736" s="1"/>
      <c r="E2736" s="1"/>
      <c r="F2736" s="1"/>
      <c r="G2736" s="1"/>
      <c r="H2736" s="37" t="s">
        <v>26</v>
      </c>
      <c r="I2736" s="163">
        <f>SUM(H2733:H2735)</f>
        <v>825</v>
      </c>
    </row>
    <row r="2737" spans="2:11" ht="14" thickBot="1" x14ac:dyDescent="0.2">
      <c r="B2737" s="28" t="s">
        <v>37</v>
      </c>
      <c r="C2737" s="28"/>
      <c r="D2737" s="1"/>
      <c r="E2737" s="1"/>
      <c r="F2737" s="1"/>
      <c r="G2737" s="1"/>
      <c r="H2737" s="1"/>
      <c r="I2737" s="1"/>
    </row>
    <row r="2738" spans="2:11" x14ac:dyDescent="0.15">
      <c r="B2738" s="51" t="s">
        <v>38</v>
      </c>
      <c r="C2738" s="86"/>
      <c r="D2738" s="31" t="s">
        <v>39</v>
      </c>
      <c r="E2738" s="209" t="s">
        <v>40</v>
      </c>
      <c r="F2738" s="19" t="s">
        <v>41</v>
      </c>
      <c r="G2738" s="31" t="s">
        <v>24</v>
      </c>
      <c r="H2738" s="208" t="s">
        <v>25</v>
      </c>
      <c r="I2738" s="43"/>
    </row>
    <row r="2739" spans="2:11" x14ac:dyDescent="0.15">
      <c r="B2739" s="4" t="s">
        <v>104</v>
      </c>
      <c r="C2739" s="24"/>
      <c r="D2739" s="32">
        <f>'MANO DE OBRA'!E15</f>
        <v>95333</v>
      </c>
      <c r="E2739" s="88">
        <v>1.75</v>
      </c>
      <c r="F2739" s="164">
        <f>+E2739*D2739</f>
        <v>166832.75</v>
      </c>
      <c r="G2739" s="20">
        <v>30</v>
      </c>
      <c r="H2739" s="169">
        <f>+F2739/G2739</f>
        <v>5561.0916666666662</v>
      </c>
      <c r="I2739" s="44"/>
    </row>
    <row r="2740" spans="2:11" x14ac:dyDescent="0.15">
      <c r="B2740" s="4" t="s">
        <v>64</v>
      </c>
      <c r="C2740" s="24"/>
      <c r="D2740" s="32">
        <f>'MANO DE OBRA'!E14*3</f>
        <v>156000</v>
      </c>
      <c r="E2740" s="88">
        <v>1.75</v>
      </c>
      <c r="F2740" s="164">
        <f>+E2740*D2740</f>
        <v>273000</v>
      </c>
      <c r="G2740" s="20">
        <v>30</v>
      </c>
      <c r="H2740" s="169">
        <f>+F2740/G2740</f>
        <v>9100</v>
      </c>
      <c r="I2740" s="44"/>
    </row>
    <row r="2741" spans="2:11" ht="14" thickBot="1" x14ac:dyDescent="0.2">
      <c r="B2741" s="33"/>
      <c r="C2741" s="34"/>
      <c r="D2741" s="22"/>
      <c r="E2741" s="21"/>
      <c r="F2741" s="22"/>
      <c r="G2741" s="23"/>
      <c r="H2741" s="47"/>
      <c r="I2741" s="48"/>
    </row>
    <row r="2742" spans="2:11" ht="14" thickBot="1" x14ac:dyDescent="0.2">
      <c r="B2742" s="1"/>
      <c r="C2742" s="1"/>
      <c r="D2742" s="1"/>
      <c r="E2742" s="1"/>
      <c r="F2742" s="1"/>
      <c r="G2742" s="1"/>
      <c r="H2742" s="37" t="s">
        <v>26</v>
      </c>
      <c r="I2742" s="177">
        <f>SUM(H2739:H2741)</f>
        <v>14661.091666666667</v>
      </c>
    </row>
    <row r="2743" spans="2:11" ht="14" thickBot="1" x14ac:dyDescent="0.2">
      <c r="B2743" s="1"/>
      <c r="C2743" s="1"/>
      <c r="D2743" s="1"/>
      <c r="E2743" s="1"/>
      <c r="F2743" s="1"/>
      <c r="G2743" s="1"/>
      <c r="H2743" s="61"/>
      <c r="I2743" s="1"/>
    </row>
    <row r="2744" spans="2:11" ht="15" thickBot="1" x14ac:dyDescent="0.2">
      <c r="B2744" s="1"/>
      <c r="C2744" s="1"/>
      <c r="D2744" s="1"/>
      <c r="E2744" s="1"/>
      <c r="F2744" s="35" t="s">
        <v>43</v>
      </c>
      <c r="G2744" s="16"/>
      <c r="H2744" s="16"/>
      <c r="I2744" s="232">
        <f>ROUND((I2725+I2730+I2736+I2742),0)</f>
        <v>19309</v>
      </c>
    </row>
    <row r="2745" spans="2:11" x14ac:dyDescent="0.15">
      <c r="B2745" s="12"/>
      <c r="C2745" s="12"/>
      <c r="D2745" s="1"/>
      <c r="E2745" s="1"/>
      <c r="F2745" s="1"/>
      <c r="G2745" s="1"/>
      <c r="H2745" s="172"/>
      <c r="I2745" s="172"/>
    </row>
    <row r="2746" spans="2:11" x14ac:dyDescent="0.15">
      <c r="B2746" s="16"/>
      <c r="C2746" s="16"/>
      <c r="D2746" s="16"/>
      <c r="E2746" s="16"/>
      <c r="F2746" s="16"/>
      <c r="G2746" s="61"/>
      <c r="H2746" s="173"/>
      <c r="I2746" s="172"/>
    </row>
    <row r="2747" spans="2:11" x14ac:dyDescent="0.15">
      <c r="B2747" s="1"/>
      <c r="C2747" s="1"/>
      <c r="D2747" s="1"/>
      <c r="E2747" s="1"/>
      <c r="F2747" s="1"/>
      <c r="G2747" s="161"/>
      <c r="H2747" s="172"/>
      <c r="I2747" s="172"/>
      <c r="K2747" s="106"/>
    </row>
    <row r="2748" spans="2:11" x14ac:dyDescent="0.15">
      <c r="B2748" s="1"/>
      <c r="C2748" s="1"/>
      <c r="D2748" s="1"/>
      <c r="E2748" s="1"/>
      <c r="F2748" s="1"/>
      <c r="G2748" s="161"/>
      <c r="H2748" s="172"/>
      <c r="I2748" s="172"/>
    </row>
    <row r="2749" spans="2:11" x14ac:dyDescent="0.15">
      <c r="B2749" s="1"/>
      <c r="C2749" s="1"/>
      <c r="D2749" s="1"/>
      <c r="E2749" s="1"/>
      <c r="F2749" s="1"/>
      <c r="G2749" s="161"/>
      <c r="H2749" s="172"/>
      <c r="I2749" s="172"/>
    </row>
    <row r="2750" spans="2:11" x14ac:dyDescent="0.15">
      <c r="B2750" s="1"/>
      <c r="C2750" s="1"/>
      <c r="D2750" s="1"/>
      <c r="E2750" s="1"/>
      <c r="F2750" s="1"/>
      <c r="G2750" s="1"/>
      <c r="H2750" s="37"/>
      <c r="I2750" s="172"/>
    </row>
    <row r="2751" spans="2:11" ht="14" x14ac:dyDescent="0.15">
      <c r="B2751" s="102"/>
      <c r="C2751" s="1"/>
      <c r="D2751" s="1"/>
      <c r="E2751" s="1"/>
      <c r="F2751" s="1"/>
      <c r="G2751" s="1"/>
      <c r="H2751" s="1"/>
      <c r="I2751" s="172"/>
    </row>
    <row r="2752" spans="2:11" ht="14" x14ac:dyDescent="0.15">
      <c r="B2752" s="83"/>
      <c r="C2752" s="11"/>
      <c r="D2752" s="1"/>
      <c r="E2752" s="916"/>
      <c r="F2752" s="916"/>
      <c r="G2752" s="916"/>
      <c r="H2752" s="916"/>
      <c r="I2752" s="171"/>
    </row>
    <row r="2753" spans="2:10" ht="14" x14ac:dyDescent="0.15">
      <c r="B2753" s="102"/>
      <c r="C2753" s="11"/>
      <c r="D2753" s="1"/>
      <c r="E2753" s="155"/>
      <c r="F2753" s="155"/>
      <c r="G2753" s="155"/>
      <c r="H2753" s="155"/>
      <c r="I2753" s="171"/>
    </row>
    <row r="2754" spans="2:10" ht="14" x14ac:dyDescent="0.15">
      <c r="B2754" s="83"/>
      <c r="C2754" s="11"/>
      <c r="D2754" s="1"/>
      <c r="E2754" s="155"/>
      <c r="F2754" s="155"/>
      <c r="G2754" s="155"/>
      <c r="H2754" s="155"/>
      <c r="I2754" s="171"/>
    </row>
    <row r="2755" spans="2:10" x14ac:dyDescent="0.15">
      <c r="B2755" s="11"/>
      <c r="C2755" s="11"/>
      <c r="D2755" s="1"/>
      <c r="E2755" s="155"/>
      <c r="F2755" s="155"/>
      <c r="G2755" s="155"/>
      <c r="H2755" s="155"/>
      <c r="I2755" s="171"/>
    </row>
    <row r="2756" spans="2:10" x14ac:dyDescent="0.15">
      <c r="B2756" s="11"/>
      <c r="C2756" s="11"/>
      <c r="D2756" s="1"/>
      <c r="E2756" s="155"/>
      <c r="F2756" s="155"/>
      <c r="G2756" s="155"/>
      <c r="H2756" s="155"/>
      <c r="I2756" s="171"/>
    </row>
    <row r="2757" spans="2:10" x14ac:dyDescent="0.15">
      <c r="B2757" s="11"/>
      <c r="C2757" s="11"/>
      <c r="D2757" s="1"/>
      <c r="E2757" s="155"/>
      <c r="F2757" s="155"/>
      <c r="G2757" s="155"/>
      <c r="H2757" s="155"/>
      <c r="I2757" s="171"/>
    </row>
    <row r="2758" spans="2:10" x14ac:dyDescent="0.15">
      <c r="B2758" s="11"/>
      <c r="C2758" s="11"/>
      <c r="D2758" s="1"/>
      <c r="E2758" s="155"/>
      <c r="F2758" s="155"/>
      <c r="G2758" s="155"/>
      <c r="H2758" s="155"/>
      <c r="I2758" s="171"/>
    </row>
    <row r="2759" spans="2:10" x14ac:dyDescent="0.15">
      <c r="B2759" s="11"/>
      <c r="C2759" s="11"/>
      <c r="D2759" s="1"/>
      <c r="E2759" s="155"/>
      <c r="F2759" s="155"/>
      <c r="G2759" s="155"/>
      <c r="H2759" s="155"/>
      <c r="I2759" s="171"/>
    </row>
    <row r="2760" spans="2:10" x14ac:dyDescent="0.15">
      <c r="B2760" s="11"/>
      <c r="C2760" s="11"/>
      <c r="D2760" s="11"/>
      <c r="E2760" s="11"/>
      <c r="F2760" s="11"/>
      <c r="G2760" s="11"/>
      <c r="H2760" s="11"/>
      <c r="I2760" s="11"/>
    </row>
    <row r="2761" spans="2:10" ht="14" x14ac:dyDescent="0.15">
      <c r="B2761" s="102"/>
      <c r="C2761" s="83"/>
      <c r="D2761" s="84"/>
      <c r="E2761" s="83"/>
      <c r="F2761" s="83"/>
      <c r="G2761" s="103"/>
      <c r="H2761" s="83"/>
      <c r="I2761" s="85"/>
      <c r="J2761" s="85"/>
    </row>
    <row r="2762" spans="2:10" ht="14" x14ac:dyDescent="0.15">
      <c r="B2762" s="83"/>
      <c r="C2762" s="83"/>
      <c r="D2762" s="84"/>
      <c r="E2762" s="83"/>
      <c r="F2762" s="83"/>
      <c r="G2762" s="104"/>
      <c r="H2762" s="83"/>
      <c r="I2762" s="85"/>
      <c r="J2762" s="85"/>
    </row>
    <row r="2763" spans="2:10" x14ac:dyDescent="0.15">
      <c r="B2763" s="11"/>
      <c r="C2763" s="11"/>
      <c r="D2763" s="1"/>
      <c r="E2763" s="155"/>
      <c r="F2763" s="155"/>
      <c r="G2763" s="155"/>
      <c r="H2763" s="155"/>
      <c r="I2763" s="171"/>
    </row>
    <row r="2764" spans="2:10" x14ac:dyDescent="0.15">
      <c r="B2764" s="11"/>
      <c r="C2764" s="11"/>
      <c r="D2764" s="1"/>
      <c r="E2764" s="155"/>
      <c r="F2764" s="155"/>
      <c r="G2764" s="155"/>
      <c r="H2764" s="155"/>
      <c r="I2764" s="171"/>
    </row>
    <row r="2765" spans="2:10" ht="14" thickBot="1" x14ac:dyDescent="0.2"/>
    <row r="2766" spans="2:10" ht="21" customHeight="1" x14ac:dyDescent="0.15">
      <c r="B2766" s="885" t="s">
        <v>874</v>
      </c>
      <c r="C2766" s="886"/>
      <c r="D2766" s="886"/>
      <c r="E2766" s="886"/>
      <c r="F2766" s="887"/>
      <c r="G2766" s="1"/>
      <c r="H2766" s="879" t="s">
        <v>20</v>
      </c>
      <c r="I2766" s="880"/>
    </row>
    <row r="2767" spans="2:10" ht="16.5" customHeight="1" x14ac:dyDescent="0.15">
      <c r="B2767" s="888" t="s">
        <v>875</v>
      </c>
      <c r="C2767" s="889"/>
      <c r="D2767" s="889"/>
      <c r="E2767" s="889"/>
      <c r="F2767" s="890"/>
      <c r="G2767" s="63"/>
      <c r="H2767" s="881"/>
      <c r="I2767" s="882"/>
    </row>
    <row r="2768" spans="2:10" ht="12.75" customHeight="1" x14ac:dyDescent="0.15">
      <c r="B2768" s="906" t="s">
        <v>876</v>
      </c>
      <c r="C2768" s="907"/>
      <c r="D2768" s="907"/>
      <c r="E2768" s="907"/>
      <c r="F2768" s="908"/>
      <c r="G2768" s="63"/>
      <c r="H2768" s="883"/>
      <c r="I2768" s="884"/>
    </row>
    <row r="2769" spans="2:9" ht="16.5" customHeight="1" thickBot="1" x14ac:dyDescent="0.2">
      <c r="B2769" s="909"/>
      <c r="C2769" s="910"/>
      <c r="D2769" s="910"/>
      <c r="E2769" s="910"/>
      <c r="F2769" s="911"/>
      <c r="G2769" s="1"/>
      <c r="H2769" s="956" t="s">
        <v>899</v>
      </c>
      <c r="I2769" s="957"/>
    </row>
    <row r="2770" spans="2:9" ht="14" thickBot="1" x14ac:dyDescent="0.2">
      <c r="B2770" s="15"/>
      <c r="C2770" s="16"/>
      <c r="D2770" s="1"/>
      <c r="E2770" s="1"/>
      <c r="F2770" s="1"/>
      <c r="G2770" s="1"/>
      <c r="H2770" s="958"/>
      <c r="I2770" s="959"/>
    </row>
    <row r="2771" spans="2:9" ht="12.75" customHeight="1" x14ac:dyDescent="0.15">
      <c r="B2771" s="922" t="s">
        <v>836</v>
      </c>
      <c r="C2771" s="923"/>
      <c r="D2771" s="923"/>
      <c r="E2771" s="923"/>
      <c r="F2771" s="924"/>
      <c r="G2771" s="1"/>
      <c r="H2771" s="958"/>
      <c r="I2771" s="959"/>
    </row>
    <row r="2772" spans="2:9" ht="12.75" customHeight="1" x14ac:dyDescent="0.15">
      <c r="B2772" s="925"/>
      <c r="C2772" s="926"/>
      <c r="D2772" s="926"/>
      <c r="E2772" s="926"/>
      <c r="F2772" s="927"/>
      <c r="H2772" s="958"/>
      <c r="I2772" s="959"/>
    </row>
    <row r="2773" spans="2:9" ht="13.5" customHeight="1" x14ac:dyDescent="0.15">
      <c r="B2773" s="925"/>
      <c r="C2773" s="926"/>
      <c r="D2773" s="926"/>
      <c r="E2773" s="926"/>
      <c r="F2773" s="927"/>
      <c r="G2773" s="11"/>
      <c r="H2773" s="958"/>
      <c r="I2773" s="959"/>
    </row>
    <row r="2774" spans="2:9" ht="21.75" customHeight="1" thickBot="1" x14ac:dyDescent="0.2">
      <c r="B2774" s="928"/>
      <c r="C2774" s="929"/>
      <c r="D2774" s="929"/>
      <c r="E2774" s="929"/>
      <c r="F2774" s="930"/>
      <c r="H2774" s="64" t="s">
        <v>45</v>
      </c>
      <c r="I2774" s="17" t="s">
        <v>5</v>
      </c>
    </row>
    <row r="2775" spans="2:9" x14ac:dyDescent="0.15">
      <c r="B2775" s="18"/>
      <c r="C2775" s="18"/>
      <c r="D2775" s="1"/>
      <c r="E2775" s="18"/>
      <c r="F2775" s="18"/>
      <c r="G2775" s="18"/>
      <c r="H2775" s="18"/>
      <c r="I2775" s="1"/>
    </row>
    <row r="2776" spans="2:9" ht="14" thickBot="1" x14ac:dyDescent="0.2">
      <c r="B2776" s="12" t="s">
        <v>21</v>
      </c>
      <c r="C2776" s="12"/>
      <c r="D2776" s="1"/>
      <c r="E2776" s="1"/>
      <c r="F2776" s="1"/>
      <c r="G2776" s="1"/>
      <c r="H2776" s="1"/>
      <c r="I2776" s="1"/>
    </row>
    <row r="2777" spans="2:9" x14ac:dyDescent="0.15">
      <c r="B2777" s="903" t="s">
        <v>22</v>
      </c>
      <c r="C2777" s="904"/>
      <c r="D2777" s="905"/>
      <c r="E2777" s="209" t="s">
        <v>23</v>
      </c>
      <c r="F2777" s="19" t="s">
        <v>47</v>
      </c>
      <c r="G2777" s="209" t="s">
        <v>24</v>
      </c>
      <c r="H2777" s="208" t="s">
        <v>25</v>
      </c>
      <c r="I2777" s="43"/>
    </row>
    <row r="2778" spans="2:9" x14ac:dyDescent="0.15">
      <c r="B2778" s="897" t="s">
        <v>56</v>
      </c>
      <c r="C2778" s="898"/>
      <c r="D2778" s="899"/>
      <c r="E2778" s="5"/>
      <c r="F2778" s="162"/>
      <c r="G2778" s="58"/>
      <c r="H2778" s="162">
        <f>I2801*0.05</f>
        <v>1466.1091666666669</v>
      </c>
      <c r="I2778" s="44"/>
    </row>
    <row r="2779" spans="2:9" ht="14" thickBot="1" x14ac:dyDescent="0.2">
      <c r="B2779" s="900"/>
      <c r="C2779" s="901"/>
      <c r="D2779" s="902"/>
      <c r="E2779" s="21"/>
      <c r="F2779" s="22"/>
      <c r="G2779" s="23"/>
      <c r="H2779" s="47"/>
      <c r="I2779" s="48"/>
    </row>
    <row r="2780" spans="2:9" ht="14" thickBot="1" x14ac:dyDescent="0.2">
      <c r="B2780" s="1"/>
      <c r="C2780" s="1"/>
      <c r="D2780" s="1"/>
      <c r="E2780" s="1"/>
      <c r="F2780" s="1"/>
      <c r="G2780" s="1"/>
      <c r="H2780" s="37" t="s">
        <v>26</v>
      </c>
      <c r="I2780" s="163">
        <f>SUM(H2778:H2779)</f>
        <v>1466.1091666666669</v>
      </c>
    </row>
    <row r="2781" spans="2:9" ht="14" thickBot="1" x14ac:dyDescent="0.2">
      <c r="B2781" s="12" t="s">
        <v>27</v>
      </c>
      <c r="C2781" s="12"/>
      <c r="D2781" s="1"/>
      <c r="E2781" s="1"/>
      <c r="F2781" s="1"/>
      <c r="G2781" s="1"/>
      <c r="H2781" s="1"/>
      <c r="I2781" s="1"/>
    </row>
    <row r="2782" spans="2:9" x14ac:dyDescent="0.15">
      <c r="B2782" s="903" t="s">
        <v>22</v>
      </c>
      <c r="C2782" s="904"/>
      <c r="D2782" s="905"/>
      <c r="E2782" s="209" t="s">
        <v>28</v>
      </c>
      <c r="F2782" s="209" t="s">
        <v>29</v>
      </c>
      <c r="G2782" s="209" t="s">
        <v>30</v>
      </c>
      <c r="H2782" s="208" t="s">
        <v>25</v>
      </c>
      <c r="I2782" s="43"/>
    </row>
    <row r="2783" spans="2:9" x14ac:dyDescent="0.15">
      <c r="B2783" s="4" t="s">
        <v>675</v>
      </c>
      <c r="C2783" s="24"/>
      <c r="D2783" s="6"/>
      <c r="E2783" s="3" t="s">
        <v>326</v>
      </c>
      <c r="F2783" s="164">
        <f>MATERIALES!C150</f>
        <v>118399.05</v>
      </c>
      <c r="G2783" s="20">
        <v>0.03</v>
      </c>
      <c r="H2783" s="181">
        <f t="shared" ref="H2783" si="4">+F2783*G2783</f>
        <v>3551.9715000000001</v>
      </c>
      <c r="I2783" s="94"/>
    </row>
    <row r="2784" spans="2:9" x14ac:dyDescent="0.15">
      <c r="B2784" s="4" t="s">
        <v>676</v>
      </c>
      <c r="C2784" s="24"/>
      <c r="D2784" s="6"/>
      <c r="E2784" s="3" t="s">
        <v>680</v>
      </c>
      <c r="F2784" s="164">
        <f>MATERIALES!C151</f>
        <v>290776.5</v>
      </c>
      <c r="G2784" s="20">
        <v>0.03</v>
      </c>
      <c r="H2784" s="165">
        <f>G2784*F2784</f>
        <v>8723.2950000000001</v>
      </c>
      <c r="I2784" s="44"/>
    </row>
    <row r="2785" spans="2:9" ht="23.25" customHeight="1" x14ac:dyDescent="0.15">
      <c r="B2785" s="917" t="s">
        <v>677</v>
      </c>
      <c r="C2785" s="918"/>
      <c r="D2785" s="919"/>
      <c r="E2785" s="3" t="s">
        <v>681</v>
      </c>
      <c r="F2785" s="164">
        <f>MATERIALES!C152</f>
        <v>427329</v>
      </c>
      <c r="G2785" s="20">
        <v>0.03</v>
      </c>
      <c r="H2785" s="165">
        <f>G2785*F2785</f>
        <v>12819.869999999999</v>
      </c>
      <c r="I2785" s="44"/>
    </row>
    <row r="2786" spans="2:9" ht="34.5" customHeight="1" x14ac:dyDescent="0.15">
      <c r="B2786" s="917" t="s">
        <v>678</v>
      </c>
      <c r="C2786" s="918"/>
      <c r="D2786" s="919"/>
      <c r="E2786" s="3" t="s">
        <v>501</v>
      </c>
      <c r="F2786" s="164">
        <f>MATERIALES!C153</f>
        <v>609184.80000000005</v>
      </c>
      <c r="G2786" s="65">
        <v>0.01</v>
      </c>
      <c r="H2786" s="165">
        <f>G2786*F2786</f>
        <v>6091.8480000000009</v>
      </c>
      <c r="I2786" s="44"/>
    </row>
    <row r="2787" spans="2:9" ht="24" customHeight="1" x14ac:dyDescent="0.15">
      <c r="B2787" s="917" t="s">
        <v>679</v>
      </c>
      <c r="C2787" s="918"/>
      <c r="D2787" s="919"/>
      <c r="E2787" s="3" t="s">
        <v>501</v>
      </c>
      <c r="F2787" s="164">
        <f>MATERIALES!C154</f>
        <v>464599.80000000005</v>
      </c>
      <c r="G2787" s="65">
        <v>0.01</v>
      </c>
      <c r="H2787" s="165">
        <f>G2787*F2787</f>
        <v>4645.9980000000005</v>
      </c>
      <c r="I2787" s="44"/>
    </row>
    <row r="2788" spans="2:9" ht="14" thickBot="1" x14ac:dyDescent="0.2">
      <c r="B2788" s="25"/>
      <c r="C2788" s="26"/>
      <c r="D2788" s="27"/>
      <c r="E2788" s="21"/>
      <c r="F2788" s="22"/>
      <c r="G2788" s="167"/>
      <c r="H2788" s="47"/>
      <c r="I2788" s="48"/>
    </row>
    <row r="2789" spans="2:9" ht="14" thickBot="1" x14ac:dyDescent="0.2">
      <c r="B2789" s="1"/>
      <c r="C2789" s="1"/>
      <c r="D2789" s="1"/>
      <c r="E2789" s="1"/>
      <c r="F2789" s="1"/>
      <c r="G2789" s="1"/>
      <c r="H2789" s="37" t="s">
        <v>26</v>
      </c>
      <c r="I2789" s="163">
        <f>SUM(H2783:H2788)</f>
        <v>35832.982500000006</v>
      </c>
    </row>
    <row r="2790" spans="2:9" ht="14" thickBot="1" x14ac:dyDescent="0.2">
      <c r="B2790" s="28" t="s">
        <v>31</v>
      </c>
      <c r="C2790" s="28"/>
      <c r="D2790" s="26"/>
      <c r="E2790" s="1"/>
      <c r="F2790" s="1"/>
      <c r="G2790" s="1"/>
      <c r="H2790" s="1"/>
      <c r="I2790" s="1"/>
    </row>
    <row r="2791" spans="2:9" x14ac:dyDescent="0.15">
      <c r="B2791" s="51" t="s">
        <v>32</v>
      </c>
      <c r="C2791" s="52"/>
      <c r="D2791" s="97" t="s">
        <v>33</v>
      </c>
      <c r="E2791" s="209" t="s">
        <v>34</v>
      </c>
      <c r="F2791" s="209" t="s">
        <v>35</v>
      </c>
      <c r="G2791" s="209" t="s">
        <v>36</v>
      </c>
      <c r="H2791" s="59" t="s">
        <v>25</v>
      </c>
      <c r="I2791" s="43"/>
    </row>
    <row r="2792" spans="2:9" x14ac:dyDescent="0.15">
      <c r="B2792" s="4" t="s">
        <v>590</v>
      </c>
      <c r="C2792" s="6"/>
      <c r="D2792" s="60">
        <v>0.01</v>
      </c>
      <c r="E2792" s="2">
        <v>1200</v>
      </c>
      <c r="F2792" s="2">
        <f>E2792*D2792</f>
        <v>12</v>
      </c>
      <c r="G2792" s="162">
        <v>1100</v>
      </c>
      <c r="H2792" s="55">
        <f>G2792*F2792</f>
        <v>13200</v>
      </c>
      <c r="I2792" s="44"/>
    </row>
    <row r="2793" spans="2:9" x14ac:dyDescent="0.15">
      <c r="B2793" s="107"/>
      <c r="C2793" s="66"/>
      <c r="D2793" s="67"/>
      <c r="E2793" s="68"/>
      <c r="F2793" s="68"/>
      <c r="G2793" s="69"/>
      <c r="H2793" s="65"/>
      <c r="I2793" s="44"/>
    </row>
    <row r="2794" spans="2:9" ht="14" thickBot="1" x14ac:dyDescent="0.2">
      <c r="B2794" s="33"/>
      <c r="C2794" s="54"/>
      <c r="D2794" s="21"/>
      <c r="E2794" s="22"/>
      <c r="F2794" s="23"/>
      <c r="G2794" s="47"/>
      <c r="H2794" s="21"/>
      <c r="I2794" s="48"/>
    </row>
    <row r="2795" spans="2:9" ht="14" thickBot="1" x14ac:dyDescent="0.2">
      <c r="B2795" s="1"/>
      <c r="C2795" s="1"/>
      <c r="D2795" s="1"/>
      <c r="E2795" s="1"/>
      <c r="F2795" s="1"/>
      <c r="G2795" s="1"/>
      <c r="H2795" s="37" t="s">
        <v>26</v>
      </c>
      <c r="I2795" s="163">
        <f>SUM(H2792:H2794)</f>
        <v>13200</v>
      </c>
    </row>
    <row r="2796" spans="2:9" ht="14" thickBot="1" x14ac:dyDescent="0.2">
      <c r="B2796" s="28" t="s">
        <v>37</v>
      </c>
      <c r="C2796" s="28"/>
      <c r="D2796" s="1"/>
      <c r="E2796" s="1"/>
      <c r="F2796" s="1"/>
      <c r="G2796" s="1"/>
      <c r="H2796" s="1"/>
      <c r="I2796" s="1"/>
    </row>
    <row r="2797" spans="2:9" x14ac:dyDescent="0.15">
      <c r="B2797" s="51" t="s">
        <v>38</v>
      </c>
      <c r="C2797" s="86"/>
      <c r="D2797" s="31" t="s">
        <v>39</v>
      </c>
      <c r="E2797" s="209" t="s">
        <v>40</v>
      </c>
      <c r="F2797" s="19" t="s">
        <v>41</v>
      </c>
      <c r="G2797" s="31" t="s">
        <v>24</v>
      </c>
      <c r="H2797" s="208" t="s">
        <v>25</v>
      </c>
      <c r="I2797" s="43"/>
    </row>
    <row r="2798" spans="2:9" x14ac:dyDescent="0.15">
      <c r="B2798" s="4" t="s">
        <v>665</v>
      </c>
      <c r="C2798" s="24"/>
      <c r="D2798" s="32">
        <f>'MANO DE OBRA'!E15*2</f>
        <v>190666</v>
      </c>
      <c r="E2798" s="88">
        <v>1.75</v>
      </c>
      <c r="F2798" s="164">
        <f>+E2798*D2798</f>
        <v>333665.5</v>
      </c>
      <c r="G2798" s="79">
        <v>30</v>
      </c>
      <c r="H2798" s="169">
        <f>+F2798/G2798</f>
        <v>11122.183333333332</v>
      </c>
      <c r="I2798" s="44"/>
    </row>
    <row r="2799" spans="2:9" x14ac:dyDescent="0.15">
      <c r="B2799" s="4" t="s">
        <v>94</v>
      </c>
      <c r="C2799" s="24"/>
      <c r="D2799" s="32">
        <f>'MANO DE OBRA'!E14*6</f>
        <v>312000</v>
      </c>
      <c r="E2799" s="88">
        <v>1.75</v>
      </c>
      <c r="F2799" s="164">
        <f>+E2799*D2799</f>
        <v>546000</v>
      </c>
      <c r="G2799" s="79">
        <v>30</v>
      </c>
      <c r="H2799" s="169">
        <f>+F2799/G2799</f>
        <v>18200</v>
      </c>
      <c r="I2799" s="44"/>
    </row>
    <row r="2800" spans="2:9" ht="14" thickBot="1" x14ac:dyDescent="0.2">
      <c r="B2800" s="33"/>
      <c r="C2800" s="34"/>
      <c r="D2800" s="22"/>
      <c r="E2800" s="21"/>
      <c r="F2800" s="22"/>
      <c r="G2800" s="23"/>
      <c r="H2800" s="47"/>
      <c r="I2800" s="48"/>
    </row>
    <row r="2801" spans="2:11" ht="14" thickBot="1" x14ac:dyDescent="0.2">
      <c r="B2801" s="1"/>
      <c r="C2801" s="1"/>
      <c r="D2801" s="1"/>
      <c r="E2801" s="1"/>
      <c r="F2801" s="1"/>
      <c r="G2801" s="1"/>
      <c r="H2801" s="37" t="s">
        <v>26</v>
      </c>
      <c r="I2801" s="177">
        <f>SUM(H2798:H2800)</f>
        <v>29322.183333333334</v>
      </c>
    </row>
    <row r="2802" spans="2:11" ht="14" thickBot="1" x14ac:dyDescent="0.2">
      <c r="B2802" s="1"/>
      <c r="C2802" s="1"/>
      <c r="D2802" s="1"/>
      <c r="E2802" s="1"/>
      <c r="F2802" s="1"/>
      <c r="G2802" s="1"/>
      <c r="H2802" s="61"/>
      <c r="I2802" s="1"/>
    </row>
    <row r="2803" spans="2:11" ht="15" thickBot="1" x14ac:dyDescent="0.2">
      <c r="B2803" s="1"/>
      <c r="C2803" s="1"/>
      <c r="D2803" s="1"/>
      <c r="E2803" s="1"/>
      <c r="F2803" s="35" t="s">
        <v>43</v>
      </c>
      <c r="G2803" s="16"/>
      <c r="H2803" s="16"/>
      <c r="I2803" s="232">
        <f>ROUND((I2780+I2789+I2795+I2801),0)</f>
        <v>79821</v>
      </c>
    </row>
    <row r="2804" spans="2:11" x14ac:dyDescent="0.15">
      <c r="B2804" s="12"/>
      <c r="C2804" s="12"/>
      <c r="D2804" s="1"/>
      <c r="E2804" s="1"/>
      <c r="F2804" s="1"/>
      <c r="G2804" s="1"/>
      <c r="H2804" s="172"/>
      <c r="I2804" s="172"/>
    </row>
    <row r="2805" spans="2:11" x14ac:dyDescent="0.15">
      <c r="B2805" s="16"/>
      <c r="C2805" s="16"/>
      <c r="D2805" s="16"/>
      <c r="E2805" s="16"/>
      <c r="F2805" s="16"/>
      <c r="G2805" s="61"/>
      <c r="H2805" s="173"/>
      <c r="I2805" s="172"/>
    </row>
    <row r="2806" spans="2:11" x14ac:dyDescent="0.15">
      <c r="B2806" s="1"/>
      <c r="C2806" s="1"/>
      <c r="D2806" s="1"/>
      <c r="E2806" s="1"/>
      <c r="F2806" s="1"/>
      <c r="G2806" s="161"/>
      <c r="H2806" s="172"/>
      <c r="I2806" s="172"/>
      <c r="K2806" s="106"/>
    </row>
    <row r="2807" spans="2:11" x14ac:dyDescent="0.15">
      <c r="B2807" s="1"/>
      <c r="C2807" s="1"/>
      <c r="D2807" s="1"/>
      <c r="E2807" s="1"/>
      <c r="F2807" s="1"/>
      <c r="G2807" s="161"/>
      <c r="H2807" s="172"/>
      <c r="I2807" s="172"/>
    </row>
    <row r="2808" spans="2:11" ht="14" x14ac:dyDescent="0.15">
      <c r="B2808" s="102"/>
      <c r="C2808" s="1"/>
      <c r="D2808" s="1"/>
      <c r="E2808" s="1"/>
      <c r="F2808" s="1"/>
      <c r="G2808" s="1"/>
      <c r="H2808" s="1"/>
      <c r="I2808" s="172"/>
    </row>
    <row r="2809" spans="2:11" ht="14" x14ac:dyDescent="0.15">
      <c r="B2809" s="83"/>
      <c r="C2809" s="11"/>
      <c r="D2809" s="1"/>
      <c r="E2809" s="916"/>
      <c r="F2809" s="916"/>
      <c r="G2809" s="916"/>
      <c r="H2809" s="916"/>
      <c r="I2809" s="171"/>
    </row>
    <row r="2810" spans="2:11" ht="14" x14ac:dyDescent="0.15">
      <c r="B2810" s="102"/>
      <c r="C2810" s="11"/>
      <c r="D2810" s="1"/>
      <c r="E2810" s="155"/>
      <c r="F2810" s="155"/>
      <c r="G2810" s="155"/>
      <c r="H2810" s="155"/>
      <c r="I2810" s="171"/>
    </row>
    <row r="2811" spans="2:11" ht="14" x14ac:dyDescent="0.15">
      <c r="B2811" s="83"/>
      <c r="C2811" s="11"/>
      <c r="D2811" s="1"/>
      <c r="E2811" s="155"/>
      <c r="F2811" s="155"/>
      <c r="G2811" s="155"/>
      <c r="H2811" s="155"/>
      <c r="I2811" s="171"/>
    </row>
    <row r="2812" spans="2:11" x14ac:dyDescent="0.15">
      <c r="B2812" s="11"/>
      <c r="C2812" s="11"/>
      <c r="D2812" s="1"/>
      <c r="E2812" s="155"/>
      <c r="F2812" s="155"/>
      <c r="G2812" s="155"/>
      <c r="H2812" s="155"/>
      <c r="I2812" s="171"/>
    </row>
    <row r="2813" spans="2:11" x14ac:dyDescent="0.15">
      <c r="B2813" s="11"/>
      <c r="C2813" s="11"/>
      <c r="D2813" s="1"/>
      <c r="E2813" s="155"/>
      <c r="F2813" s="155"/>
      <c r="G2813" s="155"/>
      <c r="H2813" s="155"/>
      <c r="I2813" s="171"/>
    </row>
    <row r="2814" spans="2:11" x14ac:dyDescent="0.15">
      <c r="B2814" s="11"/>
      <c r="C2814" s="11"/>
      <c r="D2814" s="1"/>
      <c r="E2814" s="155"/>
      <c r="F2814" s="155"/>
      <c r="G2814" s="155"/>
      <c r="H2814" s="155"/>
      <c r="I2814" s="171"/>
    </row>
    <row r="2815" spans="2:11" x14ac:dyDescent="0.15">
      <c r="B2815" s="11"/>
      <c r="C2815" s="11"/>
      <c r="D2815" s="1"/>
      <c r="E2815" s="155"/>
      <c r="F2815" s="155"/>
      <c r="G2815" s="155"/>
      <c r="H2815" s="155"/>
      <c r="I2815" s="171"/>
    </row>
    <row r="2816" spans="2:11" x14ac:dyDescent="0.15">
      <c r="B2816" s="11"/>
      <c r="C2816" s="11"/>
      <c r="D2816" s="1"/>
      <c r="E2816" s="155"/>
      <c r="F2816" s="155"/>
      <c r="G2816" s="155"/>
      <c r="H2816" s="155"/>
      <c r="I2816" s="171"/>
    </row>
    <row r="2817" spans="2:9" x14ac:dyDescent="0.15">
      <c r="B2817" s="11"/>
      <c r="C2817" s="11"/>
      <c r="D2817" s="11"/>
      <c r="E2817" s="11"/>
      <c r="F2817" s="11"/>
      <c r="G2817" s="11"/>
      <c r="H2817" s="11"/>
      <c r="I2817" s="11"/>
    </row>
    <row r="2818" spans="2:9" ht="14" thickBot="1" x14ac:dyDescent="0.2">
      <c r="B2818" s="11"/>
      <c r="C2818" s="11"/>
      <c r="D2818" s="11"/>
      <c r="E2818" s="11"/>
      <c r="F2818" s="11"/>
      <c r="G2818" s="11"/>
      <c r="H2818" s="11"/>
      <c r="I2818" s="11"/>
    </row>
    <row r="2819" spans="2:9" ht="21" customHeight="1" x14ac:dyDescent="0.15">
      <c r="B2819" s="885" t="s">
        <v>874</v>
      </c>
      <c r="C2819" s="886"/>
      <c r="D2819" s="886"/>
      <c r="E2819" s="886"/>
      <c r="F2819" s="887"/>
      <c r="G2819" s="1"/>
      <c r="H2819" s="912" t="s">
        <v>20</v>
      </c>
      <c r="I2819" s="913"/>
    </row>
    <row r="2820" spans="2:9" ht="16.5" customHeight="1" thickBot="1" x14ac:dyDescent="0.2">
      <c r="B2820" s="888" t="s">
        <v>875</v>
      </c>
      <c r="C2820" s="889"/>
      <c r="D2820" s="889"/>
      <c r="E2820" s="889"/>
      <c r="F2820" s="890"/>
      <c r="G2820" s="63"/>
      <c r="H2820" s="914"/>
      <c r="I2820" s="915"/>
    </row>
    <row r="2821" spans="2:9" ht="12.75" customHeight="1" x14ac:dyDescent="0.15">
      <c r="B2821" s="906" t="s">
        <v>876</v>
      </c>
      <c r="C2821" s="907"/>
      <c r="D2821" s="907"/>
      <c r="E2821" s="907"/>
      <c r="F2821" s="908"/>
      <c r="G2821" s="63"/>
      <c r="H2821" s="962" t="s">
        <v>901</v>
      </c>
      <c r="I2821" s="963"/>
    </row>
    <row r="2822" spans="2:9" ht="16.5" customHeight="1" thickBot="1" x14ac:dyDescent="0.2">
      <c r="B2822" s="909"/>
      <c r="C2822" s="910"/>
      <c r="D2822" s="910"/>
      <c r="E2822" s="910"/>
      <c r="F2822" s="911"/>
      <c r="G2822" s="1"/>
      <c r="H2822" s="964"/>
      <c r="I2822" s="965"/>
    </row>
    <row r="2823" spans="2:9" ht="13.5" customHeight="1" thickBot="1" x14ac:dyDescent="0.2">
      <c r="B2823" s="15"/>
      <c r="C2823" s="16"/>
      <c r="D2823" s="1"/>
      <c r="E2823" s="1"/>
      <c r="F2823" s="1"/>
      <c r="G2823" s="1"/>
      <c r="H2823" s="964"/>
      <c r="I2823" s="965"/>
    </row>
    <row r="2824" spans="2:9" ht="12.75" customHeight="1" x14ac:dyDescent="0.15">
      <c r="B2824" s="922" t="s">
        <v>836</v>
      </c>
      <c r="C2824" s="923"/>
      <c r="D2824" s="923"/>
      <c r="E2824" s="923"/>
      <c r="F2824" s="924"/>
      <c r="G2824" s="1"/>
      <c r="H2824" s="964"/>
      <c r="I2824" s="965"/>
    </row>
    <row r="2825" spans="2:9" ht="12.75" customHeight="1" x14ac:dyDescent="0.15">
      <c r="B2825" s="925"/>
      <c r="C2825" s="926"/>
      <c r="D2825" s="926"/>
      <c r="E2825" s="926"/>
      <c r="F2825" s="927"/>
      <c r="H2825" s="964"/>
      <c r="I2825" s="965"/>
    </row>
    <row r="2826" spans="2:9" ht="13.5" customHeight="1" thickBot="1" x14ac:dyDescent="0.2">
      <c r="B2826" s="925"/>
      <c r="C2826" s="926"/>
      <c r="D2826" s="926"/>
      <c r="E2826" s="926"/>
      <c r="F2826" s="927"/>
      <c r="G2826" s="11"/>
      <c r="H2826" s="966"/>
      <c r="I2826" s="967"/>
    </row>
    <row r="2827" spans="2:9" ht="21.75" customHeight="1" thickBot="1" x14ac:dyDescent="0.2">
      <c r="B2827" s="928"/>
      <c r="C2827" s="929"/>
      <c r="D2827" s="929"/>
      <c r="E2827" s="929"/>
      <c r="F2827" s="930"/>
      <c r="H2827" s="146" t="s">
        <v>45</v>
      </c>
      <c r="I2827" s="147" t="s">
        <v>7</v>
      </c>
    </row>
    <row r="2828" spans="2:9" ht="13.5" customHeight="1" x14ac:dyDescent="0.15">
      <c r="B2828" s="18"/>
      <c r="C2828" s="18"/>
      <c r="D2828" s="1"/>
      <c r="E2828" s="18"/>
      <c r="F2828" s="18"/>
      <c r="G2828" s="18"/>
      <c r="H2828" s="18"/>
      <c r="I2828" s="1"/>
    </row>
    <row r="2829" spans="2:9" ht="14" thickBot="1" x14ac:dyDescent="0.2">
      <c r="B2829" s="12" t="s">
        <v>21</v>
      </c>
      <c r="C2829" s="12"/>
      <c r="D2829" s="1"/>
      <c r="E2829" s="1"/>
      <c r="F2829" s="1"/>
      <c r="G2829" s="1"/>
      <c r="H2829" s="1"/>
      <c r="I2829" s="1"/>
    </row>
    <row r="2830" spans="2:9" x14ac:dyDescent="0.15">
      <c r="B2830" s="903" t="s">
        <v>22</v>
      </c>
      <c r="C2830" s="904"/>
      <c r="D2830" s="905"/>
      <c r="E2830" s="209" t="s">
        <v>23</v>
      </c>
      <c r="F2830" s="19" t="s">
        <v>47</v>
      </c>
      <c r="G2830" s="209" t="s">
        <v>24</v>
      </c>
      <c r="H2830" s="208" t="s">
        <v>25</v>
      </c>
      <c r="I2830" s="43"/>
    </row>
    <row r="2831" spans="2:9" x14ac:dyDescent="0.15">
      <c r="B2831" s="897" t="s">
        <v>56</v>
      </c>
      <c r="C2831" s="898"/>
      <c r="D2831" s="899"/>
      <c r="E2831" s="5"/>
      <c r="F2831" s="162"/>
      <c r="G2831" s="58"/>
      <c r="H2831" s="165">
        <f>+I2851*0.05</f>
        <v>314.16624999999999</v>
      </c>
      <c r="I2831" s="44"/>
    </row>
    <row r="2832" spans="2:9" x14ac:dyDescent="0.15">
      <c r="B2832" s="897"/>
      <c r="C2832" s="898"/>
      <c r="D2832" s="899"/>
      <c r="E2832" s="5"/>
      <c r="F2832" s="46"/>
      <c r="G2832" s="20"/>
      <c r="H2832" s="56"/>
      <c r="I2832" s="44"/>
    </row>
    <row r="2833" spans="2:9" ht="14" thickBot="1" x14ac:dyDescent="0.2">
      <c r="B2833" s="900"/>
      <c r="C2833" s="901"/>
      <c r="D2833" s="902"/>
      <c r="E2833" s="21"/>
      <c r="F2833" s="22"/>
      <c r="G2833" s="23"/>
      <c r="H2833" s="47"/>
      <c r="I2833" s="48"/>
    </row>
    <row r="2834" spans="2:9" ht="14" thickBot="1" x14ac:dyDescent="0.2">
      <c r="B2834" s="1"/>
      <c r="C2834" s="1"/>
      <c r="D2834" s="1"/>
      <c r="E2834" s="1"/>
      <c r="F2834" s="1"/>
      <c r="G2834" s="1"/>
      <c r="H2834" s="37" t="s">
        <v>26</v>
      </c>
      <c r="I2834" s="163">
        <f>SUM(H2831:H2833)</f>
        <v>314.16624999999999</v>
      </c>
    </row>
    <row r="2835" spans="2:9" ht="14" thickBot="1" x14ac:dyDescent="0.2">
      <c r="B2835" s="12" t="s">
        <v>27</v>
      </c>
      <c r="C2835" s="12"/>
      <c r="D2835" s="1"/>
      <c r="E2835" s="1"/>
      <c r="F2835" s="1"/>
      <c r="G2835" s="1"/>
      <c r="H2835" s="1"/>
      <c r="I2835" s="1"/>
    </row>
    <row r="2836" spans="2:9" x14ac:dyDescent="0.15">
      <c r="B2836" s="903" t="s">
        <v>22</v>
      </c>
      <c r="C2836" s="904"/>
      <c r="D2836" s="905"/>
      <c r="E2836" s="209" t="s">
        <v>28</v>
      </c>
      <c r="F2836" s="209" t="s">
        <v>29</v>
      </c>
      <c r="G2836" s="209" t="s">
        <v>30</v>
      </c>
      <c r="H2836" s="208" t="s">
        <v>25</v>
      </c>
      <c r="I2836" s="43"/>
    </row>
    <row r="2837" spans="2:9" x14ac:dyDescent="0.15">
      <c r="B2837" s="4" t="s">
        <v>274</v>
      </c>
      <c r="C2837" s="24"/>
      <c r="D2837" s="6"/>
      <c r="E2837" s="3" t="s">
        <v>103</v>
      </c>
      <c r="F2837" s="166">
        <f>MATERIALES!F44</f>
        <v>103000</v>
      </c>
      <c r="G2837" s="73">
        <v>5.0000000000000001E-3</v>
      </c>
      <c r="H2837" s="230">
        <f>F2837*G2837</f>
        <v>515</v>
      </c>
      <c r="I2837" s="44"/>
    </row>
    <row r="2838" spans="2:9" ht="14" thickBot="1" x14ac:dyDescent="0.2">
      <c r="B2838" s="25"/>
      <c r="C2838" s="26"/>
      <c r="D2838" s="27"/>
      <c r="E2838" s="21"/>
      <c r="F2838" s="22"/>
      <c r="G2838" s="167"/>
      <c r="H2838" s="47"/>
      <c r="I2838" s="48"/>
    </row>
    <row r="2839" spans="2:9" ht="14" thickBot="1" x14ac:dyDescent="0.2">
      <c r="B2839" s="1"/>
      <c r="C2839" s="1"/>
      <c r="D2839" s="1"/>
      <c r="E2839" s="1"/>
      <c r="F2839" s="1"/>
      <c r="G2839" s="1"/>
      <c r="H2839" s="37" t="s">
        <v>26</v>
      </c>
      <c r="I2839" s="163">
        <f>SUM(H2837:H2838)</f>
        <v>515</v>
      </c>
    </row>
    <row r="2840" spans="2:9" ht="14" thickBot="1" x14ac:dyDescent="0.2">
      <c r="B2840" s="28" t="s">
        <v>31</v>
      </c>
      <c r="C2840" s="28"/>
      <c r="D2840" s="26"/>
      <c r="E2840" s="1"/>
      <c r="F2840" s="1"/>
      <c r="G2840" s="1"/>
      <c r="H2840" s="1"/>
      <c r="I2840" s="1"/>
    </row>
    <row r="2841" spans="2:9" x14ac:dyDescent="0.15">
      <c r="B2841" s="51" t="s">
        <v>32</v>
      </c>
      <c r="C2841" s="52"/>
      <c r="D2841" s="97" t="s">
        <v>33</v>
      </c>
      <c r="E2841" s="209" t="s">
        <v>34</v>
      </c>
      <c r="F2841" s="209" t="s">
        <v>35</v>
      </c>
      <c r="G2841" s="209" t="s">
        <v>36</v>
      </c>
      <c r="H2841" s="59" t="s">
        <v>25</v>
      </c>
      <c r="I2841" s="43"/>
    </row>
    <row r="2842" spans="2:9" x14ac:dyDescent="0.15">
      <c r="B2842" s="4" t="s">
        <v>79</v>
      </c>
      <c r="C2842" s="6"/>
      <c r="D2842" s="53">
        <v>0.05</v>
      </c>
      <c r="E2842" s="2">
        <v>15</v>
      </c>
      <c r="F2842" s="2">
        <f>E2842*D2842</f>
        <v>0.75</v>
      </c>
      <c r="G2842" s="162">
        <v>1100</v>
      </c>
      <c r="H2842" s="20">
        <f>G2842*F2842</f>
        <v>825</v>
      </c>
      <c r="I2842" s="44"/>
    </row>
    <row r="2843" spans="2:9" x14ac:dyDescent="0.15">
      <c r="B2843" s="107"/>
      <c r="C2843" s="66"/>
      <c r="D2843" s="67"/>
      <c r="E2843" s="68"/>
      <c r="F2843" s="68"/>
      <c r="G2843" s="69"/>
      <c r="H2843" s="65"/>
      <c r="I2843" s="44"/>
    </row>
    <row r="2844" spans="2:9" ht="14" thickBot="1" x14ac:dyDescent="0.2">
      <c r="B2844" s="33"/>
      <c r="C2844" s="54"/>
      <c r="D2844" s="21"/>
      <c r="E2844" s="22"/>
      <c r="F2844" s="23"/>
      <c r="G2844" s="47"/>
      <c r="H2844" s="21"/>
      <c r="I2844" s="48"/>
    </row>
    <row r="2845" spans="2:9" ht="14" thickBot="1" x14ac:dyDescent="0.2">
      <c r="B2845" s="1"/>
      <c r="C2845" s="1"/>
      <c r="D2845" s="1"/>
      <c r="E2845" s="1"/>
      <c r="F2845" s="1"/>
      <c r="G2845" s="1"/>
      <c r="H2845" s="37" t="s">
        <v>26</v>
      </c>
      <c r="I2845" s="163">
        <f>SUM(H2842:H2844)</f>
        <v>825</v>
      </c>
    </row>
    <row r="2846" spans="2:9" ht="14" thickBot="1" x14ac:dyDescent="0.2">
      <c r="B2846" s="28" t="s">
        <v>37</v>
      </c>
      <c r="C2846" s="28"/>
      <c r="D2846" s="1"/>
      <c r="E2846" s="1"/>
      <c r="F2846" s="1"/>
      <c r="G2846" s="1"/>
      <c r="H2846" s="1"/>
      <c r="I2846" s="1"/>
    </row>
    <row r="2847" spans="2:9" x14ac:dyDescent="0.15">
      <c r="B2847" s="51" t="s">
        <v>38</v>
      </c>
      <c r="C2847" s="86"/>
      <c r="D2847" s="31" t="s">
        <v>39</v>
      </c>
      <c r="E2847" s="209" t="s">
        <v>40</v>
      </c>
      <c r="F2847" s="19" t="s">
        <v>41</v>
      </c>
      <c r="G2847" s="31" t="s">
        <v>24</v>
      </c>
      <c r="H2847" s="208" t="s">
        <v>25</v>
      </c>
      <c r="I2847" s="43"/>
    </row>
    <row r="2848" spans="2:9" x14ac:dyDescent="0.15">
      <c r="B2848" s="4" t="s">
        <v>104</v>
      </c>
      <c r="C2848" s="24"/>
      <c r="D2848" s="32">
        <f>'MANO DE OBRA'!E15</f>
        <v>95333</v>
      </c>
      <c r="E2848" s="88">
        <v>1.75</v>
      </c>
      <c r="F2848" s="164">
        <f>+E2848*D2848</f>
        <v>166832.75</v>
      </c>
      <c r="G2848" s="20">
        <v>70</v>
      </c>
      <c r="H2848" s="169">
        <f>+F2848/G2848</f>
        <v>2383.3249999999998</v>
      </c>
      <c r="I2848" s="44"/>
    </row>
    <row r="2849" spans="2:11" x14ac:dyDescent="0.15">
      <c r="B2849" s="4" t="s">
        <v>64</v>
      </c>
      <c r="C2849" s="24"/>
      <c r="D2849" s="32">
        <f>'MANO DE OBRA'!E14*3</f>
        <v>156000</v>
      </c>
      <c r="E2849" s="88">
        <v>1.75</v>
      </c>
      <c r="F2849" s="164">
        <f>+E2849*D2849</f>
        <v>273000</v>
      </c>
      <c r="G2849" s="20">
        <v>70</v>
      </c>
      <c r="H2849" s="169">
        <f>+F2849/G2849</f>
        <v>3900</v>
      </c>
      <c r="I2849" s="44"/>
    </row>
    <row r="2850" spans="2:11" ht="14" thickBot="1" x14ac:dyDescent="0.2">
      <c r="B2850" s="33"/>
      <c r="C2850" s="34"/>
      <c r="D2850" s="22"/>
      <c r="E2850" s="21"/>
      <c r="F2850" s="22"/>
      <c r="G2850" s="23"/>
      <c r="H2850" s="47"/>
      <c r="I2850" s="48"/>
    </row>
    <row r="2851" spans="2:11" ht="14" thickBot="1" x14ac:dyDescent="0.2">
      <c r="B2851" s="1"/>
      <c r="C2851" s="1"/>
      <c r="D2851" s="1"/>
      <c r="E2851" s="1"/>
      <c r="F2851" s="1"/>
      <c r="G2851" s="1"/>
      <c r="H2851" s="37" t="s">
        <v>26</v>
      </c>
      <c r="I2851" s="177">
        <f>SUM(H2848:H2850)</f>
        <v>6283.3249999999998</v>
      </c>
    </row>
    <row r="2852" spans="2:11" ht="14" thickBot="1" x14ac:dyDescent="0.2">
      <c r="B2852" s="1"/>
      <c r="C2852" s="1"/>
      <c r="D2852" s="1"/>
      <c r="E2852" s="1"/>
      <c r="F2852" s="1"/>
      <c r="G2852" s="1"/>
      <c r="H2852" s="61"/>
      <c r="I2852" s="1"/>
    </row>
    <row r="2853" spans="2:11" ht="15" thickBot="1" x14ac:dyDescent="0.2">
      <c r="B2853" s="1"/>
      <c r="C2853" s="1"/>
      <c r="D2853" s="1"/>
      <c r="E2853" s="1"/>
      <c r="F2853" s="35" t="s">
        <v>43</v>
      </c>
      <c r="G2853" s="16"/>
      <c r="H2853" s="16"/>
      <c r="I2853" s="232">
        <f>ROUND((I2834+I2839+I2845+I2851),0)</f>
        <v>7937</v>
      </c>
    </row>
    <row r="2854" spans="2:11" x14ac:dyDescent="0.15">
      <c r="B2854" s="12"/>
      <c r="C2854" s="12"/>
      <c r="D2854" s="1"/>
      <c r="E2854" s="1"/>
      <c r="F2854" s="1"/>
      <c r="G2854" s="1"/>
      <c r="H2854" s="172"/>
      <c r="I2854" s="172"/>
    </row>
    <row r="2855" spans="2:11" x14ac:dyDescent="0.15">
      <c r="B2855" s="16"/>
      <c r="C2855" s="16"/>
      <c r="D2855" s="16"/>
      <c r="E2855" s="16"/>
      <c r="F2855" s="16"/>
      <c r="G2855" s="61"/>
      <c r="H2855" s="173"/>
      <c r="I2855" s="172"/>
    </row>
    <row r="2856" spans="2:11" x14ac:dyDescent="0.15">
      <c r="B2856" s="1"/>
      <c r="C2856" s="1"/>
      <c r="D2856" s="1"/>
      <c r="E2856" s="1"/>
      <c r="F2856" s="1"/>
      <c r="G2856" s="161"/>
      <c r="H2856" s="172"/>
      <c r="I2856" s="172"/>
      <c r="K2856" s="106"/>
    </row>
    <row r="2857" spans="2:11" x14ac:dyDescent="0.15">
      <c r="B2857" s="1"/>
      <c r="C2857" s="1"/>
      <c r="D2857" s="1"/>
      <c r="E2857" s="1"/>
      <c r="F2857" s="1"/>
      <c r="G2857" s="161"/>
      <c r="H2857" s="172"/>
      <c r="I2857" s="172"/>
    </row>
    <row r="2858" spans="2:11" x14ac:dyDescent="0.15">
      <c r="B2858" s="1"/>
      <c r="C2858" s="1"/>
      <c r="D2858" s="1"/>
      <c r="E2858" s="1"/>
      <c r="F2858" s="1"/>
      <c r="G2858" s="161"/>
      <c r="H2858" s="172"/>
      <c r="I2858" s="172"/>
    </row>
    <row r="2859" spans="2:11" x14ac:dyDescent="0.15">
      <c r="B2859" s="1"/>
      <c r="C2859" s="1"/>
      <c r="D2859" s="1"/>
      <c r="E2859" s="1"/>
      <c r="F2859" s="1"/>
      <c r="G2859" s="1"/>
      <c r="H2859" s="37"/>
      <c r="I2859" s="172"/>
    </row>
    <row r="2860" spans="2:11" ht="14" x14ac:dyDescent="0.15">
      <c r="B2860" s="102"/>
      <c r="C2860" s="1"/>
      <c r="D2860" s="1"/>
      <c r="E2860" s="1"/>
      <c r="F2860" s="1"/>
      <c r="G2860" s="1"/>
      <c r="H2860" s="1"/>
      <c r="I2860" s="172"/>
    </row>
    <row r="2861" spans="2:11" ht="14" x14ac:dyDescent="0.15">
      <c r="B2861" s="83"/>
      <c r="C2861" s="11"/>
      <c r="D2861" s="1"/>
      <c r="E2861" s="916"/>
      <c r="F2861" s="916"/>
      <c r="G2861" s="916"/>
      <c r="H2861" s="916"/>
      <c r="I2861" s="171"/>
    </row>
    <row r="2862" spans="2:11" ht="14" x14ac:dyDescent="0.15">
      <c r="B2862" s="102"/>
      <c r="C2862" s="11"/>
      <c r="D2862" s="1"/>
      <c r="E2862" s="155"/>
      <c r="F2862" s="155"/>
      <c r="G2862" s="155"/>
      <c r="H2862" s="155"/>
      <c r="I2862" s="171"/>
    </row>
    <row r="2863" spans="2:11" ht="14" x14ac:dyDescent="0.15">
      <c r="B2863" s="83"/>
      <c r="C2863" s="11"/>
      <c r="D2863" s="1"/>
      <c r="E2863" s="155"/>
      <c r="F2863" s="155"/>
      <c r="G2863" s="155"/>
      <c r="H2863" s="155"/>
      <c r="I2863" s="171"/>
    </row>
    <row r="2864" spans="2:11" x14ac:dyDescent="0.15">
      <c r="B2864" s="11"/>
      <c r="C2864" s="11"/>
      <c r="D2864" s="1"/>
      <c r="E2864" s="155"/>
      <c r="F2864" s="155"/>
      <c r="G2864" s="155"/>
      <c r="H2864" s="155"/>
      <c r="I2864" s="171"/>
    </row>
    <row r="2865" spans="2:10" x14ac:dyDescent="0.15">
      <c r="B2865" s="11"/>
      <c r="C2865" s="11"/>
      <c r="D2865" s="1"/>
      <c r="E2865" s="155"/>
      <c r="F2865" s="155"/>
      <c r="G2865" s="155"/>
      <c r="H2865" s="155"/>
      <c r="I2865" s="171"/>
    </row>
    <row r="2866" spans="2:10" x14ac:dyDescent="0.15">
      <c r="B2866" s="11"/>
      <c r="C2866" s="11"/>
      <c r="D2866" s="1"/>
      <c r="E2866" s="155"/>
      <c r="F2866" s="155"/>
      <c r="G2866" s="155"/>
      <c r="H2866" s="155"/>
      <c r="I2866" s="171"/>
    </row>
    <row r="2867" spans="2:10" x14ac:dyDescent="0.15">
      <c r="B2867" s="11"/>
      <c r="C2867" s="11"/>
      <c r="D2867" s="1"/>
      <c r="E2867" s="155"/>
      <c r="F2867" s="155"/>
      <c r="G2867" s="155"/>
      <c r="H2867" s="155"/>
      <c r="I2867" s="171"/>
    </row>
    <row r="2868" spans="2:10" x14ac:dyDescent="0.15">
      <c r="B2868" s="11"/>
      <c r="C2868" s="11"/>
      <c r="D2868" s="1"/>
      <c r="E2868" s="155"/>
      <c r="F2868" s="155"/>
      <c r="G2868" s="155"/>
      <c r="H2868" s="155"/>
      <c r="I2868" s="171"/>
    </row>
    <row r="2869" spans="2:10" x14ac:dyDescent="0.15">
      <c r="B2869" s="11"/>
      <c r="C2869" s="11"/>
      <c r="D2869" s="11"/>
      <c r="E2869" s="11"/>
      <c r="F2869" s="11"/>
      <c r="G2869" s="11"/>
      <c r="H2869" s="11"/>
      <c r="I2869" s="11"/>
    </row>
    <row r="2870" spans="2:10" ht="14" x14ac:dyDescent="0.15">
      <c r="B2870" s="102"/>
      <c r="C2870" s="83"/>
      <c r="D2870" s="84"/>
      <c r="E2870" s="83"/>
      <c r="F2870" s="83"/>
      <c r="G2870" s="103"/>
      <c r="H2870" s="83"/>
      <c r="I2870" s="85"/>
      <c r="J2870" s="85"/>
    </row>
    <row r="2871" spans="2:10" ht="14" x14ac:dyDescent="0.15">
      <c r="B2871" s="83"/>
      <c r="C2871" s="83"/>
      <c r="D2871" s="84"/>
      <c r="E2871" s="83"/>
      <c r="F2871" s="83"/>
      <c r="G2871" s="104"/>
      <c r="H2871" s="83"/>
      <c r="I2871" s="85"/>
      <c r="J2871" s="85"/>
    </row>
    <row r="2872" spans="2:10" x14ac:dyDescent="0.15">
      <c r="B2872" s="11"/>
      <c r="C2872" s="11"/>
      <c r="D2872" s="1"/>
      <c r="E2872" s="155"/>
      <c r="F2872" s="155"/>
      <c r="G2872" s="155"/>
      <c r="H2872" s="155"/>
      <c r="I2872" s="171"/>
    </row>
    <row r="2873" spans="2:10" x14ac:dyDescent="0.15">
      <c r="B2873" s="11"/>
      <c r="C2873" s="11"/>
      <c r="D2873" s="1"/>
      <c r="E2873" s="155"/>
      <c r="F2873" s="155"/>
      <c r="G2873" s="155"/>
      <c r="H2873" s="155"/>
      <c r="I2873" s="171"/>
    </row>
    <row r="2874" spans="2:10" ht="14" thickBot="1" x14ac:dyDescent="0.2"/>
    <row r="2875" spans="2:10" ht="21" customHeight="1" x14ac:dyDescent="0.15">
      <c r="B2875" s="885" t="s">
        <v>874</v>
      </c>
      <c r="C2875" s="886"/>
      <c r="D2875" s="886"/>
      <c r="E2875" s="886"/>
      <c r="F2875" s="887"/>
      <c r="G2875" s="1"/>
      <c r="H2875" s="879" t="s">
        <v>20</v>
      </c>
      <c r="I2875" s="880"/>
    </row>
    <row r="2876" spans="2:10" ht="16.5" customHeight="1" x14ac:dyDescent="0.15">
      <c r="B2876" s="888" t="s">
        <v>875</v>
      </c>
      <c r="C2876" s="889"/>
      <c r="D2876" s="889"/>
      <c r="E2876" s="889"/>
      <c r="F2876" s="890"/>
      <c r="G2876" s="63"/>
      <c r="H2876" s="881"/>
      <c r="I2876" s="882"/>
    </row>
    <row r="2877" spans="2:10" ht="12.75" customHeight="1" x14ac:dyDescent="0.15">
      <c r="B2877" s="906" t="s">
        <v>876</v>
      </c>
      <c r="C2877" s="907"/>
      <c r="D2877" s="907"/>
      <c r="E2877" s="907"/>
      <c r="F2877" s="908"/>
      <c r="G2877" s="63"/>
      <c r="H2877" s="883"/>
      <c r="I2877" s="884"/>
    </row>
    <row r="2878" spans="2:10" ht="16.5" customHeight="1" thickBot="1" x14ac:dyDescent="0.2">
      <c r="B2878" s="909"/>
      <c r="C2878" s="910"/>
      <c r="D2878" s="910"/>
      <c r="E2878" s="910"/>
      <c r="F2878" s="911"/>
      <c r="G2878" s="1"/>
      <c r="H2878" s="891" t="s">
        <v>902</v>
      </c>
      <c r="I2878" s="892"/>
    </row>
    <row r="2879" spans="2:10" ht="14" thickBot="1" x14ac:dyDescent="0.2">
      <c r="B2879" s="15"/>
      <c r="C2879" s="16"/>
      <c r="D2879" s="1"/>
      <c r="E2879" s="1"/>
      <c r="F2879" s="1"/>
      <c r="G2879" s="1"/>
      <c r="H2879" s="893"/>
      <c r="I2879" s="894"/>
    </row>
    <row r="2880" spans="2:10" ht="12.75" customHeight="1" x14ac:dyDescent="0.15">
      <c r="B2880" s="922" t="s">
        <v>836</v>
      </c>
      <c r="C2880" s="923"/>
      <c r="D2880" s="923"/>
      <c r="E2880" s="923"/>
      <c r="F2880" s="924"/>
      <c r="G2880" s="1"/>
      <c r="H2880" s="893"/>
      <c r="I2880" s="894"/>
    </row>
    <row r="2881" spans="2:9" ht="12.75" customHeight="1" x14ac:dyDescent="0.15">
      <c r="B2881" s="925"/>
      <c r="C2881" s="926"/>
      <c r="D2881" s="926"/>
      <c r="E2881" s="926"/>
      <c r="F2881" s="927"/>
      <c r="H2881" s="893"/>
      <c r="I2881" s="894"/>
    </row>
    <row r="2882" spans="2:9" ht="13.5" customHeight="1" x14ac:dyDescent="0.15">
      <c r="B2882" s="925"/>
      <c r="C2882" s="926"/>
      <c r="D2882" s="926"/>
      <c r="E2882" s="926"/>
      <c r="F2882" s="927"/>
      <c r="G2882" s="11"/>
      <c r="H2882" s="895"/>
      <c r="I2882" s="896"/>
    </row>
    <row r="2883" spans="2:9" ht="21.75" customHeight="1" thickBot="1" x14ac:dyDescent="0.2">
      <c r="B2883" s="928"/>
      <c r="C2883" s="929"/>
      <c r="D2883" s="929"/>
      <c r="E2883" s="929"/>
      <c r="F2883" s="930"/>
      <c r="H2883" s="64" t="s">
        <v>45</v>
      </c>
      <c r="I2883" s="17" t="s">
        <v>5</v>
      </c>
    </row>
    <row r="2884" spans="2:9" x14ac:dyDescent="0.15">
      <c r="B2884" s="18"/>
      <c r="C2884" s="18"/>
      <c r="D2884" s="1"/>
      <c r="E2884" s="18"/>
      <c r="F2884" s="18"/>
      <c r="G2884" s="18"/>
      <c r="H2884" s="18"/>
      <c r="I2884" s="1"/>
    </row>
    <row r="2885" spans="2:9" ht="14" thickBot="1" x14ac:dyDescent="0.2">
      <c r="B2885" s="12" t="s">
        <v>21</v>
      </c>
      <c r="C2885" s="12"/>
      <c r="D2885" s="1"/>
      <c r="E2885" s="1"/>
      <c r="F2885" s="1"/>
      <c r="G2885" s="1"/>
      <c r="H2885" s="1"/>
      <c r="I2885" s="1"/>
    </row>
    <row r="2886" spans="2:9" x14ac:dyDescent="0.15">
      <c r="B2886" s="903" t="s">
        <v>22</v>
      </c>
      <c r="C2886" s="904"/>
      <c r="D2886" s="905"/>
      <c r="E2886" s="209" t="s">
        <v>23</v>
      </c>
      <c r="F2886" s="19" t="s">
        <v>47</v>
      </c>
      <c r="G2886" s="209" t="s">
        <v>24</v>
      </c>
      <c r="H2886" s="208" t="s">
        <v>25</v>
      </c>
      <c r="I2886" s="43"/>
    </row>
    <row r="2887" spans="2:9" x14ac:dyDescent="0.15">
      <c r="B2887" s="897" t="s">
        <v>56</v>
      </c>
      <c r="C2887" s="898"/>
      <c r="D2887" s="899"/>
      <c r="E2887" s="5"/>
      <c r="F2887" s="458"/>
      <c r="G2887" s="58"/>
      <c r="H2887" s="458">
        <f>I2912*0.05</f>
        <v>2654.1637500000002</v>
      </c>
      <c r="I2887" s="44"/>
    </row>
    <row r="2888" spans="2:9" x14ac:dyDescent="0.15">
      <c r="B2888" s="897"/>
      <c r="C2888" s="898"/>
      <c r="D2888" s="899"/>
      <c r="E2888" s="5"/>
      <c r="F2888" s="46"/>
      <c r="G2888" s="20"/>
      <c r="H2888" s="56"/>
      <c r="I2888" s="44"/>
    </row>
    <row r="2889" spans="2:9" ht="14" thickBot="1" x14ac:dyDescent="0.2">
      <c r="B2889" s="900"/>
      <c r="C2889" s="901"/>
      <c r="D2889" s="902"/>
      <c r="E2889" s="21"/>
      <c r="F2889" s="22"/>
      <c r="G2889" s="23"/>
      <c r="H2889" s="47"/>
      <c r="I2889" s="48"/>
    </row>
    <row r="2890" spans="2:9" ht="14" thickBot="1" x14ac:dyDescent="0.2">
      <c r="B2890" s="1"/>
      <c r="C2890" s="1"/>
      <c r="D2890" s="1"/>
      <c r="E2890" s="1"/>
      <c r="F2890" s="1"/>
      <c r="G2890" s="1"/>
      <c r="H2890" s="37" t="s">
        <v>26</v>
      </c>
      <c r="I2890" s="448">
        <f>SUM(H2887:H2889)</f>
        <v>2654.1637500000002</v>
      </c>
    </row>
    <row r="2891" spans="2:9" ht="14" thickBot="1" x14ac:dyDescent="0.2">
      <c r="B2891" s="12" t="s">
        <v>27</v>
      </c>
      <c r="C2891" s="12"/>
      <c r="D2891" s="1"/>
      <c r="E2891" s="1"/>
      <c r="F2891" s="1"/>
      <c r="G2891" s="1"/>
      <c r="H2891" s="1"/>
      <c r="I2891" s="1"/>
    </row>
    <row r="2892" spans="2:9" x14ac:dyDescent="0.15">
      <c r="B2892" s="920" t="s">
        <v>22</v>
      </c>
      <c r="C2892" s="921"/>
      <c r="D2892" s="921"/>
      <c r="E2892" s="31" t="s">
        <v>28</v>
      </c>
      <c r="F2892" s="31" t="s">
        <v>29</v>
      </c>
      <c r="G2892" s="31" t="s">
        <v>30</v>
      </c>
      <c r="H2892" s="665" t="s">
        <v>25</v>
      </c>
      <c r="I2892" s="43"/>
    </row>
    <row r="2893" spans="2:9" x14ac:dyDescent="0.15">
      <c r="B2893" s="4" t="s">
        <v>903</v>
      </c>
      <c r="C2893" s="24"/>
      <c r="D2893" s="6"/>
      <c r="E2893" s="666" t="s">
        <v>501</v>
      </c>
      <c r="F2893" s="419">
        <f>MATERIALES!F159</f>
        <v>85590</v>
      </c>
      <c r="G2893" s="20">
        <v>0.75</v>
      </c>
      <c r="H2893" s="426">
        <f>G2893*F2893</f>
        <v>64192.5</v>
      </c>
      <c r="I2893" s="44"/>
    </row>
    <row r="2894" spans="2:9" x14ac:dyDescent="0.15">
      <c r="B2894" s="4" t="s">
        <v>904</v>
      </c>
      <c r="C2894" s="24"/>
      <c r="D2894" s="6"/>
      <c r="E2894" s="666" t="s">
        <v>501</v>
      </c>
      <c r="F2894" s="419">
        <f>MATERIALES!F160</f>
        <v>17550</v>
      </c>
      <c r="G2894" s="20">
        <v>1</v>
      </c>
      <c r="H2894" s="426">
        <f>G2894*F2894</f>
        <v>17550</v>
      </c>
      <c r="I2894" s="44"/>
    </row>
    <row r="2895" spans="2:9" x14ac:dyDescent="0.15">
      <c r="B2895" s="4" t="s">
        <v>905</v>
      </c>
      <c r="C2895" s="24"/>
      <c r="D2895" s="6"/>
      <c r="E2895" s="666" t="s">
        <v>501</v>
      </c>
      <c r="F2895" s="419">
        <f>MATERIALES!F161</f>
        <v>10800</v>
      </c>
      <c r="G2895" s="20">
        <v>0.25</v>
      </c>
      <c r="H2895" s="426">
        <f>G2895*F2895</f>
        <v>2700</v>
      </c>
      <c r="I2895" s="44"/>
    </row>
    <row r="2896" spans="2:9" x14ac:dyDescent="0.15">
      <c r="B2896" s="4" t="s">
        <v>906</v>
      </c>
      <c r="C2896" s="24"/>
      <c r="D2896" s="6"/>
      <c r="E2896" s="666" t="s">
        <v>501</v>
      </c>
      <c r="F2896" s="419">
        <f>MATERIALES!F162</f>
        <v>337.5</v>
      </c>
      <c r="G2896" s="20">
        <v>10</v>
      </c>
      <c r="H2896" s="426">
        <f>G2896*F2896</f>
        <v>3375</v>
      </c>
      <c r="I2896" s="44"/>
    </row>
    <row r="2897" spans="2:9" x14ac:dyDescent="0.15">
      <c r="B2897" s="4" t="s">
        <v>907</v>
      </c>
      <c r="C2897" s="24"/>
      <c r="D2897" s="6"/>
      <c r="E2897" s="3" t="s">
        <v>125</v>
      </c>
      <c r="F2897" s="419">
        <f>MATERIALES!C8</f>
        <v>7500</v>
      </c>
      <c r="G2897" s="20">
        <v>0.09</v>
      </c>
      <c r="H2897" s="426">
        <f>G2897*F2897</f>
        <v>675</v>
      </c>
      <c r="I2897" s="44"/>
    </row>
    <row r="2898" spans="2:9" ht="14" thickBot="1" x14ac:dyDescent="0.2">
      <c r="B2898" s="33" t="s">
        <v>99</v>
      </c>
      <c r="C2898" s="34"/>
      <c r="D2898" s="54"/>
      <c r="E2898" s="21" t="s">
        <v>62</v>
      </c>
      <c r="F2898" s="425">
        <f>SUM(H2893:H2897)</f>
        <v>88492.5</v>
      </c>
      <c r="G2898" s="23">
        <v>0.03</v>
      </c>
      <c r="H2898" s="427">
        <f t="shared" ref="H2898" si="5">G2898*F2898</f>
        <v>2654.7750000000001</v>
      </c>
      <c r="I2898" s="48"/>
    </row>
    <row r="2899" spans="2:9" ht="14" thickBot="1" x14ac:dyDescent="0.2">
      <c r="B2899" s="1"/>
      <c r="C2899" s="1"/>
      <c r="D2899" s="1"/>
      <c r="E2899" s="1"/>
      <c r="F2899" s="1"/>
      <c r="G2899" s="1"/>
      <c r="H2899" s="37" t="s">
        <v>26</v>
      </c>
      <c r="I2899" s="424">
        <f>SUM(H2893:H2898)</f>
        <v>91147.274999999994</v>
      </c>
    </row>
    <row r="2900" spans="2:9" ht="14" thickBot="1" x14ac:dyDescent="0.2">
      <c r="B2900" s="28" t="s">
        <v>31</v>
      </c>
      <c r="C2900" s="28"/>
      <c r="D2900" s="26"/>
      <c r="E2900" s="1"/>
      <c r="F2900" s="1"/>
      <c r="G2900" s="1"/>
      <c r="H2900" s="1"/>
      <c r="I2900" s="1"/>
    </row>
    <row r="2901" spans="2:9" x14ac:dyDescent="0.15">
      <c r="B2901" s="51" t="s">
        <v>32</v>
      </c>
      <c r="C2901" s="52"/>
      <c r="D2901" s="378" t="s">
        <v>33</v>
      </c>
      <c r="E2901" s="209" t="s">
        <v>34</v>
      </c>
      <c r="F2901" s="209" t="s">
        <v>35</v>
      </c>
      <c r="G2901" s="209" t="s">
        <v>36</v>
      </c>
      <c r="H2901" s="59" t="s">
        <v>25</v>
      </c>
      <c r="I2901" s="43"/>
    </row>
    <row r="2902" spans="2:9" x14ac:dyDescent="0.15">
      <c r="B2902" s="4" t="s">
        <v>79</v>
      </c>
      <c r="C2902" s="6"/>
      <c r="D2902" s="53">
        <v>0.1</v>
      </c>
      <c r="E2902" s="2">
        <v>15</v>
      </c>
      <c r="F2902" s="2">
        <f>E2902*D2902</f>
        <v>1.5</v>
      </c>
      <c r="G2902" s="162">
        <v>1100</v>
      </c>
      <c r="H2902" s="20">
        <f>G2902*F2902</f>
        <v>1650</v>
      </c>
      <c r="I2902" s="44"/>
    </row>
    <row r="2903" spans="2:9" x14ac:dyDescent="0.15">
      <c r="B2903" s="415"/>
      <c r="C2903" s="66"/>
      <c r="D2903" s="67"/>
      <c r="E2903" s="68"/>
      <c r="F2903" s="68"/>
      <c r="G2903" s="69"/>
      <c r="H2903" s="65"/>
      <c r="I2903" s="44"/>
    </row>
    <row r="2904" spans="2:9" ht="14" thickBot="1" x14ac:dyDescent="0.2">
      <c r="B2904" s="33"/>
      <c r="C2904" s="54"/>
      <c r="D2904" s="21"/>
      <c r="E2904" s="22"/>
      <c r="F2904" s="23"/>
      <c r="G2904" s="47"/>
      <c r="H2904" s="21"/>
      <c r="I2904" s="44"/>
    </row>
    <row r="2905" spans="2:9" ht="14" thickBot="1" x14ac:dyDescent="0.2">
      <c r="B2905" s="1"/>
      <c r="C2905" s="1"/>
      <c r="D2905" s="1"/>
      <c r="E2905" s="1"/>
      <c r="F2905" s="1"/>
      <c r="G2905" s="1"/>
      <c r="H2905" s="37" t="s">
        <v>26</v>
      </c>
      <c r="I2905" s="448">
        <f>SUM(H2902:H2904)</f>
        <v>1650</v>
      </c>
    </row>
    <row r="2906" spans="2:9" ht="14" thickBot="1" x14ac:dyDescent="0.2">
      <c r="B2906" s="28" t="s">
        <v>37</v>
      </c>
      <c r="C2906" s="28"/>
      <c r="D2906" s="1"/>
      <c r="E2906" s="1"/>
      <c r="F2906" s="1"/>
      <c r="G2906" s="1"/>
      <c r="H2906" s="1"/>
      <c r="I2906" s="1"/>
    </row>
    <row r="2907" spans="2:9" x14ac:dyDescent="0.15">
      <c r="B2907" s="51" t="s">
        <v>38</v>
      </c>
      <c r="C2907" s="86"/>
      <c r="D2907" s="31" t="s">
        <v>39</v>
      </c>
      <c r="E2907" s="209" t="s">
        <v>40</v>
      </c>
      <c r="F2907" s="19" t="s">
        <v>41</v>
      </c>
      <c r="G2907" s="31" t="s">
        <v>24</v>
      </c>
      <c r="H2907" s="208" t="s">
        <v>25</v>
      </c>
      <c r="I2907" s="43"/>
    </row>
    <row r="2908" spans="2:9" x14ac:dyDescent="0.15">
      <c r="B2908" s="4" t="s">
        <v>65</v>
      </c>
      <c r="C2908" s="24"/>
      <c r="D2908" s="32">
        <f>'MANO DE OBRA'!E15</f>
        <v>95333</v>
      </c>
      <c r="E2908" s="168">
        <v>1.75</v>
      </c>
      <c r="F2908" s="419">
        <f>+E2908*D2908</f>
        <v>166832.75</v>
      </c>
      <c r="G2908" s="20">
        <v>10</v>
      </c>
      <c r="H2908" s="420">
        <f>+F2908/G2908</f>
        <v>16683.275000000001</v>
      </c>
      <c r="I2908" s="44"/>
    </row>
    <row r="2909" spans="2:9" x14ac:dyDescent="0.15">
      <c r="B2909" s="4" t="s">
        <v>520</v>
      </c>
      <c r="C2909" s="24"/>
      <c r="D2909" s="32">
        <f>'MANO DE OBRA'!E14*4</f>
        <v>208000</v>
      </c>
      <c r="E2909" s="168">
        <v>1.75</v>
      </c>
      <c r="F2909" s="419">
        <f>+E2909*D2909</f>
        <v>364000</v>
      </c>
      <c r="G2909" s="20">
        <v>10</v>
      </c>
      <c r="H2909" s="420">
        <f>+F2909/G2909</f>
        <v>36400</v>
      </c>
      <c r="I2909" s="44"/>
    </row>
    <row r="2910" spans="2:9" x14ac:dyDescent="0.15">
      <c r="B2910" s="4"/>
      <c r="C2910" s="24"/>
      <c r="D2910" s="32"/>
      <c r="E2910" s="168"/>
      <c r="F2910" s="20"/>
      <c r="G2910" s="20"/>
      <c r="H2910" s="55"/>
      <c r="I2910" s="44"/>
    </row>
    <row r="2911" spans="2:9" ht="14" thickBot="1" x14ac:dyDescent="0.2">
      <c r="B2911" s="33"/>
      <c r="C2911" s="34"/>
      <c r="D2911" s="22"/>
      <c r="E2911" s="21"/>
      <c r="F2911" s="22"/>
      <c r="G2911" s="23"/>
      <c r="H2911" s="47"/>
      <c r="I2911" s="48"/>
    </row>
    <row r="2912" spans="2:9" ht="14" thickBot="1" x14ac:dyDescent="0.2">
      <c r="B2912" s="1"/>
      <c r="C2912" s="1"/>
      <c r="D2912" s="1"/>
      <c r="E2912" s="1"/>
      <c r="F2912" s="1"/>
      <c r="G2912" s="1"/>
      <c r="H2912" s="37" t="s">
        <v>26</v>
      </c>
      <c r="I2912" s="424">
        <f>SUM(H2908:H2911)</f>
        <v>53083.275000000001</v>
      </c>
    </row>
    <row r="2913" spans="2:9" ht="14" thickBot="1" x14ac:dyDescent="0.2">
      <c r="B2913" s="1"/>
      <c r="C2913" s="1"/>
      <c r="D2913" s="1"/>
      <c r="E2913" s="1"/>
      <c r="F2913" s="1"/>
      <c r="G2913" s="1"/>
      <c r="H2913" s="61"/>
      <c r="I2913" s="1"/>
    </row>
    <row r="2914" spans="2:9" ht="15" thickBot="1" x14ac:dyDescent="0.2">
      <c r="B2914" s="1"/>
      <c r="C2914" s="1"/>
      <c r="D2914" s="1"/>
      <c r="E2914" s="1"/>
      <c r="F2914" s="35" t="s">
        <v>43</v>
      </c>
      <c r="G2914" s="16"/>
      <c r="H2914" s="16"/>
      <c r="I2914" s="477">
        <f>ROUND((I2890+I2899+I2905+I2912),0)</f>
        <v>148535</v>
      </c>
    </row>
    <row r="2915" spans="2:9" ht="14" x14ac:dyDescent="0.15">
      <c r="B2915" s="1"/>
      <c r="C2915" s="1"/>
      <c r="D2915" s="1"/>
      <c r="E2915" s="1"/>
      <c r="F2915" s="15"/>
      <c r="G2915" s="16"/>
      <c r="H2915" s="16"/>
      <c r="I2915" s="478"/>
    </row>
    <row r="2916" spans="2:9" ht="14" x14ac:dyDescent="0.15">
      <c r="B2916" s="1"/>
      <c r="C2916" s="1"/>
      <c r="D2916" s="1"/>
      <c r="E2916" s="1"/>
      <c r="F2916" s="15"/>
      <c r="G2916" s="16"/>
      <c r="H2916" s="16"/>
      <c r="I2916" s="478"/>
    </row>
    <row r="2917" spans="2:9" ht="14" x14ac:dyDescent="0.15">
      <c r="B2917" s="1"/>
      <c r="C2917" s="1"/>
      <c r="D2917" s="1"/>
      <c r="E2917" s="1"/>
      <c r="F2917" s="15"/>
      <c r="G2917" s="16"/>
      <c r="H2917" s="16"/>
      <c r="I2917" s="478"/>
    </row>
    <row r="2918" spans="2:9" ht="14" x14ac:dyDescent="0.15">
      <c r="B2918" s="1"/>
      <c r="C2918" s="1"/>
      <c r="D2918" s="1"/>
      <c r="E2918" s="1"/>
      <c r="F2918" s="15"/>
      <c r="G2918" s="16"/>
      <c r="H2918" s="16"/>
      <c r="I2918" s="478"/>
    </row>
    <row r="2919" spans="2:9" ht="14" x14ac:dyDescent="0.15">
      <c r="B2919" s="1"/>
      <c r="C2919" s="1"/>
      <c r="D2919" s="1"/>
      <c r="E2919" s="1"/>
      <c r="F2919" s="15"/>
      <c r="G2919" s="16"/>
      <c r="H2919" s="16"/>
      <c r="I2919" s="478"/>
    </row>
    <row r="2920" spans="2:9" ht="14" x14ac:dyDescent="0.15">
      <c r="B2920" s="1"/>
      <c r="C2920" s="1"/>
      <c r="D2920" s="1"/>
      <c r="E2920" s="1"/>
      <c r="F2920" s="15"/>
      <c r="G2920" s="16"/>
      <c r="H2920" s="16"/>
      <c r="I2920" s="478"/>
    </row>
    <row r="2921" spans="2:9" ht="14" x14ac:dyDescent="0.15">
      <c r="B2921" s="1"/>
      <c r="C2921" s="1"/>
      <c r="D2921" s="1"/>
      <c r="E2921" s="1"/>
      <c r="F2921" s="15"/>
      <c r="G2921" s="16"/>
      <c r="H2921" s="16"/>
      <c r="I2921" s="478"/>
    </row>
    <row r="2922" spans="2:9" ht="14" x14ac:dyDescent="0.15">
      <c r="B2922" s="1"/>
      <c r="C2922" s="1"/>
      <c r="D2922" s="1"/>
      <c r="E2922" s="1"/>
      <c r="F2922" s="15"/>
      <c r="G2922" s="16"/>
      <c r="H2922" s="16"/>
      <c r="I2922" s="478"/>
    </row>
    <row r="2923" spans="2:9" x14ac:dyDescent="0.15">
      <c r="B2923" s="11"/>
      <c r="C2923" s="11"/>
      <c r="D2923" s="1"/>
      <c r="E2923" s="155"/>
      <c r="F2923" s="155"/>
      <c r="G2923" s="155"/>
      <c r="H2923" s="155"/>
      <c r="I2923" s="479"/>
    </row>
    <row r="2924" spans="2:9" x14ac:dyDescent="0.15">
      <c r="B2924" s="11"/>
      <c r="C2924" s="11"/>
      <c r="D2924" s="1"/>
      <c r="E2924" s="155"/>
      <c r="F2924" s="155"/>
      <c r="G2924" s="155"/>
      <c r="H2924" s="155"/>
      <c r="I2924" s="479"/>
    </row>
    <row r="2925" spans="2:9" x14ac:dyDescent="0.15">
      <c r="B2925" s="11"/>
      <c r="C2925" s="11"/>
      <c r="D2925" s="1"/>
      <c r="E2925" s="155"/>
      <c r="F2925" s="155"/>
      <c r="G2925" s="155"/>
      <c r="H2925" s="155"/>
      <c r="I2925" s="479"/>
    </row>
    <row r="2926" spans="2:9" x14ac:dyDescent="0.15">
      <c r="B2926" s="11"/>
      <c r="C2926" s="11"/>
      <c r="D2926" s="1"/>
      <c r="E2926" s="155"/>
      <c r="F2926" s="155"/>
      <c r="G2926" s="155"/>
      <c r="H2926" s="155"/>
      <c r="I2926" s="479"/>
    </row>
    <row r="2927" spans="2:9" x14ac:dyDescent="0.15">
      <c r="B2927" s="11"/>
      <c r="C2927" s="11"/>
      <c r="D2927" s="1"/>
      <c r="E2927" s="155"/>
      <c r="F2927" s="155"/>
      <c r="G2927" s="155"/>
      <c r="H2927" s="155"/>
      <c r="I2927" s="479"/>
    </row>
    <row r="2928" spans="2:9" x14ac:dyDescent="0.15">
      <c r="B2928" s="11"/>
      <c r="C2928" s="11"/>
      <c r="D2928" s="1"/>
      <c r="E2928" s="155"/>
      <c r="F2928" s="155"/>
      <c r="G2928" s="155"/>
      <c r="H2928" s="155"/>
      <c r="I2928" s="479"/>
    </row>
    <row r="2929" spans="2:9" x14ac:dyDescent="0.15">
      <c r="B2929" s="11"/>
      <c r="C2929" s="11"/>
      <c r="D2929" s="1"/>
      <c r="E2929" s="155"/>
      <c r="F2929" s="155"/>
      <c r="G2929" s="155"/>
      <c r="H2929" s="155"/>
      <c r="I2929" s="479"/>
    </row>
    <row r="2930" spans="2:9" ht="14" thickBot="1" x14ac:dyDescent="0.2"/>
    <row r="2931" spans="2:9" ht="21" customHeight="1" x14ac:dyDescent="0.15">
      <c r="B2931" s="885" t="s">
        <v>874</v>
      </c>
      <c r="C2931" s="886"/>
      <c r="D2931" s="886"/>
      <c r="E2931" s="886"/>
      <c r="F2931" s="887"/>
      <c r="G2931" s="1"/>
      <c r="H2931" s="879" t="s">
        <v>20</v>
      </c>
      <c r="I2931" s="880"/>
    </row>
    <row r="2932" spans="2:9" ht="16.5" customHeight="1" x14ac:dyDescent="0.15">
      <c r="B2932" s="888" t="s">
        <v>875</v>
      </c>
      <c r="C2932" s="889"/>
      <c r="D2932" s="889"/>
      <c r="E2932" s="889"/>
      <c r="F2932" s="890"/>
      <c r="G2932" s="63"/>
      <c r="H2932" s="881"/>
      <c r="I2932" s="882"/>
    </row>
    <row r="2933" spans="2:9" ht="12.75" customHeight="1" x14ac:dyDescent="0.15">
      <c r="B2933" s="906" t="s">
        <v>876</v>
      </c>
      <c r="C2933" s="907"/>
      <c r="D2933" s="907"/>
      <c r="E2933" s="907"/>
      <c r="F2933" s="908"/>
      <c r="G2933" s="63"/>
      <c r="H2933" s="883"/>
      <c r="I2933" s="884"/>
    </row>
    <row r="2934" spans="2:9" ht="16.5" customHeight="1" thickBot="1" x14ac:dyDescent="0.2">
      <c r="B2934" s="909"/>
      <c r="C2934" s="910"/>
      <c r="D2934" s="910"/>
      <c r="E2934" s="910"/>
      <c r="F2934" s="911"/>
      <c r="G2934" s="1"/>
      <c r="H2934" s="891" t="s">
        <v>911</v>
      </c>
      <c r="I2934" s="892"/>
    </row>
    <row r="2935" spans="2:9" ht="14" thickBot="1" x14ac:dyDescent="0.2">
      <c r="B2935" s="15"/>
      <c r="C2935" s="16"/>
      <c r="D2935" s="1"/>
      <c r="E2935" s="1"/>
      <c r="F2935" s="1"/>
      <c r="G2935" s="1"/>
      <c r="H2935" s="893"/>
      <c r="I2935" s="894"/>
    </row>
    <row r="2936" spans="2:9" ht="12.75" customHeight="1" x14ac:dyDescent="0.15">
      <c r="B2936" s="922" t="s">
        <v>836</v>
      </c>
      <c r="C2936" s="923"/>
      <c r="D2936" s="923"/>
      <c r="E2936" s="923"/>
      <c r="F2936" s="924"/>
      <c r="G2936" s="1"/>
      <c r="H2936" s="893"/>
      <c r="I2936" s="894"/>
    </row>
    <row r="2937" spans="2:9" ht="12.75" customHeight="1" x14ac:dyDescent="0.15">
      <c r="B2937" s="925"/>
      <c r="C2937" s="926"/>
      <c r="D2937" s="926"/>
      <c r="E2937" s="926"/>
      <c r="F2937" s="927"/>
      <c r="H2937" s="893"/>
      <c r="I2937" s="894"/>
    </row>
    <row r="2938" spans="2:9" ht="13.5" customHeight="1" x14ac:dyDescent="0.15">
      <c r="B2938" s="925"/>
      <c r="C2938" s="926"/>
      <c r="D2938" s="926"/>
      <c r="E2938" s="926"/>
      <c r="F2938" s="927"/>
      <c r="G2938" s="11"/>
      <c r="H2938" s="895"/>
      <c r="I2938" s="896"/>
    </row>
    <row r="2939" spans="2:9" ht="21.75" customHeight="1" thickBot="1" x14ac:dyDescent="0.2">
      <c r="B2939" s="928"/>
      <c r="C2939" s="929"/>
      <c r="D2939" s="929"/>
      <c r="E2939" s="929"/>
      <c r="F2939" s="930"/>
      <c r="H2939" s="64" t="s">
        <v>45</v>
      </c>
      <c r="I2939" s="17" t="s">
        <v>5</v>
      </c>
    </row>
    <row r="2940" spans="2:9" x14ac:dyDescent="0.15">
      <c r="B2940" s="18"/>
      <c r="C2940" s="18"/>
      <c r="D2940" s="1"/>
      <c r="E2940" s="18"/>
      <c r="F2940" s="18"/>
      <c r="G2940" s="18"/>
      <c r="H2940" s="18"/>
      <c r="I2940" s="1"/>
    </row>
    <row r="2941" spans="2:9" ht="14" thickBot="1" x14ac:dyDescent="0.2">
      <c r="B2941" s="12" t="s">
        <v>21</v>
      </c>
      <c r="C2941" s="12"/>
      <c r="D2941" s="1"/>
      <c r="E2941" s="1"/>
      <c r="F2941" s="1"/>
      <c r="G2941" s="1"/>
      <c r="H2941" s="1"/>
      <c r="I2941" s="1"/>
    </row>
    <row r="2942" spans="2:9" x14ac:dyDescent="0.15">
      <c r="B2942" s="903" t="s">
        <v>22</v>
      </c>
      <c r="C2942" s="904"/>
      <c r="D2942" s="905"/>
      <c r="E2942" s="209" t="s">
        <v>23</v>
      </c>
      <c r="F2942" s="19" t="s">
        <v>47</v>
      </c>
      <c r="G2942" s="209" t="s">
        <v>24</v>
      </c>
      <c r="H2942" s="208" t="s">
        <v>25</v>
      </c>
      <c r="I2942" s="43"/>
    </row>
    <row r="2943" spans="2:9" x14ac:dyDescent="0.15">
      <c r="B2943" s="897" t="s">
        <v>56</v>
      </c>
      <c r="C2943" s="898"/>
      <c r="D2943" s="899"/>
      <c r="E2943" s="5"/>
      <c r="F2943" s="458"/>
      <c r="G2943" s="58"/>
      <c r="H2943" s="426">
        <f>+I2968*0.05</f>
        <v>1453.4697916666667</v>
      </c>
      <c r="I2943" s="44"/>
    </row>
    <row r="2944" spans="2:9" x14ac:dyDescent="0.15">
      <c r="B2944" s="897"/>
      <c r="C2944" s="898"/>
      <c r="D2944" s="899"/>
      <c r="E2944" s="5"/>
      <c r="F2944" s="46"/>
      <c r="G2944" s="20"/>
      <c r="H2944" s="56"/>
      <c r="I2944" s="44"/>
    </row>
    <row r="2945" spans="2:9" ht="14" thickBot="1" x14ac:dyDescent="0.2">
      <c r="B2945" s="900"/>
      <c r="C2945" s="901"/>
      <c r="D2945" s="902"/>
      <c r="E2945" s="21"/>
      <c r="F2945" s="22"/>
      <c r="G2945" s="23"/>
      <c r="H2945" s="47"/>
      <c r="I2945" s="48"/>
    </row>
    <row r="2946" spans="2:9" ht="14" thickBot="1" x14ac:dyDescent="0.2">
      <c r="B2946" s="1"/>
      <c r="C2946" s="1"/>
      <c r="D2946" s="1"/>
      <c r="E2946" s="1"/>
      <c r="F2946" s="1"/>
      <c r="G2946" s="1"/>
      <c r="H2946" s="37" t="s">
        <v>26</v>
      </c>
      <c r="I2946" s="448">
        <f>SUM(H2943:H2945)</f>
        <v>1453.4697916666667</v>
      </c>
    </row>
    <row r="2947" spans="2:9" ht="14" thickBot="1" x14ac:dyDescent="0.2">
      <c r="B2947" s="12" t="s">
        <v>27</v>
      </c>
      <c r="C2947" s="12"/>
      <c r="D2947" s="1"/>
      <c r="E2947" s="1"/>
      <c r="F2947" s="1"/>
      <c r="G2947" s="1"/>
      <c r="H2947" s="1"/>
      <c r="I2947" s="1"/>
    </row>
    <row r="2948" spans="2:9" x14ac:dyDescent="0.15">
      <c r="B2948" s="903" t="s">
        <v>22</v>
      </c>
      <c r="C2948" s="904"/>
      <c r="D2948" s="905"/>
      <c r="E2948" s="209" t="s">
        <v>28</v>
      </c>
      <c r="F2948" s="209" t="s">
        <v>29</v>
      </c>
      <c r="G2948" s="209" t="s">
        <v>30</v>
      </c>
      <c r="H2948" s="59" t="s">
        <v>25</v>
      </c>
      <c r="I2948" s="43"/>
    </row>
    <row r="2949" spans="2:9" x14ac:dyDescent="0.15">
      <c r="B2949" s="4" t="s">
        <v>909</v>
      </c>
      <c r="C2949" s="24"/>
      <c r="D2949" s="6"/>
      <c r="E2949" s="3" t="s">
        <v>5</v>
      </c>
      <c r="F2949" s="667">
        <f>MATERIALES!C45</f>
        <v>45000</v>
      </c>
      <c r="G2949" s="65">
        <v>1</v>
      </c>
      <c r="H2949" s="420">
        <f>G2949*F2949</f>
        <v>45000</v>
      </c>
      <c r="I2949" s="44"/>
    </row>
    <row r="2950" spans="2:9" x14ac:dyDescent="0.15">
      <c r="B2950" s="4" t="s">
        <v>910</v>
      </c>
      <c r="C2950" s="24"/>
      <c r="D2950" s="6"/>
      <c r="E2950" s="3" t="s">
        <v>6</v>
      </c>
      <c r="F2950" s="419">
        <f>'APU -BASICOS'!H153</f>
        <v>643337</v>
      </c>
      <c r="G2950" s="182">
        <f>1*1*0.01</f>
        <v>0.01</v>
      </c>
      <c r="H2950" s="420">
        <f>G2950*F2950</f>
        <v>6433.37</v>
      </c>
      <c r="I2950" s="44"/>
    </row>
    <row r="2951" spans="2:9" x14ac:dyDescent="0.15">
      <c r="B2951" s="107" t="s">
        <v>686</v>
      </c>
      <c r="C2951" s="415"/>
      <c r="D2951" s="66"/>
      <c r="E2951" s="5" t="s">
        <v>58</v>
      </c>
      <c r="F2951" s="162">
        <f>MATERIALES!C50</f>
        <v>4500</v>
      </c>
      <c r="G2951" s="65">
        <v>2</v>
      </c>
      <c r="H2951" s="420">
        <f>G2951*F2951</f>
        <v>9000</v>
      </c>
      <c r="I2951" s="44"/>
    </row>
    <row r="2952" spans="2:9" x14ac:dyDescent="0.15">
      <c r="B2952" s="107" t="s">
        <v>687</v>
      </c>
      <c r="C2952" s="415"/>
      <c r="D2952" s="66"/>
      <c r="E2952" s="5" t="s">
        <v>58</v>
      </c>
      <c r="F2952" s="162">
        <f>MATERIALES!C51</f>
        <v>2800</v>
      </c>
      <c r="G2952" s="65">
        <v>4</v>
      </c>
      <c r="H2952" s="420">
        <f>G2952*F2952</f>
        <v>11200</v>
      </c>
      <c r="I2952" s="44"/>
    </row>
    <row r="2953" spans="2:9" x14ac:dyDescent="0.15">
      <c r="B2953" s="107" t="s">
        <v>688</v>
      </c>
      <c r="C2953" s="415"/>
      <c r="D2953" s="66"/>
      <c r="E2953" s="5" t="s">
        <v>58</v>
      </c>
      <c r="F2953" s="458">
        <f>MATERIALES!C10</f>
        <v>810</v>
      </c>
      <c r="G2953" s="65">
        <v>2</v>
      </c>
      <c r="H2953" s="420">
        <f>G2953*F2953</f>
        <v>1620</v>
      </c>
      <c r="I2953" s="44"/>
    </row>
    <row r="2954" spans="2:9" ht="14" thickBot="1" x14ac:dyDescent="0.2">
      <c r="B2954" s="33" t="s">
        <v>161</v>
      </c>
      <c r="C2954" s="34"/>
      <c r="D2954" s="54"/>
      <c r="E2954" s="21" t="s">
        <v>62</v>
      </c>
      <c r="F2954" s="425">
        <f>SUM(H2948:H2953)</f>
        <v>73253.37</v>
      </c>
      <c r="G2954" s="23">
        <v>0.05</v>
      </c>
      <c r="H2954" s="476">
        <f t="shared" ref="H2954" si="6">G2954*F2954</f>
        <v>3662.6684999999998</v>
      </c>
      <c r="I2954" s="48"/>
    </row>
    <row r="2955" spans="2:9" ht="14" thickBot="1" x14ac:dyDescent="0.2">
      <c r="B2955" s="1"/>
      <c r="C2955" s="1"/>
      <c r="D2955" s="1"/>
      <c r="E2955" s="1"/>
      <c r="F2955" s="1"/>
      <c r="G2955" s="1"/>
      <c r="H2955" s="37" t="s">
        <v>26</v>
      </c>
      <c r="I2955" s="448">
        <f>SUM(H2949:H2954)</f>
        <v>76916.038499999995</v>
      </c>
    </row>
    <row r="2956" spans="2:9" ht="14" thickBot="1" x14ac:dyDescent="0.2">
      <c r="B2956" s="28" t="s">
        <v>31</v>
      </c>
      <c r="C2956" s="28"/>
      <c r="D2956" s="26"/>
      <c r="E2956" s="1"/>
      <c r="F2956" s="1"/>
      <c r="G2956" s="1"/>
      <c r="H2956" s="1"/>
      <c r="I2956" s="1"/>
    </row>
    <row r="2957" spans="2:9" x14ac:dyDescent="0.15">
      <c r="B2957" s="51" t="s">
        <v>32</v>
      </c>
      <c r="C2957" s="52"/>
      <c r="D2957" s="378" t="s">
        <v>33</v>
      </c>
      <c r="E2957" s="209" t="s">
        <v>34</v>
      </c>
      <c r="F2957" s="209" t="s">
        <v>35</v>
      </c>
      <c r="G2957" s="209" t="s">
        <v>36</v>
      </c>
      <c r="H2957" s="59" t="s">
        <v>25</v>
      </c>
      <c r="I2957" s="43"/>
    </row>
    <row r="2958" spans="2:9" x14ac:dyDescent="0.15">
      <c r="B2958" s="4" t="s">
        <v>79</v>
      </c>
      <c r="C2958" s="6"/>
      <c r="D2958" s="53">
        <v>0.05</v>
      </c>
      <c r="E2958" s="2">
        <v>15</v>
      </c>
      <c r="F2958" s="2">
        <f>E2958*D2958</f>
        <v>0.75</v>
      </c>
      <c r="G2958" s="162">
        <v>1100</v>
      </c>
      <c r="H2958" s="20">
        <f>G2958*F2958</f>
        <v>825</v>
      </c>
      <c r="I2958" s="44"/>
    </row>
    <row r="2959" spans="2:9" x14ac:dyDescent="0.15">
      <c r="B2959" s="415"/>
      <c r="C2959" s="66"/>
      <c r="D2959" s="67"/>
      <c r="E2959" s="68"/>
      <c r="F2959" s="68"/>
      <c r="G2959" s="69"/>
      <c r="H2959" s="65"/>
      <c r="I2959" s="44"/>
    </row>
    <row r="2960" spans="2:9" ht="14" thickBot="1" x14ac:dyDescent="0.2">
      <c r="B2960" s="33"/>
      <c r="C2960" s="54"/>
      <c r="D2960" s="21"/>
      <c r="E2960" s="22"/>
      <c r="F2960" s="23"/>
      <c r="G2960" s="47"/>
      <c r="H2960" s="21"/>
      <c r="I2960" s="44"/>
    </row>
    <row r="2961" spans="2:9" ht="14" thickBot="1" x14ac:dyDescent="0.2">
      <c r="B2961" s="1"/>
      <c r="C2961" s="1"/>
      <c r="D2961" s="1"/>
      <c r="E2961" s="1"/>
      <c r="F2961" s="1"/>
      <c r="G2961" s="1"/>
      <c r="H2961" s="37" t="s">
        <v>26</v>
      </c>
      <c r="I2961" s="448">
        <f>SUM(H2958:H2960)</f>
        <v>825</v>
      </c>
    </row>
    <row r="2962" spans="2:9" ht="14" thickBot="1" x14ac:dyDescent="0.2">
      <c r="B2962" s="28" t="s">
        <v>37</v>
      </c>
      <c r="C2962" s="28"/>
      <c r="D2962" s="1"/>
      <c r="E2962" s="1"/>
      <c r="F2962" s="1"/>
      <c r="G2962" s="1"/>
      <c r="H2962" s="1"/>
      <c r="I2962" s="1"/>
    </row>
    <row r="2963" spans="2:9" x14ac:dyDescent="0.15">
      <c r="B2963" s="51" t="s">
        <v>38</v>
      </c>
      <c r="C2963" s="86"/>
      <c r="D2963" s="31" t="s">
        <v>39</v>
      </c>
      <c r="E2963" s="209" t="s">
        <v>40</v>
      </c>
      <c r="F2963" s="19" t="s">
        <v>41</v>
      </c>
      <c r="G2963" s="31" t="s">
        <v>24</v>
      </c>
      <c r="H2963" s="208" t="s">
        <v>25</v>
      </c>
      <c r="I2963" s="43"/>
    </row>
    <row r="2964" spans="2:9" x14ac:dyDescent="0.15">
      <c r="B2964" s="4" t="s">
        <v>65</v>
      </c>
      <c r="C2964" s="24"/>
      <c r="D2964" s="32">
        <f>'MANO DE OBRA'!E15</f>
        <v>95333</v>
      </c>
      <c r="E2964" s="168">
        <v>1.75</v>
      </c>
      <c r="F2964" s="419">
        <f>+E2964*D2964</f>
        <v>166832.75</v>
      </c>
      <c r="G2964" s="20">
        <v>12</v>
      </c>
      <c r="H2964" s="420">
        <f>+F2964/G2964</f>
        <v>13902.729166666666</v>
      </c>
      <c r="I2964" s="44"/>
    </row>
    <row r="2965" spans="2:9" x14ac:dyDescent="0.15">
      <c r="B2965" s="4" t="s">
        <v>55</v>
      </c>
      <c r="C2965" s="24"/>
      <c r="D2965" s="32">
        <f>'MANO DE OBRA'!E14*2</f>
        <v>104000</v>
      </c>
      <c r="E2965" s="168">
        <v>1.75</v>
      </c>
      <c r="F2965" s="419">
        <f>+E2965*D2965</f>
        <v>182000</v>
      </c>
      <c r="G2965" s="20">
        <v>12</v>
      </c>
      <c r="H2965" s="420">
        <f>+F2965/G2965</f>
        <v>15166.666666666666</v>
      </c>
      <c r="I2965" s="44"/>
    </row>
    <row r="2966" spans="2:9" x14ac:dyDescent="0.15">
      <c r="B2966" s="4"/>
      <c r="C2966" s="24"/>
      <c r="D2966" s="32"/>
      <c r="E2966" s="168"/>
      <c r="F2966" s="20"/>
      <c r="G2966" s="20"/>
      <c r="H2966" s="55"/>
      <c r="I2966" s="44"/>
    </row>
    <row r="2967" spans="2:9" ht="14" thickBot="1" x14ac:dyDescent="0.2">
      <c r="B2967" s="33"/>
      <c r="C2967" s="34"/>
      <c r="D2967" s="22"/>
      <c r="E2967" s="21"/>
      <c r="F2967" s="22"/>
      <c r="G2967" s="23"/>
      <c r="H2967" s="47"/>
      <c r="I2967" s="48"/>
    </row>
    <row r="2968" spans="2:9" ht="14" thickBot="1" x14ac:dyDescent="0.2">
      <c r="B2968" s="1"/>
      <c r="C2968" s="1"/>
      <c r="D2968" s="1"/>
      <c r="E2968" s="1"/>
      <c r="F2968" s="1"/>
      <c r="G2968" s="1"/>
      <c r="H2968" s="37" t="s">
        <v>26</v>
      </c>
      <c r="I2968" s="424">
        <f>SUM(H2964:H2967)</f>
        <v>29069.395833333332</v>
      </c>
    </row>
    <row r="2969" spans="2:9" ht="14" thickBot="1" x14ac:dyDescent="0.2">
      <c r="B2969" s="1"/>
      <c r="C2969" s="1"/>
      <c r="D2969" s="1"/>
      <c r="E2969" s="1"/>
      <c r="F2969" s="1"/>
      <c r="G2969" s="1"/>
      <c r="H2969" s="61"/>
      <c r="I2969" s="1"/>
    </row>
    <row r="2970" spans="2:9" ht="15" thickBot="1" x14ac:dyDescent="0.2">
      <c r="B2970" s="1"/>
      <c r="C2970" s="1"/>
      <c r="D2970" s="1"/>
      <c r="E2970" s="1"/>
      <c r="F2970" s="35" t="s">
        <v>43</v>
      </c>
      <c r="G2970" s="16"/>
      <c r="H2970" s="16"/>
      <c r="I2970" s="477">
        <f>ROUND((I2946+I2955+I2961+I2968),0)</f>
        <v>108264</v>
      </c>
    </row>
    <row r="2971" spans="2:9" x14ac:dyDescent="0.15">
      <c r="B2971" s="11"/>
      <c r="C2971" s="11"/>
      <c r="D2971" s="1"/>
      <c r="E2971" s="155"/>
      <c r="F2971" s="155"/>
      <c r="G2971" s="155"/>
      <c r="H2971" s="155"/>
      <c r="I2971" s="479"/>
    </row>
    <row r="2972" spans="2:9" x14ac:dyDescent="0.15">
      <c r="B2972" s="11"/>
      <c r="C2972" s="11"/>
      <c r="D2972" s="1"/>
      <c r="E2972" s="155"/>
      <c r="F2972" s="155"/>
      <c r="G2972" s="155"/>
      <c r="H2972" s="155"/>
      <c r="I2972" s="479"/>
    </row>
    <row r="2973" spans="2:9" x14ac:dyDescent="0.15">
      <c r="B2973" s="11"/>
      <c r="C2973" s="11"/>
      <c r="D2973" s="1"/>
      <c r="E2973" s="155"/>
      <c r="F2973" s="155"/>
      <c r="G2973" s="155"/>
      <c r="H2973" s="155"/>
      <c r="I2973" s="479"/>
    </row>
    <row r="2974" spans="2:9" x14ac:dyDescent="0.15">
      <c r="B2974" s="11"/>
      <c r="C2974" s="11"/>
      <c r="D2974" s="1"/>
      <c r="E2974" s="155"/>
      <c r="F2974" s="155"/>
      <c r="G2974" s="155"/>
      <c r="H2974" s="155"/>
      <c r="I2974" s="479"/>
    </row>
    <row r="2975" spans="2:9" x14ac:dyDescent="0.15">
      <c r="B2975" s="11"/>
      <c r="C2975" s="11"/>
      <c r="D2975" s="1"/>
      <c r="E2975" s="155"/>
      <c r="F2975" s="155"/>
      <c r="G2975" s="155"/>
      <c r="H2975" s="155"/>
      <c r="I2975" s="479"/>
    </row>
    <row r="2976" spans="2:9" x14ac:dyDescent="0.15">
      <c r="B2976" s="11"/>
      <c r="C2976" s="11"/>
      <c r="D2976" s="1"/>
      <c r="E2976" s="155"/>
      <c r="F2976" s="155"/>
      <c r="G2976" s="155"/>
      <c r="H2976" s="155"/>
      <c r="I2976" s="479"/>
    </row>
    <row r="2977" spans="2:9" x14ac:dyDescent="0.15">
      <c r="B2977" s="11"/>
      <c r="C2977" s="11"/>
      <c r="D2977" s="1"/>
      <c r="E2977" s="155"/>
      <c r="F2977" s="155"/>
      <c r="G2977" s="155"/>
      <c r="H2977" s="155"/>
      <c r="I2977" s="479"/>
    </row>
    <row r="2978" spans="2:9" x14ac:dyDescent="0.15">
      <c r="B2978" s="11"/>
      <c r="C2978" s="11"/>
      <c r="D2978" s="1"/>
      <c r="E2978" s="155"/>
      <c r="F2978" s="155"/>
      <c r="G2978" s="155"/>
      <c r="H2978" s="155"/>
      <c r="I2978" s="479"/>
    </row>
    <row r="2979" spans="2:9" x14ac:dyDescent="0.15">
      <c r="B2979" s="11"/>
      <c r="C2979" s="11"/>
      <c r="D2979" s="1"/>
      <c r="E2979" s="155"/>
      <c r="F2979" s="155"/>
      <c r="G2979" s="155"/>
      <c r="H2979" s="155"/>
      <c r="I2979" s="479"/>
    </row>
    <row r="2980" spans="2:9" x14ac:dyDescent="0.15">
      <c r="B2980" s="11"/>
      <c r="C2980" s="11"/>
      <c r="D2980" s="1"/>
      <c r="E2980" s="155"/>
      <c r="F2980" s="155"/>
      <c r="G2980" s="155"/>
      <c r="H2980" s="155"/>
      <c r="I2980" s="479"/>
    </row>
    <row r="2981" spans="2:9" x14ac:dyDescent="0.15">
      <c r="B2981" s="11"/>
      <c r="C2981" s="11"/>
      <c r="D2981" s="1"/>
      <c r="E2981" s="155"/>
      <c r="F2981" s="155"/>
      <c r="G2981" s="155"/>
      <c r="H2981" s="155"/>
      <c r="I2981" s="479"/>
    </row>
    <row r="2982" spans="2:9" x14ac:dyDescent="0.15">
      <c r="B2982" s="11"/>
      <c r="C2982" s="11"/>
      <c r="D2982" s="1"/>
      <c r="E2982" s="155"/>
      <c r="F2982" s="155"/>
      <c r="G2982" s="155"/>
      <c r="H2982" s="155"/>
      <c r="I2982" s="479"/>
    </row>
    <row r="2983" spans="2:9" x14ac:dyDescent="0.15">
      <c r="B2983" s="11"/>
      <c r="C2983" s="11"/>
      <c r="D2983" s="1"/>
      <c r="E2983" s="155"/>
      <c r="F2983" s="155"/>
      <c r="G2983" s="155"/>
      <c r="H2983" s="155"/>
      <c r="I2983" s="479"/>
    </row>
    <row r="2984" spans="2:9" x14ac:dyDescent="0.15">
      <c r="B2984" s="11"/>
      <c r="C2984" s="11"/>
      <c r="D2984" s="1"/>
      <c r="E2984" s="155"/>
      <c r="F2984" s="155"/>
      <c r="G2984" s="155"/>
      <c r="H2984" s="155"/>
      <c r="I2984" s="479"/>
    </row>
    <row r="2985" spans="2:9" x14ac:dyDescent="0.15">
      <c r="B2985" s="11"/>
      <c r="C2985" s="11"/>
      <c r="D2985" s="1"/>
      <c r="E2985" s="155"/>
      <c r="F2985" s="155"/>
      <c r="G2985" s="155"/>
      <c r="H2985" s="155"/>
      <c r="I2985" s="479"/>
    </row>
    <row r="2986" spans="2:9" x14ac:dyDescent="0.15">
      <c r="B2986" s="11"/>
      <c r="C2986" s="11"/>
      <c r="D2986" s="1"/>
      <c r="E2986" s="155"/>
      <c r="F2986" s="155"/>
      <c r="G2986" s="155"/>
      <c r="H2986" s="155"/>
      <c r="I2986" s="479"/>
    </row>
    <row r="2987" spans="2:9" x14ac:dyDescent="0.15">
      <c r="B2987" s="11"/>
      <c r="C2987" s="11"/>
      <c r="D2987" s="1"/>
      <c r="E2987" s="155"/>
      <c r="F2987" s="155"/>
      <c r="G2987" s="155"/>
      <c r="H2987" s="155"/>
      <c r="I2987" s="479"/>
    </row>
    <row r="2988" spans="2:9" ht="14" thickBot="1" x14ac:dyDescent="0.2">
      <c r="B2988" s="11"/>
      <c r="C2988" s="11"/>
      <c r="D2988" s="1"/>
      <c r="E2988" s="155"/>
      <c r="F2988" s="155"/>
      <c r="G2988" s="155"/>
      <c r="H2988" s="155"/>
      <c r="I2988" s="479"/>
    </row>
    <row r="2989" spans="2:9" ht="21" customHeight="1" x14ac:dyDescent="0.15">
      <c r="B2989" s="885" t="s">
        <v>874</v>
      </c>
      <c r="C2989" s="886"/>
      <c r="D2989" s="886"/>
      <c r="E2989" s="886"/>
      <c r="F2989" s="887"/>
      <c r="G2989" s="1"/>
      <c r="H2989" s="879" t="s">
        <v>20</v>
      </c>
      <c r="I2989" s="880"/>
    </row>
    <row r="2990" spans="2:9" ht="16.5" customHeight="1" x14ac:dyDescent="0.15">
      <c r="B2990" s="888" t="s">
        <v>875</v>
      </c>
      <c r="C2990" s="889"/>
      <c r="D2990" s="889"/>
      <c r="E2990" s="889"/>
      <c r="F2990" s="890"/>
      <c r="G2990" s="63"/>
      <c r="H2990" s="881"/>
      <c r="I2990" s="882"/>
    </row>
    <row r="2991" spans="2:9" ht="12.75" customHeight="1" x14ac:dyDescent="0.15">
      <c r="B2991" s="906" t="s">
        <v>876</v>
      </c>
      <c r="C2991" s="907"/>
      <c r="D2991" s="907"/>
      <c r="E2991" s="907"/>
      <c r="F2991" s="908"/>
      <c r="G2991" s="63"/>
      <c r="H2991" s="883"/>
      <c r="I2991" s="884"/>
    </row>
    <row r="2992" spans="2:9" ht="16.5" customHeight="1" thickBot="1" x14ac:dyDescent="0.2">
      <c r="B2992" s="909"/>
      <c r="C2992" s="910"/>
      <c r="D2992" s="910"/>
      <c r="E2992" s="910"/>
      <c r="F2992" s="911"/>
      <c r="G2992" s="1"/>
      <c r="H2992" s="981" t="s">
        <v>912</v>
      </c>
      <c r="I2992" s="982"/>
    </row>
    <row r="2993" spans="2:9" ht="14" thickBot="1" x14ac:dyDescent="0.2">
      <c r="B2993" s="15"/>
      <c r="C2993" s="16"/>
      <c r="D2993" s="1"/>
      <c r="E2993" s="1"/>
      <c r="F2993" s="1"/>
      <c r="G2993" s="1"/>
      <c r="H2993" s="983"/>
      <c r="I2993" s="984"/>
    </row>
    <row r="2994" spans="2:9" ht="12.75" customHeight="1" x14ac:dyDescent="0.15">
      <c r="B2994" s="922" t="s">
        <v>836</v>
      </c>
      <c r="C2994" s="923"/>
      <c r="D2994" s="923"/>
      <c r="E2994" s="923"/>
      <c r="F2994" s="924"/>
      <c r="G2994" s="1"/>
      <c r="H2994" s="983"/>
      <c r="I2994" s="984"/>
    </row>
    <row r="2995" spans="2:9" ht="12.75" customHeight="1" x14ac:dyDescent="0.15">
      <c r="B2995" s="925"/>
      <c r="C2995" s="926"/>
      <c r="D2995" s="926"/>
      <c r="E2995" s="926"/>
      <c r="F2995" s="927"/>
      <c r="H2995" s="983"/>
      <c r="I2995" s="984"/>
    </row>
    <row r="2996" spans="2:9" ht="13.5" customHeight="1" x14ac:dyDescent="0.15">
      <c r="B2996" s="925"/>
      <c r="C2996" s="926"/>
      <c r="D2996" s="926"/>
      <c r="E2996" s="926"/>
      <c r="F2996" s="927"/>
      <c r="G2996" s="11"/>
      <c r="H2996" s="985"/>
      <c r="I2996" s="986"/>
    </row>
    <row r="2997" spans="2:9" ht="21.75" customHeight="1" thickBot="1" x14ac:dyDescent="0.2">
      <c r="B2997" s="928"/>
      <c r="C2997" s="929"/>
      <c r="D2997" s="929"/>
      <c r="E2997" s="929"/>
      <c r="F2997" s="930"/>
      <c r="H2997" s="64" t="s">
        <v>45</v>
      </c>
      <c r="I2997" s="17" t="s">
        <v>7</v>
      </c>
    </row>
    <row r="2998" spans="2:9" x14ac:dyDescent="0.15">
      <c r="B2998" s="18"/>
      <c r="C2998" s="18"/>
      <c r="D2998" s="1"/>
      <c r="E2998" s="18"/>
      <c r="F2998" s="18"/>
      <c r="G2998" s="18"/>
      <c r="H2998" s="18"/>
      <c r="I2998" s="1"/>
    </row>
    <row r="2999" spans="2:9" ht="14" thickBot="1" x14ac:dyDescent="0.2">
      <c r="B2999" s="12" t="s">
        <v>21</v>
      </c>
      <c r="C2999" s="12"/>
      <c r="D2999" s="1"/>
      <c r="E2999" s="1"/>
      <c r="F2999" s="1"/>
      <c r="G2999" s="1"/>
      <c r="H2999" s="1"/>
      <c r="I2999" s="1"/>
    </row>
    <row r="3000" spans="2:9" x14ac:dyDescent="0.15">
      <c r="B3000" s="903" t="s">
        <v>22</v>
      </c>
      <c r="C3000" s="904"/>
      <c r="D3000" s="905"/>
      <c r="E3000" s="209" t="s">
        <v>23</v>
      </c>
      <c r="F3000" s="19" t="s">
        <v>47</v>
      </c>
      <c r="G3000" s="209" t="s">
        <v>24</v>
      </c>
      <c r="H3000" s="208" t="s">
        <v>25</v>
      </c>
      <c r="I3000" s="43"/>
    </row>
    <row r="3001" spans="2:9" x14ac:dyDescent="0.15">
      <c r="B3001" s="897" t="s">
        <v>56</v>
      </c>
      <c r="C3001" s="898"/>
      <c r="D3001" s="899"/>
      <c r="E3001" s="5"/>
      <c r="F3001" s="458"/>
      <c r="G3001" s="58"/>
      <c r="H3001" s="458">
        <f>I3025*0.05</f>
        <v>697.66550000000007</v>
      </c>
      <c r="I3001" s="44"/>
    </row>
    <row r="3002" spans="2:9" x14ac:dyDescent="0.15">
      <c r="B3002" s="897"/>
      <c r="C3002" s="898"/>
      <c r="D3002" s="899"/>
      <c r="E3002" s="5"/>
      <c r="F3002" s="46"/>
      <c r="G3002" s="20"/>
      <c r="H3002" s="56"/>
      <c r="I3002" s="44"/>
    </row>
    <row r="3003" spans="2:9" ht="14" thickBot="1" x14ac:dyDescent="0.2">
      <c r="B3003" s="900"/>
      <c r="C3003" s="901"/>
      <c r="D3003" s="902"/>
      <c r="E3003" s="21"/>
      <c r="F3003" s="22"/>
      <c r="G3003" s="23"/>
      <c r="H3003" s="47"/>
      <c r="I3003" s="48"/>
    </row>
    <row r="3004" spans="2:9" ht="14" thickBot="1" x14ac:dyDescent="0.2">
      <c r="B3004" s="1"/>
      <c r="C3004" s="1"/>
      <c r="D3004" s="1"/>
      <c r="E3004" s="1"/>
      <c r="F3004" s="1"/>
      <c r="G3004" s="1"/>
      <c r="H3004" s="37" t="s">
        <v>26</v>
      </c>
      <c r="I3004" s="448">
        <f>SUM(H3001:H3003)</f>
        <v>697.66550000000007</v>
      </c>
    </row>
    <row r="3005" spans="2:9" ht="14" thickBot="1" x14ac:dyDescent="0.2">
      <c r="B3005" s="12" t="s">
        <v>27</v>
      </c>
      <c r="C3005" s="12"/>
      <c r="D3005" s="1"/>
      <c r="E3005" s="1"/>
      <c r="F3005" s="1"/>
      <c r="G3005" s="1"/>
      <c r="H3005" s="1"/>
      <c r="I3005" s="1"/>
    </row>
    <row r="3006" spans="2:9" x14ac:dyDescent="0.15">
      <c r="B3006" s="903" t="s">
        <v>22</v>
      </c>
      <c r="C3006" s="904"/>
      <c r="D3006" s="905"/>
      <c r="E3006" s="209" t="s">
        <v>28</v>
      </c>
      <c r="F3006" s="209" t="s">
        <v>29</v>
      </c>
      <c r="G3006" s="209" t="s">
        <v>30</v>
      </c>
      <c r="H3006" s="208" t="s">
        <v>25</v>
      </c>
      <c r="I3006" s="43"/>
    </row>
    <row r="3007" spans="2:9" x14ac:dyDescent="0.15">
      <c r="B3007" s="4" t="s">
        <v>908</v>
      </c>
      <c r="C3007" s="24"/>
      <c r="D3007" s="6"/>
      <c r="E3007" s="3" t="s">
        <v>193</v>
      </c>
      <c r="F3007" s="667">
        <f>MATERIALES!C47</f>
        <v>17500</v>
      </c>
      <c r="G3007" s="65">
        <v>1</v>
      </c>
      <c r="H3007" s="420">
        <f>G3007*F3007</f>
        <v>17500</v>
      </c>
      <c r="I3007" s="44"/>
    </row>
    <row r="3008" spans="2:9" x14ac:dyDescent="0.15">
      <c r="B3008" s="107" t="s">
        <v>686</v>
      </c>
      <c r="C3008" s="415"/>
      <c r="D3008" s="66"/>
      <c r="E3008" s="5" t="s">
        <v>58</v>
      </c>
      <c r="F3008" s="162">
        <f>MATERIALES!C50</f>
        <v>4500</v>
      </c>
      <c r="G3008" s="65">
        <v>0.4</v>
      </c>
      <c r="H3008" s="420">
        <f>G3008*F3008</f>
        <v>1800</v>
      </c>
      <c r="I3008" s="44"/>
    </row>
    <row r="3009" spans="2:9" x14ac:dyDescent="0.15">
      <c r="B3009" s="107" t="s">
        <v>687</v>
      </c>
      <c r="C3009" s="415"/>
      <c r="D3009" s="66"/>
      <c r="E3009" s="5" t="s">
        <v>58</v>
      </c>
      <c r="F3009" s="162">
        <f>MATERIALES!C51</f>
        <v>2800</v>
      </c>
      <c r="G3009" s="65">
        <v>0.1</v>
      </c>
      <c r="H3009" s="420">
        <f>G3009*F3009</f>
        <v>280</v>
      </c>
      <c r="I3009" s="44"/>
    </row>
    <row r="3010" spans="2:9" x14ac:dyDescent="0.15">
      <c r="B3010" s="107" t="s">
        <v>688</v>
      </c>
      <c r="C3010" s="415"/>
      <c r="D3010" s="66"/>
      <c r="E3010" s="5" t="s">
        <v>58</v>
      </c>
      <c r="F3010" s="458">
        <f>MATERIALES!C10</f>
        <v>810</v>
      </c>
      <c r="G3010" s="65">
        <v>0.2</v>
      </c>
      <c r="H3010" s="420">
        <f>G3010*F3010</f>
        <v>162</v>
      </c>
      <c r="I3010" s="44"/>
    </row>
    <row r="3011" spans="2:9" ht="14" thickBot="1" x14ac:dyDescent="0.2">
      <c r="B3011" s="33" t="s">
        <v>161</v>
      </c>
      <c r="C3011" s="34"/>
      <c r="D3011" s="54"/>
      <c r="E3011" s="21" t="s">
        <v>62</v>
      </c>
      <c r="F3011" s="425">
        <f>SUM(H3007:H3010)</f>
        <v>19742</v>
      </c>
      <c r="G3011" s="23">
        <v>0.05</v>
      </c>
      <c r="H3011" s="476">
        <f t="shared" ref="H3011" si="7">G3011*F3011</f>
        <v>987.1</v>
      </c>
      <c r="I3011" s="48"/>
    </row>
    <row r="3012" spans="2:9" ht="14" thickBot="1" x14ac:dyDescent="0.2">
      <c r="B3012" s="1"/>
      <c r="C3012" s="1"/>
      <c r="D3012" s="1"/>
      <c r="E3012" s="1"/>
      <c r="F3012" s="1"/>
      <c r="G3012" s="1"/>
      <c r="H3012" s="37" t="s">
        <v>26</v>
      </c>
      <c r="I3012" s="448">
        <f>SUM(H3007:H3011)</f>
        <v>20729.099999999999</v>
      </c>
    </row>
    <row r="3013" spans="2:9" ht="14" thickBot="1" x14ac:dyDescent="0.2">
      <c r="B3013" s="28" t="s">
        <v>31</v>
      </c>
      <c r="C3013" s="28"/>
      <c r="D3013" s="26"/>
      <c r="E3013" s="1"/>
      <c r="F3013" s="1"/>
      <c r="G3013" s="1"/>
      <c r="H3013" s="1"/>
      <c r="I3013" s="1"/>
    </row>
    <row r="3014" spans="2:9" x14ac:dyDescent="0.15">
      <c r="B3014" s="51" t="s">
        <v>32</v>
      </c>
      <c r="C3014" s="52"/>
      <c r="D3014" s="378" t="s">
        <v>33</v>
      </c>
      <c r="E3014" s="209" t="s">
        <v>34</v>
      </c>
      <c r="F3014" s="209" t="s">
        <v>35</v>
      </c>
      <c r="G3014" s="209" t="s">
        <v>36</v>
      </c>
      <c r="H3014" s="59" t="s">
        <v>25</v>
      </c>
      <c r="I3014" s="43"/>
    </row>
    <row r="3015" spans="2:9" x14ac:dyDescent="0.15">
      <c r="B3015" s="4" t="s">
        <v>79</v>
      </c>
      <c r="C3015" s="6"/>
      <c r="D3015" s="53">
        <v>0.01</v>
      </c>
      <c r="E3015" s="2">
        <v>15</v>
      </c>
      <c r="F3015" s="2">
        <f>E3015*D3015</f>
        <v>0.15</v>
      </c>
      <c r="G3015" s="162">
        <v>1100</v>
      </c>
      <c r="H3015" s="20">
        <f>G3015*F3015</f>
        <v>165</v>
      </c>
      <c r="I3015" s="44"/>
    </row>
    <row r="3016" spans="2:9" x14ac:dyDescent="0.15">
      <c r="B3016" s="415"/>
      <c r="C3016" s="66"/>
      <c r="D3016" s="67"/>
      <c r="E3016" s="68"/>
      <c r="F3016" s="68"/>
      <c r="G3016" s="69"/>
      <c r="H3016" s="65"/>
      <c r="I3016" s="44"/>
    </row>
    <row r="3017" spans="2:9" ht="14" thickBot="1" x14ac:dyDescent="0.2">
      <c r="B3017" s="33"/>
      <c r="C3017" s="54"/>
      <c r="D3017" s="21"/>
      <c r="E3017" s="22"/>
      <c r="F3017" s="23"/>
      <c r="G3017" s="47"/>
      <c r="H3017" s="21"/>
      <c r="I3017" s="44"/>
    </row>
    <row r="3018" spans="2:9" ht="14" thickBot="1" x14ac:dyDescent="0.2">
      <c r="B3018" s="1"/>
      <c r="C3018" s="1"/>
      <c r="D3018" s="1"/>
      <c r="E3018" s="1"/>
      <c r="F3018" s="1"/>
      <c r="G3018" s="1"/>
      <c r="H3018" s="37" t="s">
        <v>26</v>
      </c>
      <c r="I3018" s="448">
        <f>SUM(H3015:H3017)</f>
        <v>165</v>
      </c>
    </row>
    <row r="3019" spans="2:9" ht="14" thickBot="1" x14ac:dyDescent="0.2">
      <c r="B3019" s="28" t="s">
        <v>37</v>
      </c>
      <c r="C3019" s="28"/>
      <c r="D3019" s="1"/>
      <c r="E3019" s="1"/>
      <c r="F3019" s="1"/>
      <c r="G3019" s="1"/>
      <c r="H3019" s="1"/>
      <c r="I3019" s="1"/>
    </row>
    <row r="3020" spans="2:9" x14ac:dyDescent="0.15">
      <c r="B3020" s="51" t="s">
        <v>38</v>
      </c>
      <c r="C3020" s="86"/>
      <c r="D3020" s="31" t="s">
        <v>39</v>
      </c>
      <c r="E3020" s="209" t="s">
        <v>40</v>
      </c>
      <c r="F3020" s="19" t="s">
        <v>41</v>
      </c>
      <c r="G3020" s="31" t="s">
        <v>24</v>
      </c>
      <c r="H3020" s="208" t="s">
        <v>25</v>
      </c>
      <c r="I3020" s="43"/>
    </row>
    <row r="3021" spans="2:9" x14ac:dyDescent="0.15">
      <c r="B3021" s="4" t="s">
        <v>65</v>
      </c>
      <c r="C3021" s="24"/>
      <c r="D3021" s="32">
        <f>'MANO DE OBRA'!E15</f>
        <v>95333</v>
      </c>
      <c r="E3021" s="168">
        <v>1.75</v>
      </c>
      <c r="F3021" s="419">
        <f>+E3021*D3021</f>
        <v>166832.75</v>
      </c>
      <c r="G3021" s="79">
        <v>25</v>
      </c>
      <c r="H3021" s="420">
        <f>+F3021/G3021</f>
        <v>6673.31</v>
      </c>
      <c r="I3021" s="44"/>
    </row>
    <row r="3022" spans="2:9" x14ac:dyDescent="0.15">
      <c r="B3022" s="4" t="s">
        <v>55</v>
      </c>
      <c r="C3022" s="24"/>
      <c r="D3022" s="32">
        <f>'MANO DE OBRA'!E14*2</f>
        <v>104000</v>
      </c>
      <c r="E3022" s="168">
        <v>1.75</v>
      </c>
      <c r="F3022" s="419">
        <f>+E3022*D3022</f>
        <v>182000</v>
      </c>
      <c r="G3022" s="79">
        <v>25</v>
      </c>
      <c r="H3022" s="420">
        <f>+F3022/G3022</f>
        <v>7280</v>
      </c>
      <c r="I3022" s="44"/>
    </row>
    <row r="3023" spans="2:9" x14ac:dyDescent="0.15">
      <c r="B3023" s="4"/>
      <c r="C3023" s="24"/>
      <c r="D3023" s="32"/>
      <c r="E3023" s="168"/>
      <c r="F3023" s="20"/>
      <c r="G3023" s="20"/>
      <c r="H3023" s="55"/>
      <c r="I3023" s="44"/>
    </row>
    <row r="3024" spans="2:9" ht="14" thickBot="1" x14ac:dyDescent="0.2">
      <c r="B3024" s="33"/>
      <c r="C3024" s="34"/>
      <c r="D3024" s="22"/>
      <c r="E3024" s="21"/>
      <c r="F3024" s="22"/>
      <c r="G3024" s="23"/>
      <c r="H3024" s="47"/>
      <c r="I3024" s="48"/>
    </row>
    <row r="3025" spans="2:9" ht="14" thickBot="1" x14ac:dyDescent="0.2">
      <c r="B3025" s="1"/>
      <c r="C3025" s="1"/>
      <c r="D3025" s="1"/>
      <c r="E3025" s="1"/>
      <c r="F3025" s="1"/>
      <c r="G3025" s="1"/>
      <c r="H3025" s="37" t="s">
        <v>26</v>
      </c>
      <c r="I3025" s="424">
        <f>SUM(H3021:H3024)</f>
        <v>13953.310000000001</v>
      </c>
    </row>
    <row r="3026" spans="2:9" ht="14" thickBot="1" x14ac:dyDescent="0.2">
      <c r="B3026" s="1"/>
      <c r="C3026" s="1"/>
      <c r="D3026" s="1"/>
      <c r="E3026" s="1"/>
      <c r="F3026" s="1"/>
      <c r="G3026" s="1"/>
      <c r="H3026" s="61"/>
      <c r="I3026" s="1"/>
    </row>
    <row r="3027" spans="2:9" ht="15" thickBot="1" x14ac:dyDescent="0.2">
      <c r="B3027" s="1"/>
      <c r="C3027" s="1"/>
      <c r="D3027" s="1"/>
      <c r="E3027" s="1"/>
      <c r="F3027" s="35" t="s">
        <v>43</v>
      </c>
      <c r="G3027" s="16"/>
      <c r="H3027" s="16"/>
      <c r="I3027" s="477">
        <f>ROUND((I3004+I3012+I3018+I3025),0)</f>
        <v>35545</v>
      </c>
    </row>
    <row r="3028" spans="2:9" x14ac:dyDescent="0.15">
      <c r="B3028" s="11"/>
      <c r="C3028" s="11"/>
      <c r="D3028" s="1"/>
      <c r="E3028" s="155"/>
      <c r="F3028" s="155"/>
      <c r="G3028" s="155"/>
      <c r="H3028" s="155"/>
      <c r="I3028" s="479"/>
    </row>
    <row r="3029" spans="2:9" x14ac:dyDescent="0.15">
      <c r="B3029" s="11"/>
      <c r="C3029" s="11"/>
      <c r="D3029" s="1"/>
      <c r="E3029" s="155"/>
      <c r="F3029" s="155"/>
      <c r="G3029" s="155"/>
      <c r="H3029" s="155"/>
      <c r="I3029" s="479"/>
    </row>
    <row r="3030" spans="2:9" x14ac:dyDescent="0.15">
      <c r="B3030" s="11"/>
      <c r="C3030" s="11"/>
      <c r="D3030" s="1"/>
      <c r="E3030" s="155"/>
      <c r="F3030" s="155"/>
      <c r="G3030" s="155"/>
      <c r="H3030" s="155"/>
      <c r="I3030" s="479"/>
    </row>
    <row r="3031" spans="2:9" x14ac:dyDescent="0.15">
      <c r="B3031" s="11"/>
      <c r="C3031" s="11"/>
      <c r="D3031" s="1"/>
      <c r="E3031" s="155"/>
      <c r="F3031" s="155"/>
      <c r="G3031" s="155"/>
      <c r="H3031" s="155"/>
      <c r="I3031" s="479"/>
    </row>
    <row r="3032" spans="2:9" x14ac:dyDescent="0.15">
      <c r="B3032" s="11"/>
      <c r="C3032" s="11"/>
      <c r="D3032" s="1"/>
      <c r="E3032" s="155"/>
      <c r="F3032" s="155"/>
      <c r="G3032" s="155"/>
      <c r="H3032" s="155"/>
      <c r="I3032" s="479"/>
    </row>
    <row r="3033" spans="2:9" x14ac:dyDescent="0.15">
      <c r="B3033" s="11"/>
      <c r="C3033" s="11"/>
      <c r="D3033" s="1"/>
      <c r="E3033" s="155"/>
      <c r="F3033" s="155"/>
      <c r="G3033" s="155"/>
      <c r="H3033" s="155"/>
      <c r="I3033" s="479"/>
    </row>
    <row r="3034" spans="2:9" x14ac:dyDescent="0.15">
      <c r="B3034" s="11"/>
      <c r="C3034" s="11"/>
      <c r="D3034" s="1"/>
      <c r="E3034" s="155"/>
      <c r="F3034" s="155"/>
      <c r="G3034" s="155"/>
      <c r="H3034" s="155"/>
      <c r="I3034" s="479"/>
    </row>
    <row r="3035" spans="2:9" x14ac:dyDescent="0.15">
      <c r="B3035" s="11"/>
      <c r="C3035" s="11"/>
      <c r="D3035" s="1"/>
      <c r="E3035" s="155"/>
      <c r="F3035" s="155"/>
      <c r="G3035" s="155"/>
      <c r="H3035" s="155"/>
      <c r="I3035" s="479"/>
    </row>
    <row r="3036" spans="2:9" x14ac:dyDescent="0.15">
      <c r="B3036" s="11"/>
      <c r="C3036" s="11"/>
      <c r="D3036" s="1"/>
      <c r="E3036" s="155"/>
      <c r="F3036" s="155"/>
      <c r="G3036" s="155"/>
      <c r="H3036" s="155"/>
      <c r="I3036" s="479"/>
    </row>
    <row r="3037" spans="2:9" x14ac:dyDescent="0.15">
      <c r="B3037" s="11"/>
      <c r="C3037" s="11"/>
      <c r="D3037" s="1"/>
      <c r="E3037" s="155"/>
      <c r="F3037" s="155"/>
      <c r="G3037" s="155"/>
      <c r="H3037" s="155"/>
      <c r="I3037" s="479"/>
    </row>
    <row r="3038" spans="2:9" x14ac:dyDescent="0.15">
      <c r="B3038" s="11"/>
      <c r="C3038" s="11"/>
      <c r="D3038" s="1"/>
      <c r="E3038" s="155"/>
      <c r="F3038" s="155"/>
      <c r="G3038" s="155"/>
      <c r="H3038" s="155"/>
      <c r="I3038" s="479"/>
    </row>
    <row r="3039" spans="2:9" x14ac:dyDescent="0.15">
      <c r="B3039" s="11"/>
      <c r="C3039" s="11"/>
      <c r="D3039" s="1"/>
      <c r="E3039" s="155"/>
      <c r="F3039" s="155"/>
      <c r="G3039" s="155"/>
      <c r="H3039" s="155"/>
      <c r="I3039" s="479"/>
    </row>
    <row r="3040" spans="2:9" x14ac:dyDescent="0.15">
      <c r="B3040" s="11"/>
      <c r="C3040" s="11"/>
      <c r="D3040" s="1"/>
      <c r="E3040" s="155"/>
      <c r="F3040" s="155"/>
      <c r="G3040" s="155"/>
      <c r="H3040" s="155"/>
      <c r="I3040" s="479"/>
    </row>
    <row r="3041" spans="2:9" x14ac:dyDescent="0.15">
      <c r="B3041" s="11"/>
      <c r="C3041" s="11"/>
      <c r="D3041" s="1"/>
      <c r="E3041" s="155"/>
      <c r="F3041" s="155"/>
      <c r="G3041" s="155"/>
      <c r="H3041" s="155"/>
      <c r="I3041" s="479"/>
    </row>
    <row r="3042" spans="2:9" x14ac:dyDescent="0.15">
      <c r="B3042" s="11"/>
      <c r="C3042" s="11"/>
      <c r="D3042" s="1"/>
      <c r="E3042" s="155"/>
      <c r="F3042" s="155"/>
      <c r="G3042" s="155"/>
      <c r="H3042" s="155"/>
      <c r="I3042" s="479"/>
    </row>
    <row r="3043" spans="2:9" x14ac:dyDescent="0.15">
      <c r="B3043" s="11"/>
      <c r="C3043" s="11"/>
      <c r="D3043" s="1"/>
      <c r="E3043" s="155"/>
      <c r="F3043" s="155"/>
      <c r="G3043" s="155"/>
      <c r="H3043" s="155"/>
      <c r="I3043" s="479"/>
    </row>
    <row r="3044" spans="2:9" x14ac:dyDescent="0.15">
      <c r="B3044" s="11"/>
      <c r="C3044" s="11"/>
      <c r="D3044" s="1"/>
      <c r="E3044" s="155"/>
      <c r="F3044" s="155"/>
      <c r="G3044" s="155"/>
      <c r="H3044" s="155"/>
      <c r="I3044" s="479"/>
    </row>
    <row r="3046" spans="2:9" ht="14" thickBot="1" x14ac:dyDescent="0.2"/>
    <row r="3047" spans="2:9" ht="21" customHeight="1" x14ac:dyDescent="0.15">
      <c r="B3047" s="885" t="s">
        <v>874</v>
      </c>
      <c r="C3047" s="886"/>
      <c r="D3047" s="886"/>
      <c r="E3047" s="886"/>
      <c r="F3047" s="887"/>
      <c r="G3047" s="1"/>
      <c r="H3047" s="912" t="s">
        <v>20</v>
      </c>
      <c r="I3047" s="913"/>
    </row>
    <row r="3048" spans="2:9" ht="16.5" customHeight="1" thickBot="1" x14ac:dyDescent="0.2">
      <c r="B3048" s="888" t="s">
        <v>875</v>
      </c>
      <c r="C3048" s="889"/>
      <c r="D3048" s="889"/>
      <c r="E3048" s="889"/>
      <c r="F3048" s="890"/>
      <c r="G3048" s="63"/>
      <c r="H3048" s="914"/>
      <c r="I3048" s="915"/>
    </row>
    <row r="3049" spans="2:9" ht="12.75" customHeight="1" x14ac:dyDescent="0.15">
      <c r="B3049" s="906" t="s">
        <v>876</v>
      </c>
      <c r="C3049" s="907"/>
      <c r="D3049" s="907"/>
      <c r="E3049" s="907"/>
      <c r="F3049" s="908"/>
      <c r="G3049" s="63"/>
      <c r="H3049" s="962" t="s">
        <v>1101</v>
      </c>
      <c r="I3049" s="963"/>
    </row>
    <row r="3050" spans="2:9" ht="16.5" customHeight="1" thickBot="1" x14ac:dyDescent="0.2">
      <c r="B3050" s="909"/>
      <c r="C3050" s="910"/>
      <c r="D3050" s="910"/>
      <c r="E3050" s="910"/>
      <c r="F3050" s="911"/>
      <c r="G3050" s="1"/>
      <c r="H3050" s="964"/>
      <c r="I3050" s="965"/>
    </row>
    <row r="3051" spans="2:9" ht="13.5" customHeight="1" thickBot="1" x14ac:dyDescent="0.2">
      <c r="B3051" s="15"/>
      <c r="C3051" s="16"/>
      <c r="D3051" s="1"/>
      <c r="E3051" s="1"/>
      <c r="F3051" s="1"/>
      <c r="G3051" s="1"/>
      <c r="H3051" s="964"/>
      <c r="I3051" s="965"/>
    </row>
    <row r="3052" spans="2:9" ht="12.75" customHeight="1" x14ac:dyDescent="0.15">
      <c r="B3052" s="922" t="s">
        <v>836</v>
      </c>
      <c r="C3052" s="923"/>
      <c r="D3052" s="923"/>
      <c r="E3052" s="923"/>
      <c r="F3052" s="924"/>
      <c r="G3052" s="1"/>
      <c r="H3052" s="964"/>
      <c r="I3052" s="965"/>
    </row>
    <row r="3053" spans="2:9" ht="12.75" customHeight="1" x14ac:dyDescent="0.15">
      <c r="B3053" s="925"/>
      <c r="C3053" s="926"/>
      <c r="D3053" s="926"/>
      <c r="E3053" s="926"/>
      <c r="F3053" s="927"/>
      <c r="H3053" s="964"/>
      <c r="I3053" s="965"/>
    </row>
    <row r="3054" spans="2:9" ht="13.5" customHeight="1" thickBot="1" x14ac:dyDescent="0.2">
      <c r="B3054" s="925"/>
      <c r="C3054" s="926"/>
      <c r="D3054" s="926"/>
      <c r="E3054" s="926"/>
      <c r="F3054" s="927"/>
      <c r="G3054" s="11"/>
      <c r="H3054" s="966"/>
      <c r="I3054" s="967"/>
    </row>
    <row r="3055" spans="2:9" ht="21.75" customHeight="1" thickBot="1" x14ac:dyDescent="0.2">
      <c r="B3055" s="928"/>
      <c r="C3055" s="929"/>
      <c r="D3055" s="929"/>
      <c r="E3055" s="929"/>
      <c r="F3055" s="930"/>
      <c r="H3055" s="146" t="s">
        <v>45</v>
      </c>
      <c r="I3055" s="147" t="s">
        <v>5</v>
      </c>
    </row>
    <row r="3056" spans="2:9" ht="13.5" customHeight="1" x14ac:dyDescent="0.15">
      <c r="B3056" s="18"/>
      <c r="C3056" s="18"/>
      <c r="D3056" s="1"/>
      <c r="E3056" s="18"/>
      <c r="F3056" s="18"/>
      <c r="G3056" s="18"/>
      <c r="H3056" s="18"/>
      <c r="I3056" s="1"/>
    </row>
    <row r="3057" spans="2:9" ht="14" thickBot="1" x14ac:dyDescent="0.2">
      <c r="B3057" s="12" t="s">
        <v>21</v>
      </c>
      <c r="C3057" s="12"/>
      <c r="D3057" s="1"/>
      <c r="E3057" s="1"/>
      <c r="F3057" s="1"/>
      <c r="G3057" s="1"/>
      <c r="H3057" s="1"/>
      <c r="I3057" s="1"/>
    </row>
    <row r="3058" spans="2:9" x14ac:dyDescent="0.15">
      <c r="B3058" s="903" t="s">
        <v>22</v>
      </c>
      <c r="C3058" s="904"/>
      <c r="D3058" s="905"/>
      <c r="E3058" s="209" t="s">
        <v>23</v>
      </c>
      <c r="F3058" s="19" t="s">
        <v>47</v>
      </c>
      <c r="G3058" s="209" t="s">
        <v>24</v>
      </c>
      <c r="H3058" s="208" t="s">
        <v>25</v>
      </c>
      <c r="I3058" s="43"/>
    </row>
    <row r="3059" spans="2:9" x14ac:dyDescent="0.15">
      <c r="B3059" s="897" t="s">
        <v>56</v>
      </c>
      <c r="C3059" s="898"/>
      <c r="D3059" s="899"/>
      <c r="E3059" s="5"/>
      <c r="F3059" s="162"/>
      <c r="G3059" s="58"/>
      <c r="H3059" s="165">
        <f>+I3080*0.05</f>
        <v>439.83275000000003</v>
      </c>
      <c r="I3059" s="44"/>
    </row>
    <row r="3060" spans="2:9" x14ac:dyDescent="0.15">
      <c r="B3060" s="897"/>
      <c r="C3060" s="898"/>
      <c r="D3060" s="899"/>
      <c r="E3060" s="5"/>
      <c r="F3060" s="46"/>
      <c r="G3060" s="20"/>
      <c r="H3060" s="56"/>
      <c r="I3060" s="44"/>
    </row>
    <row r="3061" spans="2:9" ht="14" thickBot="1" x14ac:dyDescent="0.2">
      <c r="B3061" s="900"/>
      <c r="C3061" s="901"/>
      <c r="D3061" s="902"/>
      <c r="E3061" s="21"/>
      <c r="F3061" s="22"/>
      <c r="G3061" s="23"/>
      <c r="H3061" s="47"/>
      <c r="I3061" s="48"/>
    </row>
    <row r="3062" spans="2:9" ht="14" thickBot="1" x14ac:dyDescent="0.2">
      <c r="B3062" s="1"/>
      <c r="C3062" s="1"/>
      <c r="D3062" s="1"/>
      <c r="E3062" s="1"/>
      <c r="F3062" s="1"/>
      <c r="G3062" s="1"/>
      <c r="H3062" s="37" t="s">
        <v>26</v>
      </c>
      <c r="I3062" s="163">
        <f>SUM(H3059:H3061)</f>
        <v>439.83275000000003</v>
      </c>
    </row>
    <row r="3063" spans="2:9" ht="14" thickBot="1" x14ac:dyDescent="0.2">
      <c r="B3063" s="12" t="s">
        <v>27</v>
      </c>
      <c r="C3063" s="12"/>
      <c r="D3063" s="1"/>
      <c r="E3063" s="1"/>
      <c r="F3063" s="1"/>
      <c r="G3063" s="1"/>
      <c r="H3063" s="1"/>
      <c r="I3063" s="1"/>
    </row>
    <row r="3064" spans="2:9" x14ac:dyDescent="0.15">
      <c r="B3064" s="903" t="s">
        <v>22</v>
      </c>
      <c r="C3064" s="904"/>
      <c r="D3064" s="905"/>
      <c r="E3064" s="209" t="s">
        <v>28</v>
      </c>
      <c r="F3064" s="209" t="s">
        <v>29</v>
      </c>
      <c r="G3064" s="209" t="s">
        <v>30</v>
      </c>
      <c r="H3064" s="208" t="s">
        <v>25</v>
      </c>
      <c r="I3064" s="43"/>
    </row>
    <row r="3065" spans="2:9" x14ac:dyDescent="0.15">
      <c r="B3065" s="4" t="s">
        <v>126</v>
      </c>
      <c r="C3065" s="24"/>
      <c r="D3065" s="6"/>
      <c r="E3065" s="3" t="s">
        <v>58</v>
      </c>
      <c r="F3065" s="166">
        <f>MATERIALES!F20</f>
        <v>2100</v>
      </c>
      <c r="G3065" s="73">
        <v>0.2</v>
      </c>
      <c r="H3065" s="230">
        <f>F3065*G3065</f>
        <v>420</v>
      </c>
      <c r="I3065" s="44"/>
    </row>
    <row r="3066" spans="2:9" x14ac:dyDescent="0.15">
      <c r="B3066" s="4" t="s">
        <v>1102</v>
      </c>
      <c r="C3066" s="24"/>
      <c r="D3066" s="6"/>
      <c r="E3066" s="3" t="s">
        <v>58</v>
      </c>
      <c r="F3066" s="166">
        <f>MATERIALES!F21</f>
        <v>29160.000000000004</v>
      </c>
      <c r="G3066" s="73">
        <v>0.05</v>
      </c>
      <c r="H3066" s="230">
        <f>F3066*G3066</f>
        <v>1458.0000000000002</v>
      </c>
      <c r="I3066" s="44"/>
    </row>
    <row r="3067" spans="2:9" ht="14" thickBot="1" x14ac:dyDescent="0.2">
      <c r="B3067" s="25"/>
      <c r="C3067" s="26"/>
      <c r="D3067" s="27"/>
      <c r="E3067" s="21"/>
      <c r="F3067" s="22"/>
      <c r="G3067" s="167"/>
      <c r="H3067" s="47"/>
      <c r="I3067" s="48"/>
    </row>
    <row r="3068" spans="2:9" ht="14" thickBot="1" x14ac:dyDescent="0.2">
      <c r="B3068" s="1"/>
      <c r="C3068" s="1"/>
      <c r="D3068" s="1"/>
      <c r="E3068" s="1"/>
      <c r="F3068" s="1"/>
      <c r="G3068" s="1"/>
      <c r="H3068" s="37" t="s">
        <v>26</v>
      </c>
      <c r="I3068" s="163">
        <f>SUM(H3065:H3067)</f>
        <v>1878.0000000000002</v>
      </c>
    </row>
    <row r="3069" spans="2:9" ht="14" thickBot="1" x14ac:dyDescent="0.2">
      <c r="B3069" s="28" t="s">
        <v>31</v>
      </c>
      <c r="C3069" s="28"/>
      <c r="D3069" s="26"/>
      <c r="E3069" s="1"/>
      <c r="F3069" s="1"/>
      <c r="G3069" s="1"/>
      <c r="H3069" s="1"/>
      <c r="I3069" s="1"/>
    </row>
    <row r="3070" spans="2:9" x14ac:dyDescent="0.15">
      <c r="B3070" s="51" t="s">
        <v>32</v>
      </c>
      <c r="C3070" s="52"/>
      <c r="D3070" s="97" t="s">
        <v>33</v>
      </c>
      <c r="E3070" s="209" t="s">
        <v>34</v>
      </c>
      <c r="F3070" s="209" t="s">
        <v>35</v>
      </c>
      <c r="G3070" s="209" t="s">
        <v>36</v>
      </c>
      <c r="H3070" s="59" t="s">
        <v>25</v>
      </c>
      <c r="I3070" s="43"/>
    </row>
    <row r="3071" spans="2:9" x14ac:dyDescent="0.15">
      <c r="B3071" s="4" t="s">
        <v>79</v>
      </c>
      <c r="C3071" s="6"/>
      <c r="D3071" s="53">
        <v>0.05</v>
      </c>
      <c r="E3071" s="2">
        <v>15</v>
      </c>
      <c r="F3071" s="2">
        <f>E3071*D3071</f>
        <v>0.75</v>
      </c>
      <c r="G3071" s="162">
        <v>1100</v>
      </c>
      <c r="H3071" s="20">
        <f>G3071*F3071</f>
        <v>825</v>
      </c>
      <c r="I3071" s="44"/>
    </row>
    <row r="3072" spans="2:9" x14ac:dyDescent="0.15">
      <c r="B3072" s="107"/>
      <c r="C3072" s="66"/>
      <c r="D3072" s="67"/>
      <c r="E3072" s="68"/>
      <c r="F3072" s="68"/>
      <c r="G3072" s="69"/>
      <c r="H3072" s="65"/>
      <c r="I3072" s="44"/>
    </row>
    <row r="3073" spans="2:11" ht="14" thickBot="1" x14ac:dyDescent="0.2">
      <c r="B3073" s="33"/>
      <c r="C3073" s="54"/>
      <c r="D3073" s="21"/>
      <c r="E3073" s="22"/>
      <c r="F3073" s="23"/>
      <c r="G3073" s="47"/>
      <c r="H3073" s="21"/>
      <c r="I3073" s="48"/>
    </row>
    <row r="3074" spans="2:11" ht="14" thickBot="1" x14ac:dyDescent="0.2">
      <c r="B3074" s="1"/>
      <c r="C3074" s="1"/>
      <c r="D3074" s="1"/>
      <c r="E3074" s="1"/>
      <c r="F3074" s="1"/>
      <c r="G3074" s="1"/>
      <c r="H3074" s="37" t="s">
        <v>26</v>
      </c>
      <c r="I3074" s="163">
        <f>SUM(H3071:H3073)</f>
        <v>825</v>
      </c>
    </row>
    <row r="3075" spans="2:11" ht="14" thickBot="1" x14ac:dyDescent="0.2">
      <c r="B3075" s="28" t="s">
        <v>37</v>
      </c>
      <c r="C3075" s="28"/>
      <c r="D3075" s="1"/>
      <c r="E3075" s="1"/>
      <c r="F3075" s="1"/>
      <c r="G3075" s="1"/>
      <c r="H3075" s="1"/>
      <c r="I3075" s="1"/>
    </row>
    <row r="3076" spans="2:11" x14ac:dyDescent="0.15">
      <c r="B3076" s="51" t="s">
        <v>38</v>
      </c>
      <c r="C3076" s="86"/>
      <c r="D3076" s="31" t="s">
        <v>39</v>
      </c>
      <c r="E3076" s="209" t="s">
        <v>40</v>
      </c>
      <c r="F3076" s="19" t="s">
        <v>41</v>
      </c>
      <c r="G3076" s="31" t="s">
        <v>24</v>
      </c>
      <c r="H3076" s="208" t="s">
        <v>25</v>
      </c>
      <c r="I3076" s="43"/>
    </row>
    <row r="3077" spans="2:11" x14ac:dyDescent="0.15">
      <c r="B3077" s="4" t="s">
        <v>104</v>
      </c>
      <c r="C3077" s="24"/>
      <c r="D3077" s="32">
        <f>'MANO DE OBRA'!E15</f>
        <v>95333</v>
      </c>
      <c r="E3077" s="88">
        <v>1.75</v>
      </c>
      <c r="F3077" s="164">
        <f>+E3077*D3077</f>
        <v>166832.75</v>
      </c>
      <c r="G3077" s="20">
        <v>50</v>
      </c>
      <c r="H3077" s="169">
        <f>+F3077/G3077</f>
        <v>3336.6550000000002</v>
      </c>
      <c r="I3077" s="44"/>
    </row>
    <row r="3078" spans="2:11" x14ac:dyDescent="0.15">
      <c r="B3078" s="4" t="s">
        <v>64</v>
      </c>
      <c r="C3078" s="24"/>
      <c r="D3078" s="32">
        <f>'MANO DE OBRA'!E14*3</f>
        <v>156000</v>
      </c>
      <c r="E3078" s="88">
        <v>1.75</v>
      </c>
      <c r="F3078" s="164">
        <f>+E3078*D3078</f>
        <v>273000</v>
      </c>
      <c r="G3078" s="20">
        <v>50</v>
      </c>
      <c r="H3078" s="169">
        <f>+F3078/G3078</f>
        <v>5460</v>
      </c>
      <c r="I3078" s="44"/>
    </row>
    <row r="3079" spans="2:11" ht="14" thickBot="1" x14ac:dyDescent="0.2">
      <c r="B3079" s="33"/>
      <c r="C3079" s="34"/>
      <c r="D3079" s="22"/>
      <c r="E3079" s="21"/>
      <c r="F3079" s="22"/>
      <c r="G3079" s="23"/>
      <c r="H3079" s="47"/>
      <c r="I3079" s="48"/>
    </row>
    <row r="3080" spans="2:11" ht="14" thickBot="1" x14ac:dyDescent="0.2">
      <c r="B3080" s="1"/>
      <c r="C3080" s="1"/>
      <c r="D3080" s="1"/>
      <c r="E3080" s="1"/>
      <c r="F3080" s="1"/>
      <c r="G3080" s="1"/>
      <c r="H3080" s="37" t="s">
        <v>26</v>
      </c>
      <c r="I3080" s="177">
        <f>SUM(H3077:H3079)</f>
        <v>8796.6550000000007</v>
      </c>
    </row>
    <row r="3081" spans="2:11" ht="14" thickBot="1" x14ac:dyDescent="0.2">
      <c r="B3081" s="1"/>
      <c r="C3081" s="1"/>
      <c r="D3081" s="1"/>
      <c r="E3081" s="1"/>
      <c r="F3081" s="1"/>
      <c r="G3081" s="1"/>
      <c r="H3081" s="61"/>
      <c r="I3081" s="1"/>
    </row>
    <row r="3082" spans="2:11" ht="15" thickBot="1" x14ac:dyDescent="0.2">
      <c r="B3082" s="1"/>
      <c r="C3082" s="1"/>
      <c r="D3082" s="1"/>
      <c r="E3082" s="1"/>
      <c r="F3082" s="35" t="s">
        <v>43</v>
      </c>
      <c r="G3082" s="16"/>
      <c r="H3082" s="16"/>
      <c r="I3082" s="232">
        <f>ROUND((I3062+I3068+I3074+I3080),0)</f>
        <v>11939</v>
      </c>
    </row>
    <row r="3083" spans="2:11" x14ac:dyDescent="0.15">
      <c r="B3083" s="12"/>
      <c r="C3083" s="12"/>
      <c r="D3083" s="1"/>
      <c r="E3083" s="1"/>
      <c r="F3083" s="1"/>
      <c r="G3083" s="1"/>
      <c r="H3083" s="172"/>
      <c r="I3083" s="172"/>
    </row>
    <row r="3084" spans="2:11" x14ac:dyDescent="0.15">
      <c r="B3084" s="16"/>
      <c r="C3084" s="16"/>
      <c r="D3084" s="16"/>
      <c r="E3084" s="16"/>
      <c r="F3084" s="16"/>
      <c r="G3084" s="61"/>
      <c r="H3084" s="173"/>
      <c r="I3084" s="172"/>
    </row>
    <row r="3085" spans="2:11" x14ac:dyDescent="0.15">
      <c r="B3085" s="1"/>
      <c r="C3085" s="1"/>
      <c r="D3085" s="1"/>
      <c r="E3085" s="1"/>
      <c r="F3085" s="1"/>
      <c r="G3085" s="161"/>
      <c r="H3085" s="172"/>
      <c r="I3085" s="172"/>
      <c r="K3085" s="106"/>
    </row>
    <row r="3086" spans="2:11" x14ac:dyDescent="0.15">
      <c r="B3086" s="1"/>
      <c r="C3086" s="1"/>
      <c r="D3086" s="1"/>
      <c r="E3086" s="1"/>
      <c r="F3086" s="1"/>
      <c r="G3086" s="161"/>
      <c r="H3086" s="172"/>
      <c r="I3086" s="172"/>
    </row>
    <row r="3087" spans="2:11" x14ac:dyDescent="0.15">
      <c r="B3087" s="1"/>
      <c r="C3087" s="1"/>
      <c r="D3087" s="1"/>
      <c r="E3087" s="1"/>
      <c r="F3087" s="1"/>
      <c r="G3087" s="161"/>
      <c r="H3087" s="172"/>
      <c r="I3087" s="172"/>
    </row>
    <row r="3088" spans="2:11" x14ac:dyDescent="0.15">
      <c r="B3088" s="1"/>
      <c r="C3088" s="1"/>
      <c r="D3088" s="1"/>
      <c r="E3088" s="1"/>
      <c r="F3088" s="1"/>
      <c r="G3088" s="1"/>
      <c r="H3088" s="37"/>
      <c r="I3088" s="172"/>
    </row>
    <row r="3089" spans="2:10" ht="14" x14ac:dyDescent="0.15">
      <c r="B3089" s="102"/>
      <c r="C3089" s="1"/>
      <c r="D3089" s="1"/>
      <c r="E3089" s="1"/>
      <c r="F3089" s="1"/>
      <c r="G3089" s="1"/>
      <c r="H3089" s="1"/>
      <c r="I3089" s="172"/>
    </row>
    <row r="3090" spans="2:10" ht="14" x14ac:dyDescent="0.15">
      <c r="B3090" s="83"/>
      <c r="C3090" s="11"/>
      <c r="D3090" s="1"/>
      <c r="E3090" s="916"/>
      <c r="F3090" s="916"/>
      <c r="G3090" s="916"/>
      <c r="H3090" s="916"/>
      <c r="I3090" s="171"/>
    </row>
    <row r="3091" spans="2:10" ht="14" x14ac:dyDescent="0.15">
      <c r="B3091" s="102"/>
      <c r="C3091" s="11"/>
      <c r="D3091" s="1"/>
      <c r="E3091" s="155"/>
      <c r="F3091" s="155"/>
      <c r="G3091" s="155"/>
      <c r="H3091" s="155"/>
      <c r="I3091" s="171"/>
    </row>
    <row r="3092" spans="2:10" ht="14" x14ac:dyDescent="0.15">
      <c r="B3092" s="83"/>
      <c r="C3092" s="11"/>
      <c r="D3092" s="1"/>
      <c r="E3092" s="155"/>
      <c r="F3092" s="155"/>
      <c r="G3092" s="155"/>
      <c r="H3092" s="155"/>
      <c r="I3092" s="171"/>
    </row>
    <row r="3093" spans="2:10" x14ac:dyDescent="0.15">
      <c r="B3093" s="11"/>
      <c r="C3093" s="11"/>
      <c r="D3093" s="1"/>
      <c r="E3093" s="155"/>
      <c r="F3093" s="155"/>
      <c r="G3093" s="155"/>
      <c r="H3093" s="155"/>
      <c r="I3093" s="171"/>
    </row>
    <row r="3094" spans="2:10" x14ac:dyDescent="0.15">
      <c r="B3094" s="11"/>
      <c r="C3094" s="11"/>
      <c r="D3094" s="1"/>
      <c r="E3094" s="155"/>
      <c r="F3094" s="155"/>
      <c r="G3094" s="155"/>
      <c r="H3094" s="155"/>
      <c r="I3094" s="171"/>
    </row>
    <row r="3095" spans="2:10" x14ac:dyDescent="0.15">
      <c r="B3095" s="11"/>
      <c r="C3095" s="11"/>
      <c r="D3095" s="1"/>
      <c r="E3095" s="155"/>
      <c r="F3095" s="155"/>
      <c r="G3095" s="155"/>
      <c r="H3095" s="155"/>
      <c r="I3095" s="171"/>
    </row>
    <row r="3096" spans="2:10" x14ac:dyDescent="0.15">
      <c r="B3096" s="11"/>
      <c r="C3096" s="11"/>
      <c r="D3096" s="1"/>
      <c r="E3096" s="155"/>
      <c r="F3096" s="155"/>
      <c r="G3096" s="155"/>
      <c r="H3096" s="155"/>
      <c r="I3096" s="171"/>
    </row>
    <row r="3097" spans="2:10" x14ac:dyDescent="0.15">
      <c r="B3097" s="11"/>
      <c r="C3097" s="11"/>
      <c r="D3097" s="11"/>
      <c r="E3097" s="11"/>
      <c r="F3097" s="11"/>
      <c r="G3097" s="11"/>
      <c r="H3097" s="11"/>
      <c r="I3097" s="11"/>
    </row>
    <row r="3098" spans="2:10" ht="14" x14ac:dyDescent="0.15">
      <c r="B3098" s="102"/>
      <c r="C3098" s="83"/>
      <c r="D3098" s="84"/>
      <c r="E3098" s="83"/>
      <c r="F3098" s="83"/>
      <c r="G3098" s="103"/>
      <c r="H3098" s="83"/>
      <c r="I3098" s="85"/>
      <c r="J3098" s="85"/>
    </row>
    <row r="3099" spans="2:10" ht="14" x14ac:dyDescent="0.15">
      <c r="B3099" s="83"/>
      <c r="C3099" s="83"/>
      <c r="D3099" s="84"/>
      <c r="E3099" s="83"/>
      <c r="F3099" s="83"/>
      <c r="G3099" s="104"/>
      <c r="H3099" s="83"/>
      <c r="I3099" s="85"/>
      <c r="J3099" s="85"/>
    </row>
    <row r="3100" spans="2:10" x14ac:dyDescent="0.15">
      <c r="B3100" s="11"/>
      <c r="C3100" s="11"/>
      <c r="D3100" s="1"/>
      <c r="E3100" s="155"/>
      <c r="F3100" s="155"/>
      <c r="G3100" s="155"/>
      <c r="H3100" s="155"/>
      <c r="I3100" s="171"/>
    </row>
    <row r="3101" spans="2:10" x14ac:dyDescent="0.15">
      <c r="B3101" s="11"/>
      <c r="C3101" s="11"/>
      <c r="D3101" s="1"/>
      <c r="E3101" s="155"/>
      <c r="F3101" s="155"/>
      <c r="G3101" s="155"/>
      <c r="H3101" s="155"/>
      <c r="I3101" s="171"/>
    </row>
    <row r="3102" spans="2:10" ht="14" thickBot="1" x14ac:dyDescent="0.2"/>
    <row r="3103" spans="2:10" ht="21" customHeight="1" x14ac:dyDescent="0.15">
      <c r="B3103" s="885" t="s">
        <v>874</v>
      </c>
      <c r="C3103" s="886"/>
      <c r="D3103" s="886"/>
      <c r="E3103" s="886"/>
      <c r="F3103" s="887"/>
      <c r="G3103" s="1"/>
      <c r="H3103" s="879" t="s">
        <v>20</v>
      </c>
      <c r="I3103" s="880"/>
    </row>
    <row r="3104" spans="2:10" ht="16.5" customHeight="1" x14ac:dyDescent="0.15">
      <c r="B3104" s="888" t="s">
        <v>875</v>
      </c>
      <c r="C3104" s="889"/>
      <c r="D3104" s="889"/>
      <c r="E3104" s="889"/>
      <c r="F3104" s="890"/>
      <c r="G3104" s="63"/>
      <c r="H3104" s="881"/>
      <c r="I3104" s="882"/>
    </row>
    <row r="3105" spans="2:9" ht="12.75" customHeight="1" x14ac:dyDescent="0.15">
      <c r="B3105" s="906" t="s">
        <v>876</v>
      </c>
      <c r="C3105" s="907"/>
      <c r="D3105" s="907"/>
      <c r="E3105" s="907"/>
      <c r="F3105" s="908"/>
      <c r="G3105" s="63"/>
      <c r="H3105" s="883"/>
      <c r="I3105" s="884"/>
    </row>
    <row r="3106" spans="2:9" ht="16.5" customHeight="1" thickBot="1" x14ac:dyDescent="0.2">
      <c r="B3106" s="909"/>
      <c r="C3106" s="910"/>
      <c r="D3106" s="910"/>
      <c r="E3106" s="910"/>
      <c r="F3106" s="911"/>
      <c r="G3106" s="1"/>
      <c r="H3106" s="891" t="s">
        <v>1276</v>
      </c>
      <c r="I3106" s="892"/>
    </row>
    <row r="3107" spans="2:9" ht="14" thickBot="1" x14ac:dyDescent="0.2">
      <c r="B3107" s="15"/>
      <c r="C3107" s="16"/>
      <c r="D3107" s="1"/>
      <c r="E3107" s="1"/>
      <c r="F3107" s="1"/>
      <c r="G3107" s="1"/>
      <c r="H3107" s="893"/>
      <c r="I3107" s="894"/>
    </row>
    <row r="3108" spans="2:9" ht="12.75" customHeight="1" x14ac:dyDescent="0.15">
      <c r="B3108" s="922" t="s">
        <v>836</v>
      </c>
      <c r="C3108" s="923"/>
      <c r="D3108" s="923"/>
      <c r="E3108" s="923"/>
      <c r="F3108" s="924"/>
      <c r="G3108" s="1"/>
      <c r="H3108" s="893"/>
      <c r="I3108" s="894"/>
    </row>
    <row r="3109" spans="2:9" ht="12.75" customHeight="1" x14ac:dyDescent="0.15">
      <c r="B3109" s="925"/>
      <c r="C3109" s="926"/>
      <c r="D3109" s="926"/>
      <c r="E3109" s="926"/>
      <c r="F3109" s="927"/>
      <c r="H3109" s="893"/>
      <c r="I3109" s="894"/>
    </row>
    <row r="3110" spans="2:9" ht="13.5" customHeight="1" x14ac:dyDescent="0.15">
      <c r="B3110" s="925"/>
      <c r="C3110" s="926"/>
      <c r="D3110" s="926"/>
      <c r="E3110" s="926"/>
      <c r="F3110" s="927"/>
      <c r="G3110" s="11"/>
      <c r="H3110" s="895"/>
      <c r="I3110" s="896"/>
    </row>
    <row r="3111" spans="2:9" ht="21.75" customHeight="1" thickBot="1" x14ac:dyDescent="0.2">
      <c r="B3111" s="928"/>
      <c r="C3111" s="929"/>
      <c r="D3111" s="929"/>
      <c r="E3111" s="929"/>
      <c r="F3111" s="930"/>
      <c r="H3111" s="64" t="s">
        <v>45</v>
      </c>
      <c r="I3111" s="17" t="s">
        <v>5</v>
      </c>
    </row>
    <row r="3112" spans="2:9" x14ac:dyDescent="0.15">
      <c r="B3112" s="18"/>
      <c r="C3112" s="18"/>
      <c r="D3112" s="1"/>
      <c r="E3112" s="18"/>
      <c r="F3112" s="18"/>
      <c r="G3112" s="18"/>
      <c r="H3112" s="18"/>
      <c r="I3112" s="1"/>
    </row>
    <row r="3113" spans="2:9" ht="14" thickBot="1" x14ac:dyDescent="0.2">
      <c r="B3113" s="12" t="s">
        <v>21</v>
      </c>
      <c r="C3113" s="12"/>
      <c r="D3113" s="1"/>
      <c r="E3113" s="1"/>
      <c r="F3113" s="1"/>
      <c r="G3113" s="1"/>
      <c r="H3113" s="1"/>
      <c r="I3113" s="1"/>
    </row>
    <row r="3114" spans="2:9" x14ac:dyDescent="0.15">
      <c r="B3114" s="903" t="s">
        <v>22</v>
      </c>
      <c r="C3114" s="904"/>
      <c r="D3114" s="905"/>
      <c r="E3114" s="209" t="s">
        <v>23</v>
      </c>
      <c r="F3114" s="19" t="s">
        <v>47</v>
      </c>
      <c r="G3114" s="209" t="s">
        <v>24</v>
      </c>
      <c r="H3114" s="208" t="s">
        <v>25</v>
      </c>
      <c r="I3114" s="43"/>
    </row>
    <row r="3115" spans="2:9" x14ac:dyDescent="0.15">
      <c r="B3115" s="897" t="s">
        <v>56</v>
      </c>
      <c r="C3115" s="898"/>
      <c r="D3115" s="899"/>
      <c r="E3115" s="5"/>
      <c r="F3115" s="458"/>
      <c r="G3115" s="58"/>
      <c r="H3115" s="426">
        <f>+I3140*0.05</f>
        <v>1453.4697916666667</v>
      </c>
      <c r="I3115" s="44"/>
    </row>
    <row r="3116" spans="2:9" x14ac:dyDescent="0.15">
      <c r="B3116" s="897"/>
      <c r="C3116" s="898"/>
      <c r="D3116" s="899"/>
      <c r="E3116" s="5"/>
      <c r="F3116" s="46"/>
      <c r="G3116" s="20"/>
      <c r="H3116" s="56"/>
      <c r="I3116" s="44"/>
    </row>
    <row r="3117" spans="2:9" ht="14" thickBot="1" x14ac:dyDescent="0.2">
      <c r="B3117" s="900"/>
      <c r="C3117" s="901"/>
      <c r="D3117" s="902"/>
      <c r="E3117" s="21"/>
      <c r="F3117" s="22"/>
      <c r="G3117" s="23"/>
      <c r="H3117" s="47"/>
      <c r="I3117" s="48"/>
    </row>
    <row r="3118" spans="2:9" ht="14" thickBot="1" x14ac:dyDescent="0.2">
      <c r="B3118" s="1"/>
      <c r="C3118" s="1"/>
      <c r="D3118" s="1"/>
      <c r="E3118" s="1"/>
      <c r="F3118" s="1"/>
      <c r="G3118" s="1"/>
      <c r="H3118" s="37" t="s">
        <v>26</v>
      </c>
      <c r="I3118" s="448">
        <f>SUM(H3115:H3117)</f>
        <v>1453.4697916666667</v>
      </c>
    </row>
    <row r="3119" spans="2:9" ht="14" thickBot="1" x14ac:dyDescent="0.2">
      <c r="B3119" s="12" t="s">
        <v>27</v>
      </c>
      <c r="C3119" s="12"/>
      <c r="D3119" s="1"/>
      <c r="E3119" s="1"/>
      <c r="F3119" s="1"/>
      <c r="G3119" s="1"/>
      <c r="H3119" s="1"/>
      <c r="I3119" s="1"/>
    </row>
    <row r="3120" spans="2:9" x14ac:dyDescent="0.15">
      <c r="B3120" s="903" t="s">
        <v>22</v>
      </c>
      <c r="C3120" s="904"/>
      <c r="D3120" s="905"/>
      <c r="E3120" s="209" t="s">
        <v>28</v>
      </c>
      <c r="F3120" s="209" t="s">
        <v>29</v>
      </c>
      <c r="G3120" s="209" t="s">
        <v>30</v>
      </c>
      <c r="H3120" s="59" t="s">
        <v>25</v>
      </c>
      <c r="I3120" s="43"/>
    </row>
    <row r="3121" spans="2:9" x14ac:dyDescent="0.15">
      <c r="B3121" s="4" t="s">
        <v>1267</v>
      </c>
      <c r="C3121" s="24"/>
      <c r="D3121" s="6"/>
      <c r="E3121" s="3" t="s">
        <v>5</v>
      </c>
      <c r="F3121" s="667">
        <f>MATERIALES!C48</f>
        <v>36000</v>
      </c>
      <c r="G3121" s="65">
        <v>1</v>
      </c>
      <c r="H3121" s="420">
        <f>G3121*F3121</f>
        <v>36000</v>
      </c>
      <c r="I3121" s="44"/>
    </row>
    <row r="3122" spans="2:9" x14ac:dyDescent="0.15">
      <c r="B3122" s="4" t="s">
        <v>910</v>
      </c>
      <c r="C3122" s="24"/>
      <c r="D3122" s="6"/>
      <c r="E3122" s="3" t="s">
        <v>6</v>
      </c>
      <c r="F3122" s="419">
        <f>'APU -BASICOS'!H153</f>
        <v>643337</v>
      </c>
      <c r="G3122" s="182">
        <f>1*1*0.01</f>
        <v>0.01</v>
      </c>
      <c r="H3122" s="420">
        <f>G3122*F3122</f>
        <v>6433.37</v>
      </c>
      <c r="I3122" s="44"/>
    </row>
    <row r="3123" spans="2:9" x14ac:dyDescent="0.15">
      <c r="B3123" s="107" t="s">
        <v>686</v>
      </c>
      <c r="C3123" s="415"/>
      <c r="D3123" s="66"/>
      <c r="E3123" s="5" t="s">
        <v>58</v>
      </c>
      <c r="F3123" s="162">
        <f>MATERIALES!F50</f>
        <v>4500</v>
      </c>
      <c r="G3123" s="65">
        <v>2</v>
      </c>
      <c r="H3123" s="420">
        <f>G3123*F3123</f>
        <v>9000</v>
      </c>
      <c r="I3123" s="44"/>
    </row>
    <row r="3124" spans="2:9" x14ac:dyDescent="0.15">
      <c r="B3124" s="107" t="s">
        <v>687</v>
      </c>
      <c r="C3124" s="415"/>
      <c r="D3124" s="66"/>
      <c r="E3124" s="5" t="s">
        <v>58</v>
      </c>
      <c r="F3124" s="162">
        <f>MATERIALES!C51</f>
        <v>2800</v>
      </c>
      <c r="G3124" s="65">
        <v>4</v>
      </c>
      <c r="H3124" s="420">
        <f>G3124*F3124</f>
        <v>11200</v>
      </c>
      <c r="I3124" s="44"/>
    </row>
    <row r="3125" spans="2:9" x14ac:dyDescent="0.15">
      <c r="B3125" s="107" t="s">
        <v>688</v>
      </c>
      <c r="C3125" s="415"/>
      <c r="D3125" s="66"/>
      <c r="E3125" s="5" t="s">
        <v>58</v>
      </c>
      <c r="F3125" s="458">
        <f>MATERIALES!F10</f>
        <v>810</v>
      </c>
      <c r="G3125" s="65">
        <v>2</v>
      </c>
      <c r="H3125" s="420">
        <f>G3125*F3125</f>
        <v>1620</v>
      </c>
      <c r="I3125" s="44"/>
    </row>
    <row r="3126" spans="2:9" ht="14" thickBot="1" x14ac:dyDescent="0.2">
      <c r="B3126" s="33" t="s">
        <v>161</v>
      </c>
      <c r="C3126" s="34"/>
      <c r="D3126" s="54"/>
      <c r="E3126" s="21" t="s">
        <v>62</v>
      </c>
      <c r="F3126" s="425">
        <f>SUM(H3120:H3125)</f>
        <v>64253.37</v>
      </c>
      <c r="G3126" s="23">
        <v>0.05</v>
      </c>
      <c r="H3126" s="476">
        <f t="shared" ref="H3126" si="8">G3126*F3126</f>
        <v>3212.6685000000002</v>
      </c>
      <c r="I3126" s="48"/>
    </row>
    <row r="3127" spans="2:9" ht="14" thickBot="1" x14ac:dyDescent="0.2">
      <c r="B3127" s="1"/>
      <c r="C3127" s="1"/>
      <c r="D3127" s="1"/>
      <c r="E3127" s="1"/>
      <c r="F3127" s="1"/>
      <c r="G3127" s="1"/>
      <c r="H3127" s="37" t="s">
        <v>26</v>
      </c>
      <c r="I3127" s="448">
        <f>SUM(H3121:H3126)</f>
        <v>67466.03850000001</v>
      </c>
    </row>
    <row r="3128" spans="2:9" ht="14" thickBot="1" x14ac:dyDescent="0.2">
      <c r="B3128" s="28" t="s">
        <v>31</v>
      </c>
      <c r="C3128" s="28"/>
      <c r="D3128" s="26"/>
      <c r="E3128" s="1"/>
      <c r="F3128" s="1"/>
      <c r="G3128" s="1"/>
      <c r="H3128" s="1"/>
      <c r="I3128" s="1"/>
    </row>
    <row r="3129" spans="2:9" x14ac:dyDescent="0.15">
      <c r="B3129" s="51" t="s">
        <v>32</v>
      </c>
      <c r="C3129" s="52"/>
      <c r="D3129" s="378" t="s">
        <v>33</v>
      </c>
      <c r="E3129" s="209" t="s">
        <v>34</v>
      </c>
      <c r="F3129" s="209" t="s">
        <v>35</v>
      </c>
      <c r="G3129" s="209" t="s">
        <v>36</v>
      </c>
      <c r="H3129" s="59" t="s">
        <v>25</v>
      </c>
      <c r="I3129" s="43"/>
    </row>
    <row r="3130" spans="2:9" x14ac:dyDescent="0.15">
      <c r="B3130" s="4" t="s">
        <v>79</v>
      </c>
      <c r="C3130" s="6"/>
      <c r="D3130" s="53">
        <v>0.05</v>
      </c>
      <c r="E3130" s="2">
        <v>15</v>
      </c>
      <c r="F3130" s="2">
        <f>E3130*D3130</f>
        <v>0.75</v>
      </c>
      <c r="G3130" s="162">
        <v>1100</v>
      </c>
      <c r="H3130" s="20">
        <f>G3130*F3130</f>
        <v>825</v>
      </c>
      <c r="I3130" s="44"/>
    </row>
    <row r="3131" spans="2:9" x14ac:dyDescent="0.15">
      <c r="B3131" s="415"/>
      <c r="C3131" s="66"/>
      <c r="D3131" s="67"/>
      <c r="E3131" s="68"/>
      <c r="F3131" s="68"/>
      <c r="G3131" s="69"/>
      <c r="H3131" s="65"/>
      <c r="I3131" s="44"/>
    </row>
    <row r="3132" spans="2:9" ht="14" thickBot="1" x14ac:dyDescent="0.2">
      <c r="B3132" s="33"/>
      <c r="C3132" s="54"/>
      <c r="D3132" s="21"/>
      <c r="E3132" s="22"/>
      <c r="F3132" s="23"/>
      <c r="G3132" s="47"/>
      <c r="H3132" s="21"/>
      <c r="I3132" s="44"/>
    </row>
    <row r="3133" spans="2:9" ht="14" thickBot="1" x14ac:dyDescent="0.2">
      <c r="B3133" s="1"/>
      <c r="C3133" s="1"/>
      <c r="D3133" s="1"/>
      <c r="E3133" s="1"/>
      <c r="F3133" s="1"/>
      <c r="G3133" s="1"/>
      <c r="H3133" s="37" t="s">
        <v>26</v>
      </c>
      <c r="I3133" s="448">
        <f>SUM(H3130:H3132)</f>
        <v>825</v>
      </c>
    </row>
    <row r="3134" spans="2:9" ht="14" thickBot="1" x14ac:dyDescent="0.2">
      <c r="B3134" s="28" t="s">
        <v>37</v>
      </c>
      <c r="C3134" s="28"/>
      <c r="D3134" s="1"/>
      <c r="E3134" s="1"/>
      <c r="F3134" s="1"/>
      <c r="G3134" s="1"/>
      <c r="H3134" s="1"/>
      <c r="I3134" s="1"/>
    </row>
    <row r="3135" spans="2:9" x14ac:dyDescent="0.15">
      <c r="B3135" s="51" t="s">
        <v>38</v>
      </c>
      <c r="C3135" s="86"/>
      <c r="D3135" s="31" t="s">
        <v>39</v>
      </c>
      <c r="E3135" s="209" t="s">
        <v>40</v>
      </c>
      <c r="F3135" s="19" t="s">
        <v>41</v>
      </c>
      <c r="G3135" s="31" t="s">
        <v>24</v>
      </c>
      <c r="H3135" s="208" t="s">
        <v>25</v>
      </c>
      <c r="I3135" s="43"/>
    </row>
    <row r="3136" spans="2:9" x14ac:dyDescent="0.15">
      <c r="B3136" s="4" t="s">
        <v>65</v>
      </c>
      <c r="C3136" s="24"/>
      <c r="D3136" s="32">
        <f>'MANO DE OBRA'!E15</f>
        <v>95333</v>
      </c>
      <c r="E3136" s="168">
        <v>1.75</v>
      </c>
      <c r="F3136" s="419">
        <f>+E3136*D3136</f>
        <v>166832.75</v>
      </c>
      <c r="G3136" s="20">
        <v>12</v>
      </c>
      <c r="H3136" s="420">
        <f>+F3136/G3136</f>
        <v>13902.729166666666</v>
      </c>
      <c r="I3136" s="44"/>
    </row>
    <row r="3137" spans="2:9" x14ac:dyDescent="0.15">
      <c r="B3137" s="4" t="s">
        <v>55</v>
      </c>
      <c r="C3137" s="24"/>
      <c r="D3137" s="32">
        <f>'MANO DE OBRA'!E14*2</f>
        <v>104000</v>
      </c>
      <c r="E3137" s="168">
        <v>1.75</v>
      </c>
      <c r="F3137" s="419">
        <f>+E3137*D3137</f>
        <v>182000</v>
      </c>
      <c r="G3137" s="20">
        <v>12</v>
      </c>
      <c r="H3137" s="420">
        <f>+F3137/G3137</f>
        <v>15166.666666666666</v>
      </c>
      <c r="I3137" s="44"/>
    </row>
    <row r="3138" spans="2:9" x14ac:dyDescent="0.15">
      <c r="B3138" s="4"/>
      <c r="C3138" s="24"/>
      <c r="D3138" s="32"/>
      <c r="E3138" s="168"/>
      <c r="F3138" s="20"/>
      <c r="G3138" s="20"/>
      <c r="H3138" s="55"/>
      <c r="I3138" s="44"/>
    </row>
    <row r="3139" spans="2:9" ht="14" thickBot="1" x14ac:dyDescent="0.2">
      <c r="B3139" s="33"/>
      <c r="C3139" s="34"/>
      <c r="D3139" s="22"/>
      <c r="E3139" s="21"/>
      <c r="F3139" s="22"/>
      <c r="G3139" s="23"/>
      <c r="H3139" s="47"/>
      <c r="I3139" s="48"/>
    </row>
    <row r="3140" spans="2:9" ht="14" thickBot="1" x14ac:dyDescent="0.2">
      <c r="B3140" s="1"/>
      <c r="C3140" s="1"/>
      <c r="D3140" s="1"/>
      <c r="E3140" s="1"/>
      <c r="F3140" s="1"/>
      <c r="G3140" s="1"/>
      <c r="H3140" s="37" t="s">
        <v>26</v>
      </c>
      <c r="I3140" s="424">
        <f>SUM(H3136:H3139)</f>
        <v>29069.395833333332</v>
      </c>
    </row>
    <row r="3141" spans="2:9" ht="14" thickBot="1" x14ac:dyDescent="0.2">
      <c r="B3141" s="1"/>
      <c r="C3141" s="1"/>
      <c r="D3141" s="1"/>
      <c r="E3141" s="1"/>
      <c r="F3141" s="1"/>
      <c r="G3141" s="1"/>
      <c r="H3141" s="61"/>
      <c r="I3141" s="1"/>
    </row>
    <row r="3142" spans="2:9" ht="15" thickBot="1" x14ac:dyDescent="0.2">
      <c r="B3142" s="1"/>
      <c r="C3142" s="1"/>
      <c r="D3142" s="1"/>
      <c r="E3142" s="1"/>
      <c r="F3142" s="35" t="s">
        <v>43</v>
      </c>
      <c r="G3142" s="16"/>
      <c r="H3142" s="16"/>
      <c r="I3142" s="477">
        <f>ROUND((I3118+I3127+I3133+I3140),0)</f>
        <v>98814</v>
      </c>
    </row>
    <row r="3143" spans="2:9" x14ac:dyDescent="0.15">
      <c r="B3143" s="11"/>
      <c r="C3143" s="11"/>
      <c r="D3143" s="1"/>
      <c r="E3143" s="155"/>
      <c r="F3143" s="155"/>
      <c r="G3143" s="155"/>
      <c r="H3143" s="155"/>
      <c r="I3143" s="479"/>
    </row>
    <row r="3144" spans="2:9" x14ac:dyDescent="0.15">
      <c r="B3144" s="11"/>
      <c r="C3144" s="11"/>
      <c r="D3144" s="1"/>
      <c r="E3144" s="155"/>
      <c r="F3144" s="155"/>
      <c r="G3144" s="155"/>
      <c r="H3144" s="155"/>
      <c r="I3144" s="479"/>
    </row>
    <row r="3145" spans="2:9" x14ac:dyDescent="0.15">
      <c r="B3145" s="11"/>
      <c r="C3145" s="11"/>
      <c r="D3145" s="1"/>
      <c r="E3145" s="155"/>
      <c r="F3145" s="155"/>
      <c r="G3145" s="155"/>
      <c r="H3145" s="155"/>
      <c r="I3145" s="479"/>
    </row>
    <row r="3146" spans="2:9" x14ac:dyDescent="0.15">
      <c r="B3146" s="11"/>
      <c r="C3146" s="11"/>
      <c r="D3146" s="1"/>
      <c r="E3146" s="155"/>
      <c r="F3146" s="155"/>
      <c r="G3146" s="155"/>
      <c r="H3146" s="155"/>
      <c r="I3146" s="479"/>
    </row>
    <row r="3147" spans="2:9" x14ac:dyDescent="0.15">
      <c r="B3147" s="11"/>
      <c r="C3147" s="11"/>
      <c r="D3147" s="1"/>
      <c r="E3147" s="155"/>
      <c r="F3147" s="155"/>
      <c r="G3147" s="155"/>
      <c r="H3147" s="155"/>
      <c r="I3147" s="479"/>
    </row>
    <row r="3148" spans="2:9" x14ac:dyDescent="0.15">
      <c r="B3148" s="11"/>
      <c r="C3148" s="11"/>
      <c r="D3148" s="1"/>
      <c r="E3148" s="155"/>
      <c r="F3148" s="155"/>
      <c r="G3148" s="155"/>
      <c r="H3148" s="155"/>
      <c r="I3148" s="479"/>
    </row>
    <row r="3149" spans="2:9" x14ac:dyDescent="0.15">
      <c r="B3149" s="11"/>
      <c r="C3149" s="11"/>
      <c r="D3149" s="1"/>
      <c r="E3149" s="155"/>
      <c r="F3149" s="155"/>
      <c r="G3149" s="155"/>
      <c r="H3149" s="155"/>
      <c r="I3149" s="479"/>
    </row>
    <row r="3150" spans="2:9" x14ac:dyDescent="0.15">
      <c r="B3150" s="11"/>
      <c r="C3150" s="11"/>
      <c r="D3150" s="1"/>
      <c r="E3150" s="155"/>
      <c r="F3150" s="155"/>
      <c r="G3150" s="155"/>
      <c r="H3150" s="155"/>
      <c r="I3150" s="479"/>
    </row>
    <row r="3151" spans="2:9" x14ac:dyDescent="0.15">
      <c r="B3151" s="11"/>
      <c r="C3151" s="11"/>
      <c r="D3151" s="1"/>
      <c r="E3151" s="155"/>
      <c r="F3151" s="155"/>
      <c r="G3151" s="155"/>
      <c r="H3151" s="155"/>
      <c r="I3151" s="479"/>
    </row>
    <row r="3152" spans="2:9" x14ac:dyDescent="0.15">
      <c r="B3152" s="11"/>
      <c r="C3152" s="11"/>
      <c r="D3152" s="1"/>
      <c r="E3152" s="155"/>
      <c r="F3152" s="155"/>
      <c r="G3152" s="155"/>
      <c r="H3152" s="155"/>
      <c r="I3152" s="479"/>
    </row>
    <row r="3153" spans="2:9" x14ac:dyDescent="0.15">
      <c r="B3153" s="11"/>
      <c r="C3153" s="11"/>
      <c r="D3153" s="1"/>
      <c r="E3153" s="155"/>
      <c r="F3153" s="155"/>
      <c r="G3153" s="155"/>
      <c r="H3153" s="155"/>
      <c r="I3153" s="479"/>
    </row>
    <row r="3154" spans="2:9" x14ac:dyDescent="0.15">
      <c r="B3154" s="11"/>
      <c r="C3154" s="11"/>
      <c r="D3154" s="1"/>
      <c r="E3154" s="155"/>
      <c r="F3154" s="155"/>
      <c r="G3154" s="155"/>
      <c r="H3154" s="155"/>
      <c r="I3154" s="479"/>
    </row>
    <row r="3155" spans="2:9" x14ac:dyDescent="0.15">
      <c r="B3155" s="11"/>
      <c r="C3155" s="11"/>
      <c r="D3155" s="1"/>
      <c r="E3155" s="155"/>
      <c r="F3155" s="155"/>
      <c r="G3155" s="155"/>
      <c r="H3155" s="155"/>
      <c r="I3155" s="479"/>
    </row>
    <row r="3156" spans="2:9" x14ac:dyDescent="0.15">
      <c r="B3156" s="11"/>
      <c r="C3156" s="11"/>
      <c r="D3156" s="1"/>
      <c r="E3156" s="155"/>
      <c r="F3156" s="155"/>
      <c r="G3156" s="155"/>
      <c r="H3156" s="155"/>
      <c r="I3156" s="479"/>
    </row>
    <row r="3157" spans="2:9" x14ac:dyDescent="0.15">
      <c r="B3157" s="11"/>
      <c r="C3157" s="11"/>
      <c r="D3157" s="1"/>
      <c r="E3157" s="155"/>
      <c r="F3157" s="155"/>
      <c r="G3157" s="155"/>
      <c r="H3157" s="155"/>
      <c r="I3157" s="479"/>
    </row>
    <row r="3158" spans="2:9" x14ac:dyDescent="0.15">
      <c r="B3158" s="11"/>
      <c r="C3158" s="11"/>
      <c r="D3158" s="1"/>
      <c r="E3158" s="155"/>
      <c r="F3158" s="155"/>
      <c r="G3158" s="155"/>
      <c r="H3158" s="155"/>
      <c r="I3158" s="479"/>
    </row>
    <row r="3159" spans="2:9" x14ac:dyDescent="0.15">
      <c r="B3159" s="11"/>
      <c r="C3159" s="11"/>
      <c r="D3159" s="1"/>
      <c r="E3159" s="155"/>
      <c r="F3159" s="155"/>
      <c r="G3159" s="155"/>
      <c r="H3159" s="155"/>
      <c r="I3159" s="479"/>
    </row>
    <row r="3160" spans="2:9" ht="14" thickBot="1" x14ac:dyDescent="0.2">
      <c r="B3160" s="11"/>
      <c r="C3160" s="11"/>
      <c r="D3160" s="1"/>
      <c r="E3160" s="155"/>
      <c r="F3160" s="155"/>
      <c r="G3160" s="155"/>
      <c r="H3160" s="155"/>
      <c r="I3160" s="479"/>
    </row>
    <row r="3161" spans="2:9" ht="21" customHeight="1" x14ac:dyDescent="0.15">
      <c r="B3161" s="885" t="s">
        <v>874</v>
      </c>
      <c r="C3161" s="886"/>
      <c r="D3161" s="886"/>
      <c r="E3161" s="886"/>
      <c r="F3161" s="887"/>
      <c r="G3161" s="1"/>
      <c r="H3161" s="879" t="s">
        <v>20</v>
      </c>
      <c r="I3161" s="880"/>
    </row>
    <row r="3162" spans="2:9" ht="16.5" customHeight="1" x14ac:dyDescent="0.15">
      <c r="B3162" s="888" t="s">
        <v>875</v>
      </c>
      <c r="C3162" s="889"/>
      <c r="D3162" s="889"/>
      <c r="E3162" s="889"/>
      <c r="F3162" s="890"/>
      <c r="G3162" s="63"/>
      <c r="H3162" s="881"/>
      <c r="I3162" s="882"/>
    </row>
    <row r="3163" spans="2:9" ht="12.75" customHeight="1" x14ac:dyDescent="0.15">
      <c r="B3163" s="906" t="s">
        <v>876</v>
      </c>
      <c r="C3163" s="907"/>
      <c r="D3163" s="907"/>
      <c r="E3163" s="907"/>
      <c r="F3163" s="908"/>
      <c r="G3163" s="63"/>
      <c r="H3163" s="883"/>
      <c r="I3163" s="884"/>
    </row>
    <row r="3164" spans="2:9" ht="16.5" customHeight="1" thickBot="1" x14ac:dyDescent="0.2">
      <c r="B3164" s="909"/>
      <c r="C3164" s="910"/>
      <c r="D3164" s="910"/>
      <c r="E3164" s="910"/>
      <c r="F3164" s="911"/>
      <c r="G3164" s="1"/>
      <c r="H3164" s="891" t="s">
        <v>1281</v>
      </c>
      <c r="I3164" s="892"/>
    </row>
    <row r="3165" spans="2:9" ht="14" thickBot="1" x14ac:dyDescent="0.2">
      <c r="B3165" s="15"/>
      <c r="C3165" s="16"/>
      <c r="D3165" s="1"/>
      <c r="E3165" s="1"/>
      <c r="F3165" s="1"/>
      <c r="G3165" s="1"/>
      <c r="H3165" s="893"/>
      <c r="I3165" s="894"/>
    </row>
    <row r="3166" spans="2:9" ht="12.75" customHeight="1" x14ac:dyDescent="0.15">
      <c r="B3166" s="922" t="s">
        <v>836</v>
      </c>
      <c r="C3166" s="923"/>
      <c r="D3166" s="923"/>
      <c r="E3166" s="923"/>
      <c r="F3166" s="924"/>
      <c r="G3166" s="1"/>
      <c r="H3166" s="893"/>
      <c r="I3166" s="894"/>
    </row>
    <row r="3167" spans="2:9" ht="12.75" customHeight="1" x14ac:dyDescent="0.15">
      <c r="B3167" s="925"/>
      <c r="C3167" s="926"/>
      <c r="D3167" s="926"/>
      <c r="E3167" s="926"/>
      <c r="F3167" s="927"/>
      <c r="H3167" s="893"/>
      <c r="I3167" s="894"/>
    </row>
    <row r="3168" spans="2:9" ht="13.5" customHeight="1" x14ac:dyDescent="0.15">
      <c r="B3168" s="925"/>
      <c r="C3168" s="926"/>
      <c r="D3168" s="926"/>
      <c r="E3168" s="926"/>
      <c r="F3168" s="927"/>
      <c r="G3168" s="11"/>
      <c r="H3168" s="895"/>
      <c r="I3168" s="896"/>
    </row>
    <row r="3169" spans="2:9" ht="21.75" customHeight="1" thickBot="1" x14ac:dyDescent="0.2">
      <c r="B3169" s="928"/>
      <c r="C3169" s="929"/>
      <c r="D3169" s="929"/>
      <c r="E3169" s="929"/>
      <c r="F3169" s="930"/>
      <c r="H3169" s="64" t="s">
        <v>45</v>
      </c>
      <c r="I3169" s="17" t="s">
        <v>5</v>
      </c>
    </row>
    <row r="3170" spans="2:9" x14ac:dyDescent="0.15">
      <c r="B3170" s="18"/>
      <c r="C3170" s="18"/>
      <c r="D3170" s="1"/>
      <c r="E3170" s="18"/>
      <c r="F3170" s="18"/>
      <c r="G3170" s="18"/>
      <c r="H3170" s="18"/>
      <c r="I3170" s="1"/>
    </row>
    <row r="3171" spans="2:9" ht="14" thickBot="1" x14ac:dyDescent="0.2">
      <c r="B3171" s="12" t="s">
        <v>21</v>
      </c>
      <c r="C3171" s="12"/>
      <c r="D3171" s="1"/>
      <c r="E3171" s="1"/>
      <c r="F3171" s="1"/>
      <c r="G3171" s="1"/>
      <c r="H3171" s="1"/>
      <c r="I3171" s="1"/>
    </row>
    <row r="3172" spans="2:9" x14ac:dyDescent="0.15">
      <c r="B3172" s="903" t="s">
        <v>22</v>
      </c>
      <c r="C3172" s="904"/>
      <c r="D3172" s="905"/>
      <c r="E3172" s="209" t="s">
        <v>23</v>
      </c>
      <c r="F3172" s="19" t="s">
        <v>47</v>
      </c>
      <c r="G3172" s="209" t="s">
        <v>24</v>
      </c>
      <c r="H3172" s="208" t="s">
        <v>25</v>
      </c>
      <c r="I3172" s="43"/>
    </row>
    <row r="3173" spans="2:9" x14ac:dyDescent="0.15">
      <c r="B3173" s="897" t="s">
        <v>56</v>
      </c>
      <c r="C3173" s="898"/>
      <c r="D3173" s="899"/>
      <c r="E3173" s="5"/>
      <c r="F3173" s="458"/>
      <c r="G3173" s="58"/>
      <c r="H3173" s="426">
        <f>+I3197*0.05</f>
        <v>1453.4697916666667</v>
      </c>
      <c r="I3173" s="44"/>
    </row>
    <row r="3174" spans="2:9" x14ac:dyDescent="0.15">
      <c r="B3174" s="897"/>
      <c r="C3174" s="898"/>
      <c r="D3174" s="899"/>
      <c r="E3174" s="5"/>
      <c r="F3174" s="46"/>
      <c r="G3174" s="20"/>
      <c r="H3174" s="56"/>
      <c r="I3174" s="44"/>
    </row>
    <row r="3175" spans="2:9" ht="14" thickBot="1" x14ac:dyDescent="0.2">
      <c r="B3175" s="900"/>
      <c r="C3175" s="901"/>
      <c r="D3175" s="902"/>
      <c r="E3175" s="21"/>
      <c r="F3175" s="22"/>
      <c r="G3175" s="23"/>
      <c r="H3175" s="47"/>
      <c r="I3175" s="48"/>
    </row>
    <row r="3176" spans="2:9" ht="14" thickBot="1" x14ac:dyDescent="0.2">
      <c r="B3176" s="1"/>
      <c r="C3176" s="1"/>
      <c r="D3176" s="1"/>
      <c r="E3176" s="1"/>
      <c r="F3176" s="1"/>
      <c r="G3176" s="1"/>
      <c r="H3176" s="37" t="s">
        <v>26</v>
      </c>
      <c r="I3176" s="448">
        <f>SUM(H3173:H3175)</f>
        <v>1453.4697916666667</v>
      </c>
    </row>
    <row r="3177" spans="2:9" ht="14" thickBot="1" x14ac:dyDescent="0.2">
      <c r="B3177" s="12" t="s">
        <v>27</v>
      </c>
      <c r="C3177" s="12"/>
      <c r="D3177" s="1"/>
      <c r="E3177" s="1"/>
      <c r="F3177" s="1"/>
      <c r="G3177" s="1"/>
      <c r="H3177" s="1"/>
      <c r="I3177" s="1"/>
    </row>
    <row r="3178" spans="2:9" x14ac:dyDescent="0.15">
      <c r="B3178" s="903" t="s">
        <v>22</v>
      </c>
      <c r="C3178" s="904"/>
      <c r="D3178" s="905"/>
      <c r="E3178" s="209" t="s">
        <v>28</v>
      </c>
      <c r="F3178" s="209" t="s">
        <v>29</v>
      </c>
      <c r="G3178" s="209" t="s">
        <v>30</v>
      </c>
      <c r="H3178" s="59" t="s">
        <v>25</v>
      </c>
      <c r="I3178" s="43"/>
    </row>
    <row r="3179" spans="2:9" x14ac:dyDescent="0.15">
      <c r="B3179" s="4" t="s">
        <v>1282</v>
      </c>
      <c r="C3179" s="24"/>
      <c r="D3179" s="6"/>
      <c r="E3179" s="3" t="s">
        <v>5</v>
      </c>
      <c r="F3179" s="667">
        <f>MATERIALES!C49</f>
        <v>36000</v>
      </c>
      <c r="G3179" s="65">
        <v>1</v>
      </c>
      <c r="H3179" s="420">
        <f>G3179*F3179</f>
        <v>36000</v>
      </c>
      <c r="I3179" s="44"/>
    </row>
    <row r="3180" spans="2:9" x14ac:dyDescent="0.15">
      <c r="B3180" s="107" t="s">
        <v>686</v>
      </c>
      <c r="C3180" s="415"/>
      <c r="D3180" s="66"/>
      <c r="E3180" s="5" t="s">
        <v>58</v>
      </c>
      <c r="F3180" s="162">
        <f>MATERIALES!C50</f>
        <v>4500</v>
      </c>
      <c r="G3180" s="65">
        <v>2</v>
      </c>
      <c r="H3180" s="420">
        <f>G3180*F3180</f>
        <v>9000</v>
      </c>
      <c r="I3180" s="44"/>
    </row>
    <row r="3181" spans="2:9" x14ac:dyDescent="0.15">
      <c r="B3181" s="107" t="s">
        <v>687</v>
      </c>
      <c r="C3181" s="415"/>
      <c r="D3181" s="66"/>
      <c r="E3181" s="5" t="s">
        <v>58</v>
      </c>
      <c r="F3181" s="162">
        <f>MATERIALES!C51</f>
        <v>2800</v>
      </c>
      <c r="G3181" s="65">
        <v>4</v>
      </c>
      <c r="H3181" s="420">
        <f>G3181*F3181</f>
        <v>11200</v>
      </c>
      <c r="I3181" s="44"/>
    </row>
    <row r="3182" spans="2:9" x14ac:dyDescent="0.15">
      <c r="B3182" s="107" t="s">
        <v>688</v>
      </c>
      <c r="C3182" s="415"/>
      <c r="D3182" s="66"/>
      <c r="E3182" s="5" t="s">
        <v>58</v>
      </c>
      <c r="F3182" s="458">
        <f>MATERIALES!C10</f>
        <v>810</v>
      </c>
      <c r="G3182" s="65">
        <v>2</v>
      </c>
      <c r="H3182" s="420">
        <f>G3182*F3182</f>
        <v>1620</v>
      </c>
      <c r="I3182" s="44"/>
    </row>
    <row r="3183" spans="2:9" ht="14" thickBot="1" x14ac:dyDescent="0.2">
      <c r="B3183" s="33" t="s">
        <v>161</v>
      </c>
      <c r="C3183" s="34"/>
      <c r="D3183" s="54"/>
      <c r="E3183" s="21" t="s">
        <v>62</v>
      </c>
      <c r="F3183" s="425">
        <f>SUM(H3178:H3182)</f>
        <v>57820</v>
      </c>
      <c r="G3183" s="23">
        <v>0.05</v>
      </c>
      <c r="H3183" s="476">
        <f t="shared" ref="H3183" si="9">G3183*F3183</f>
        <v>2891</v>
      </c>
      <c r="I3183" s="48"/>
    </row>
    <row r="3184" spans="2:9" ht="14" thickBot="1" x14ac:dyDescent="0.2">
      <c r="B3184" s="1"/>
      <c r="C3184" s="1"/>
      <c r="D3184" s="1"/>
      <c r="E3184" s="1"/>
      <c r="F3184" s="1"/>
      <c r="G3184" s="1"/>
      <c r="H3184" s="37" t="s">
        <v>26</v>
      </c>
      <c r="I3184" s="448">
        <f>SUM(H3179:H3183)</f>
        <v>60711</v>
      </c>
    </row>
    <row r="3185" spans="2:9" ht="14" thickBot="1" x14ac:dyDescent="0.2">
      <c r="B3185" s="28" t="s">
        <v>31</v>
      </c>
      <c r="C3185" s="28"/>
      <c r="D3185" s="26"/>
      <c r="E3185" s="1"/>
      <c r="F3185" s="1"/>
      <c r="G3185" s="1"/>
      <c r="H3185" s="1"/>
      <c r="I3185" s="1"/>
    </row>
    <row r="3186" spans="2:9" x14ac:dyDescent="0.15">
      <c r="B3186" s="51" t="s">
        <v>32</v>
      </c>
      <c r="C3186" s="52"/>
      <c r="D3186" s="378" t="s">
        <v>33</v>
      </c>
      <c r="E3186" s="209" t="s">
        <v>34</v>
      </c>
      <c r="F3186" s="209" t="s">
        <v>35</v>
      </c>
      <c r="G3186" s="209" t="s">
        <v>36</v>
      </c>
      <c r="H3186" s="59" t="s">
        <v>25</v>
      </c>
      <c r="I3186" s="43"/>
    </row>
    <row r="3187" spans="2:9" x14ac:dyDescent="0.15">
      <c r="B3187" s="4" t="s">
        <v>79</v>
      </c>
      <c r="C3187" s="6"/>
      <c r="D3187" s="53">
        <v>0.05</v>
      </c>
      <c r="E3187" s="2">
        <v>15</v>
      </c>
      <c r="F3187" s="2">
        <f>E3187*D3187</f>
        <v>0.75</v>
      </c>
      <c r="G3187" s="162">
        <v>1100</v>
      </c>
      <c r="H3187" s="20">
        <f>G3187*F3187</f>
        <v>825</v>
      </c>
      <c r="I3187" s="44"/>
    </row>
    <row r="3188" spans="2:9" x14ac:dyDescent="0.15">
      <c r="B3188" s="415"/>
      <c r="C3188" s="66"/>
      <c r="D3188" s="67"/>
      <c r="E3188" s="68"/>
      <c r="F3188" s="68"/>
      <c r="G3188" s="69"/>
      <c r="H3188" s="65"/>
      <c r="I3188" s="44"/>
    </row>
    <row r="3189" spans="2:9" ht="14" thickBot="1" x14ac:dyDescent="0.2">
      <c r="B3189" s="33"/>
      <c r="C3189" s="54"/>
      <c r="D3189" s="21"/>
      <c r="E3189" s="22"/>
      <c r="F3189" s="23"/>
      <c r="G3189" s="47"/>
      <c r="H3189" s="21"/>
      <c r="I3189" s="44"/>
    </row>
    <row r="3190" spans="2:9" ht="14" thickBot="1" x14ac:dyDescent="0.2">
      <c r="B3190" s="1"/>
      <c r="C3190" s="1"/>
      <c r="D3190" s="1"/>
      <c r="E3190" s="1"/>
      <c r="F3190" s="1"/>
      <c r="G3190" s="1"/>
      <c r="H3190" s="37" t="s">
        <v>26</v>
      </c>
      <c r="I3190" s="448">
        <f>SUM(H3187:H3189)</f>
        <v>825</v>
      </c>
    </row>
    <row r="3191" spans="2:9" ht="14" thickBot="1" x14ac:dyDescent="0.2">
      <c r="B3191" s="28" t="s">
        <v>37</v>
      </c>
      <c r="C3191" s="28"/>
      <c r="D3191" s="1"/>
      <c r="E3191" s="1"/>
      <c r="F3191" s="1"/>
      <c r="G3191" s="1"/>
      <c r="H3191" s="1"/>
      <c r="I3191" s="1"/>
    </row>
    <row r="3192" spans="2:9" x14ac:dyDescent="0.15">
      <c r="B3192" s="51" t="s">
        <v>38</v>
      </c>
      <c r="C3192" s="86"/>
      <c r="D3192" s="31" t="s">
        <v>39</v>
      </c>
      <c r="E3192" s="209" t="s">
        <v>40</v>
      </c>
      <c r="F3192" s="19" t="s">
        <v>41</v>
      </c>
      <c r="G3192" s="31" t="s">
        <v>24</v>
      </c>
      <c r="H3192" s="208" t="s">
        <v>25</v>
      </c>
      <c r="I3192" s="43"/>
    </row>
    <row r="3193" spans="2:9" x14ac:dyDescent="0.15">
      <c r="B3193" s="4" t="s">
        <v>65</v>
      </c>
      <c r="C3193" s="24"/>
      <c r="D3193" s="32">
        <f>'MANO DE OBRA'!E15</f>
        <v>95333</v>
      </c>
      <c r="E3193" s="168">
        <v>1.75</v>
      </c>
      <c r="F3193" s="419">
        <f>+E3193*D3193</f>
        <v>166832.75</v>
      </c>
      <c r="G3193" s="20">
        <v>12</v>
      </c>
      <c r="H3193" s="420">
        <f>+F3193/G3193</f>
        <v>13902.729166666666</v>
      </c>
      <c r="I3193" s="44"/>
    </row>
    <row r="3194" spans="2:9" x14ac:dyDescent="0.15">
      <c r="B3194" s="4" t="s">
        <v>55</v>
      </c>
      <c r="C3194" s="24"/>
      <c r="D3194" s="32">
        <f>'MANO DE OBRA'!E14*2</f>
        <v>104000</v>
      </c>
      <c r="E3194" s="168">
        <v>1.75</v>
      </c>
      <c r="F3194" s="419">
        <f>+E3194*D3194</f>
        <v>182000</v>
      </c>
      <c r="G3194" s="20">
        <v>12</v>
      </c>
      <c r="H3194" s="420">
        <f>+F3194/G3194</f>
        <v>15166.666666666666</v>
      </c>
      <c r="I3194" s="44"/>
    </row>
    <row r="3195" spans="2:9" x14ac:dyDescent="0.15">
      <c r="B3195" s="4"/>
      <c r="C3195" s="24"/>
      <c r="D3195" s="32"/>
      <c r="E3195" s="168"/>
      <c r="F3195" s="20"/>
      <c r="G3195" s="20"/>
      <c r="H3195" s="55"/>
      <c r="I3195" s="44"/>
    </row>
    <row r="3196" spans="2:9" ht="14" thickBot="1" x14ac:dyDescent="0.2">
      <c r="B3196" s="33"/>
      <c r="C3196" s="34"/>
      <c r="D3196" s="22"/>
      <c r="E3196" s="21"/>
      <c r="F3196" s="22"/>
      <c r="G3196" s="23"/>
      <c r="H3196" s="47"/>
      <c r="I3196" s="48"/>
    </row>
    <row r="3197" spans="2:9" ht="14" thickBot="1" x14ac:dyDescent="0.2">
      <c r="B3197" s="1"/>
      <c r="C3197" s="1"/>
      <c r="D3197" s="1"/>
      <c r="E3197" s="1"/>
      <c r="F3197" s="1"/>
      <c r="G3197" s="1"/>
      <c r="H3197" s="37" t="s">
        <v>26</v>
      </c>
      <c r="I3197" s="424">
        <f>SUM(H3193:H3196)</f>
        <v>29069.395833333332</v>
      </c>
    </row>
    <row r="3198" spans="2:9" ht="14" thickBot="1" x14ac:dyDescent="0.2">
      <c r="B3198" s="1"/>
      <c r="C3198" s="1"/>
      <c r="D3198" s="1"/>
      <c r="E3198" s="1"/>
      <c r="F3198" s="1"/>
      <c r="G3198" s="1"/>
      <c r="H3198" s="61"/>
      <c r="I3198" s="1"/>
    </row>
    <row r="3199" spans="2:9" ht="15" thickBot="1" x14ac:dyDescent="0.2">
      <c r="B3199" s="1"/>
      <c r="C3199" s="1"/>
      <c r="D3199" s="1"/>
      <c r="E3199" s="1"/>
      <c r="F3199" s="35" t="s">
        <v>43</v>
      </c>
      <c r="G3199" s="16"/>
      <c r="H3199" s="16"/>
      <c r="I3199" s="477">
        <f>ROUND((I3176+I3184+I3190+I3197),0)</f>
        <v>92059</v>
      </c>
    </row>
    <row r="3200" spans="2:9" x14ac:dyDescent="0.15">
      <c r="B3200" s="11"/>
      <c r="C3200" s="11"/>
      <c r="D3200" s="1"/>
      <c r="E3200" s="155"/>
      <c r="F3200" s="155"/>
      <c r="G3200" s="155"/>
      <c r="H3200" s="155"/>
      <c r="I3200" s="479"/>
    </row>
    <row r="3201" spans="2:9" x14ac:dyDescent="0.15">
      <c r="B3201" s="11"/>
      <c r="C3201" s="11"/>
      <c r="D3201" s="1"/>
      <c r="E3201" s="155"/>
      <c r="F3201" s="155"/>
      <c r="G3201" s="155"/>
      <c r="H3201" s="155"/>
      <c r="I3201" s="479"/>
    </row>
    <row r="3202" spans="2:9" x14ac:dyDescent="0.15">
      <c r="B3202" s="11"/>
      <c r="C3202" s="11"/>
      <c r="D3202" s="1"/>
      <c r="E3202" s="155"/>
      <c r="F3202" s="155"/>
      <c r="G3202" s="155"/>
      <c r="H3202" s="155"/>
      <c r="I3202" s="479"/>
    </row>
    <row r="3203" spans="2:9" x14ac:dyDescent="0.15">
      <c r="B3203" s="11"/>
      <c r="C3203" s="11"/>
      <c r="D3203" s="1"/>
      <c r="E3203" s="155"/>
      <c r="F3203" s="155"/>
      <c r="G3203" s="155"/>
      <c r="H3203" s="155"/>
      <c r="I3203" s="479"/>
    </row>
    <row r="3204" spans="2:9" x14ac:dyDescent="0.15">
      <c r="B3204" s="11"/>
      <c r="C3204" s="11"/>
      <c r="D3204" s="1"/>
      <c r="E3204" s="155"/>
      <c r="F3204" s="155"/>
      <c r="G3204" s="155"/>
      <c r="H3204" s="155"/>
      <c r="I3204" s="479"/>
    </row>
    <row r="3205" spans="2:9" x14ac:dyDescent="0.15">
      <c r="B3205" s="11"/>
      <c r="C3205" s="11"/>
      <c r="D3205" s="1"/>
      <c r="E3205" s="155"/>
      <c r="F3205" s="155"/>
      <c r="G3205" s="155"/>
      <c r="H3205" s="155"/>
      <c r="I3205" s="479"/>
    </row>
    <row r="3206" spans="2:9" x14ac:dyDescent="0.15">
      <c r="B3206" s="11"/>
      <c r="C3206" s="11"/>
      <c r="D3206" s="1"/>
      <c r="E3206" s="155"/>
      <c r="F3206" s="155"/>
      <c r="G3206" s="155"/>
      <c r="H3206" s="155"/>
      <c r="I3206" s="479"/>
    </row>
    <row r="3207" spans="2:9" x14ac:dyDescent="0.15">
      <c r="B3207" s="11"/>
      <c r="C3207" s="11"/>
      <c r="D3207" s="1"/>
      <c r="E3207" s="155"/>
      <c r="F3207" s="155"/>
      <c r="G3207" s="155"/>
      <c r="H3207" s="155"/>
      <c r="I3207" s="479"/>
    </row>
    <row r="3208" spans="2:9" x14ac:dyDescent="0.15">
      <c r="B3208" s="11"/>
      <c r="C3208" s="11"/>
      <c r="D3208" s="1"/>
      <c r="E3208" s="155"/>
      <c r="F3208" s="155"/>
      <c r="G3208" s="155"/>
      <c r="H3208" s="155"/>
      <c r="I3208" s="479"/>
    </row>
    <row r="3209" spans="2:9" x14ac:dyDescent="0.15">
      <c r="B3209" s="11"/>
      <c r="C3209" s="11"/>
      <c r="D3209" s="1"/>
      <c r="E3209" s="155"/>
      <c r="F3209" s="155"/>
      <c r="G3209" s="155"/>
      <c r="H3209" s="155"/>
      <c r="I3209" s="479"/>
    </row>
    <row r="3210" spans="2:9" x14ac:dyDescent="0.15">
      <c r="B3210" s="11"/>
      <c r="C3210" s="11"/>
      <c r="D3210" s="1"/>
      <c r="E3210" s="155"/>
      <c r="F3210" s="155"/>
      <c r="G3210" s="155"/>
      <c r="H3210" s="155"/>
      <c r="I3210" s="479"/>
    </row>
    <row r="3211" spans="2:9" x14ac:dyDescent="0.15">
      <c r="B3211" s="11"/>
      <c r="C3211" s="11"/>
      <c r="D3211" s="1"/>
      <c r="E3211" s="155"/>
      <c r="F3211" s="155"/>
      <c r="G3211" s="155"/>
      <c r="H3211" s="155"/>
      <c r="I3211" s="479"/>
    </row>
    <row r="3212" spans="2:9" x14ac:dyDescent="0.15">
      <c r="B3212" s="11"/>
      <c r="C3212" s="11"/>
      <c r="D3212" s="1"/>
      <c r="E3212" s="155"/>
      <c r="F3212" s="155"/>
      <c r="G3212" s="155"/>
      <c r="H3212" s="155"/>
      <c r="I3212" s="479"/>
    </row>
    <row r="3213" spans="2:9" x14ac:dyDescent="0.15">
      <c r="B3213" s="11"/>
      <c r="C3213" s="11"/>
      <c r="D3213" s="1"/>
      <c r="E3213" s="155"/>
      <c r="F3213" s="155"/>
      <c r="G3213" s="155"/>
      <c r="H3213" s="155"/>
      <c r="I3213" s="479"/>
    </row>
    <row r="3214" spans="2:9" x14ac:dyDescent="0.15">
      <c r="B3214" s="11"/>
      <c r="C3214" s="11"/>
      <c r="D3214" s="1"/>
      <c r="E3214" s="155"/>
      <c r="F3214" s="155"/>
      <c r="G3214" s="155"/>
      <c r="H3214" s="155"/>
      <c r="I3214" s="479"/>
    </row>
    <row r="3215" spans="2:9" x14ac:dyDescent="0.15">
      <c r="B3215" s="11"/>
      <c r="C3215" s="11"/>
      <c r="D3215" s="1"/>
      <c r="E3215" s="155"/>
      <c r="F3215" s="155"/>
      <c r="G3215" s="155"/>
      <c r="H3215" s="155"/>
      <c r="I3215" s="479"/>
    </row>
    <row r="3216" spans="2:9" x14ac:dyDescent="0.15">
      <c r="B3216" s="11"/>
      <c r="C3216" s="11"/>
      <c r="D3216" s="1"/>
      <c r="E3216" s="155"/>
      <c r="F3216" s="155"/>
      <c r="G3216" s="155"/>
      <c r="H3216" s="155"/>
      <c r="I3216" s="479"/>
    </row>
    <row r="3217" spans="2:9" ht="14" thickBot="1" x14ac:dyDescent="0.2">
      <c r="B3217" s="11"/>
      <c r="C3217" s="11"/>
      <c r="D3217" s="1"/>
      <c r="E3217" s="155"/>
      <c r="F3217" s="155"/>
      <c r="G3217" s="155"/>
      <c r="H3217" s="155"/>
      <c r="I3217" s="479"/>
    </row>
    <row r="3218" spans="2:9" ht="21" customHeight="1" x14ac:dyDescent="0.15">
      <c r="B3218" s="885" t="s">
        <v>874</v>
      </c>
      <c r="C3218" s="886"/>
      <c r="D3218" s="886"/>
      <c r="E3218" s="886"/>
      <c r="F3218" s="887"/>
      <c r="G3218" s="1"/>
      <c r="H3218" s="879" t="s">
        <v>20</v>
      </c>
      <c r="I3218" s="880"/>
    </row>
    <row r="3219" spans="2:9" ht="16.5" customHeight="1" x14ac:dyDescent="0.15">
      <c r="B3219" s="888" t="s">
        <v>875</v>
      </c>
      <c r="C3219" s="889"/>
      <c r="D3219" s="889"/>
      <c r="E3219" s="889"/>
      <c r="F3219" s="890"/>
      <c r="G3219" s="63"/>
      <c r="H3219" s="881"/>
      <c r="I3219" s="882"/>
    </row>
    <row r="3220" spans="2:9" ht="12.75" customHeight="1" x14ac:dyDescent="0.15">
      <c r="B3220" s="906" t="s">
        <v>876</v>
      </c>
      <c r="C3220" s="907"/>
      <c r="D3220" s="907"/>
      <c r="E3220" s="907"/>
      <c r="F3220" s="908"/>
      <c r="G3220" s="63"/>
      <c r="H3220" s="883"/>
      <c r="I3220" s="884"/>
    </row>
    <row r="3221" spans="2:9" ht="16.5" customHeight="1" thickBot="1" x14ac:dyDescent="0.2">
      <c r="B3221" s="909"/>
      <c r="C3221" s="910"/>
      <c r="D3221" s="910"/>
      <c r="E3221" s="910"/>
      <c r="F3221" s="911"/>
      <c r="G3221" s="1"/>
      <c r="H3221" s="956" t="s">
        <v>917</v>
      </c>
      <c r="I3221" s="957"/>
    </row>
    <row r="3222" spans="2:9" ht="14" thickBot="1" x14ac:dyDescent="0.2">
      <c r="B3222" s="15"/>
      <c r="C3222" s="16"/>
      <c r="D3222" s="1"/>
      <c r="E3222" s="1"/>
      <c r="F3222" s="1"/>
      <c r="G3222" s="1"/>
      <c r="H3222" s="958"/>
      <c r="I3222" s="959"/>
    </row>
    <row r="3223" spans="2:9" ht="12.75" customHeight="1" x14ac:dyDescent="0.15">
      <c r="B3223" s="922" t="s">
        <v>836</v>
      </c>
      <c r="C3223" s="923"/>
      <c r="D3223" s="923"/>
      <c r="E3223" s="923"/>
      <c r="F3223" s="924"/>
      <c r="G3223" s="1"/>
      <c r="H3223" s="958"/>
      <c r="I3223" s="959"/>
    </row>
    <row r="3224" spans="2:9" ht="12.75" customHeight="1" x14ac:dyDescent="0.15">
      <c r="B3224" s="925"/>
      <c r="C3224" s="926"/>
      <c r="D3224" s="926"/>
      <c r="E3224" s="926"/>
      <c r="F3224" s="927"/>
      <c r="H3224" s="958"/>
      <c r="I3224" s="959"/>
    </row>
    <row r="3225" spans="2:9" ht="13.5" customHeight="1" x14ac:dyDescent="0.15">
      <c r="B3225" s="925"/>
      <c r="C3225" s="926"/>
      <c r="D3225" s="926"/>
      <c r="E3225" s="926"/>
      <c r="F3225" s="927"/>
      <c r="G3225" s="11"/>
      <c r="H3225" s="960"/>
      <c r="I3225" s="961"/>
    </row>
    <row r="3226" spans="2:9" ht="21.75" customHeight="1" thickBot="1" x14ac:dyDescent="0.2">
      <c r="B3226" s="928"/>
      <c r="C3226" s="929"/>
      <c r="D3226" s="929"/>
      <c r="E3226" s="929"/>
      <c r="F3226" s="930"/>
      <c r="H3226" s="64" t="s">
        <v>45</v>
      </c>
      <c r="I3226" s="17" t="s">
        <v>19</v>
      </c>
    </row>
    <row r="3227" spans="2:9" x14ac:dyDescent="0.15">
      <c r="B3227" s="18"/>
      <c r="C3227" s="18"/>
      <c r="D3227" s="1"/>
      <c r="E3227" s="18"/>
      <c r="F3227" s="18"/>
      <c r="G3227" s="18"/>
      <c r="H3227" s="18"/>
      <c r="I3227" s="1"/>
    </row>
    <row r="3228" spans="2:9" ht="14" thickBot="1" x14ac:dyDescent="0.2">
      <c r="B3228" s="12" t="s">
        <v>21</v>
      </c>
      <c r="C3228" s="12"/>
      <c r="D3228" s="1"/>
      <c r="E3228" s="1"/>
      <c r="F3228" s="1"/>
      <c r="G3228" s="1"/>
      <c r="H3228" s="1"/>
      <c r="I3228" s="1"/>
    </row>
    <row r="3229" spans="2:9" x14ac:dyDescent="0.15">
      <c r="B3229" s="903" t="s">
        <v>22</v>
      </c>
      <c r="C3229" s="904"/>
      <c r="D3229" s="905"/>
      <c r="E3229" s="209" t="s">
        <v>23</v>
      </c>
      <c r="F3229" s="19" t="s">
        <v>47</v>
      </c>
      <c r="G3229" s="209" t="s">
        <v>24</v>
      </c>
      <c r="H3229" s="208" t="s">
        <v>25</v>
      </c>
      <c r="I3229" s="43"/>
    </row>
    <row r="3230" spans="2:9" x14ac:dyDescent="0.15">
      <c r="B3230" s="897" t="s">
        <v>56</v>
      </c>
      <c r="C3230" s="898"/>
      <c r="D3230" s="899"/>
      <c r="E3230" s="5"/>
      <c r="F3230" s="162"/>
      <c r="G3230" s="58"/>
      <c r="H3230" s="162">
        <f>I3253*0.05</f>
        <v>29069.395833333339</v>
      </c>
      <c r="I3230" s="44"/>
    </row>
    <row r="3231" spans="2:9" ht="14" thickBot="1" x14ac:dyDescent="0.2">
      <c r="B3231" s="900"/>
      <c r="C3231" s="901"/>
      <c r="D3231" s="902"/>
      <c r="E3231" s="21"/>
      <c r="F3231" s="22"/>
      <c r="G3231" s="23"/>
      <c r="H3231" s="47"/>
      <c r="I3231" s="48"/>
    </row>
    <row r="3232" spans="2:9" ht="14" thickBot="1" x14ac:dyDescent="0.2">
      <c r="B3232" s="1"/>
      <c r="C3232" s="1"/>
      <c r="D3232" s="1"/>
      <c r="E3232" s="1"/>
      <c r="F3232" s="1"/>
      <c r="G3232" s="1"/>
      <c r="H3232" s="37" t="s">
        <v>26</v>
      </c>
      <c r="I3232" s="163">
        <f>SUM(H3230:H3231)</f>
        <v>29069.395833333339</v>
      </c>
    </row>
    <row r="3233" spans="2:9" ht="14" thickBot="1" x14ac:dyDescent="0.2">
      <c r="B3233" s="12" t="s">
        <v>27</v>
      </c>
      <c r="C3233" s="12"/>
      <c r="D3233" s="1"/>
      <c r="E3233" s="1"/>
      <c r="F3233" s="1"/>
      <c r="G3233" s="1"/>
      <c r="H3233" s="1"/>
      <c r="I3233" s="1"/>
    </row>
    <row r="3234" spans="2:9" x14ac:dyDescent="0.15">
      <c r="B3234" s="903" t="s">
        <v>22</v>
      </c>
      <c r="C3234" s="904"/>
      <c r="D3234" s="905"/>
      <c r="E3234" s="209" t="s">
        <v>28</v>
      </c>
      <c r="F3234" s="209" t="s">
        <v>29</v>
      </c>
      <c r="G3234" s="209" t="s">
        <v>30</v>
      </c>
      <c r="H3234" s="208" t="s">
        <v>25</v>
      </c>
      <c r="I3234" s="43"/>
    </row>
    <row r="3235" spans="2:9" x14ac:dyDescent="0.15">
      <c r="B3235" s="4" t="s">
        <v>275</v>
      </c>
      <c r="C3235" s="24"/>
      <c r="D3235" s="6"/>
      <c r="E3235" s="3" t="s">
        <v>193</v>
      </c>
      <c r="F3235" s="164">
        <f>MATERIALES!C63</f>
        <v>4176</v>
      </c>
      <c r="G3235" s="65">
        <v>42</v>
      </c>
      <c r="H3235" s="165">
        <f t="shared" ref="H3235:H3239" si="10">G3235*F3235</f>
        <v>175392</v>
      </c>
      <c r="I3235" s="44"/>
    </row>
    <row r="3236" spans="2:9" x14ac:dyDescent="0.15">
      <c r="B3236" s="4" t="s">
        <v>276</v>
      </c>
      <c r="C3236" s="24"/>
      <c r="D3236" s="6"/>
      <c r="E3236" s="3" t="s">
        <v>319</v>
      </c>
      <c r="F3236" s="164">
        <f>MATERIALES!C64</f>
        <v>1330</v>
      </c>
      <c r="G3236" s="65">
        <v>15</v>
      </c>
      <c r="H3236" s="165">
        <f t="shared" si="10"/>
        <v>19950</v>
      </c>
      <c r="I3236" s="44"/>
    </row>
    <row r="3237" spans="2:9" x14ac:dyDescent="0.15">
      <c r="B3237" s="4" t="s">
        <v>277</v>
      </c>
      <c r="C3237" s="24"/>
      <c r="D3237" s="6"/>
      <c r="E3237" s="3" t="s">
        <v>319</v>
      </c>
      <c r="F3237" s="164">
        <f>MATERIALES!C65</f>
        <v>2520</v>
      </c>
      <c r="G3237" s="65">
        <v>15</v>
      </c>
      <c r="H3237" s="165">
        <f t="shared" si="10"/>
        <v>37800</v>
      </c>
      <c r="I3237" s="44"/>
    </row>
    <row r="3238" spans="2:9" x14ac:dyDescent="0.15">
      <c r="B3238" s="4" t="s">
        <v>697</v>
      </c>
      <c r="C3238" s="24"/>
      <c r="D3238" s="6"/>
      <c r="E3238" s="3" t="s">
        <v>319</v>
      </c>
      <c r="F3238" s="164">
        <f>MATERIALES!C66</f>
        <v>3700</v>
      </c>
      <c r="G3238" s="65">
        <v>3</v>
      </c>
      <c r="H3238" s="165">
        <f t="shared" si="10"/>
        <v>11100</v>
      </c>
      <c r="I3238" s="44"/>
    </row>
    <row r="3239" spans="2:9" x14ac:dyDescent="0.15">
      <c r="B3239" s="4" t="s">
        <v>135</v>
      </c>
      <c r="C3239" s="24"/>
      <c r="D3239" s="6"/>
      <c r="E3239" s="3" t="s">
        <v>77</v>
      </c>
      <c r="F3239" s="164">
        <f>MATERIALES!C27</f>
        <v>286200</v>
      </c>
      <c r="G3239" s="65">
        <v>0.1</v>
      </c>
      <c r="H3239" s="165">
        <f t="shared" si="10"/>
        <v>28620</v>
      </c>
      <c r="I3239" s="44"/>
    </row>
    <row r="3240" spans="2:9" x14ac:dyDescent="0.15">
      <c r="B3240" s="4"/>
      <c r="C3240" s="24"/>
      <c r="D3240" s="6"/>
      <c r="E3240" s="3"/>
      <c r="F3240" s="164"/>
      <c r="G3240" s="65"/>
      <c r="H3240" s="165"/>
      <c r="I3240" s="44"/>
    </row>
    <row r="3241" spans="2:9" ht="14" thickBot="1" x14ac:dyDescent="0.2">
      <c r="B3241" s="25"/>
      <c r="C3241" s="26"/>
      <c r="D3241" s="27"/>
      <c r="E3241" s="21"/>
      <c r="F3241" s="22"/>
      <c r="G3241" s="167"/>
      <c r="H3241" s="47"/>
      <c r="I3241" s="48"/>
    </row>
    <row r="3242" spans="2:9" ht="14" thickBot="1" x14ac:dyDescent="0.2">
      <c r="B3242" s="1"/>
      <c r="C3242" s="1"/>
      <c r="D3242" s="1"/>
      <c r="E3242" s="1"/>
      <c r="F3242" s="1"/>
      <c r="G3242" s="1"/>
      <c r="H3242" s="37" t="s">
        <v>26</v>
      </c>
      <c r="I3242" s="163">
        <f>SUM(H3235:H3240)</f>
        <v>272862</v>
      </c>
    </row>
    <row r="3243" spans="2:9" ht="14" thickBot="1" x14ac:dyDescent="0.2">
      <c r="B3243" s="28" t="s">
        <v>31</v>
      </c>
      <c r="C3243" s="28"/>
      <c r="D3243" s="26"/>
      <c r="E3243" s="1"/>
      <c r="F3243" s="1"/>
      <c r="G3243" s="1"/>
      <c r="H3243" s="1"/>
      <c r="I3243" s="1"/>
    </row>
    <row r="3244" spans="2:9" x14ac:dyDescent="0.15">
      <c r="B3244" s="51" t="s">
        <v>32</v>
      </c>
      <c r="C3244" s="52"/>
      <c r="D3244" s="97" t="s">
        <v>33</v>
      </c>
      <c r="E3244" s="209" t="s">
        <v>34</v>
      </c>
      <c r="F3244" s="209" t="s">
        <v>35</v>
      </c>
      <c r="G3244" s="209" t="s">
        <v>36</v>
      </c>
      <c r="H3244" s="59" t="s">
        <v>25</v>
      </c>
      <c r="I3244" s="43"/>
    </row>
    <row r="3245" spans="2:9" x14ac:dyDescent="0.15">
      <c r="B3245" s="4" t="s">
        <v>79</v>
      </c>
      <c r="C3245" s="6"/>
      <c r="D3245" s="53">
        <v>1</v>
      </c>
      <c r="E3245" s="2">
        <v>15</v>
      </c>
      <c r="F3245" s="2">
        <f>E3245*D3245</f>
        <v>15</v>
      </c>
      <c r="G3245" s="162">
        <v>1100</v>
      </c>
      <c r="H3245" s="20">
        <f>G3245*F3245</f>
        <v>16500</v>
      </c>
      <c r="I3245" s="44"/>
    </row>
    <row r="3246" spans="2:9" ht="14" thickBot="1" x14ac:dyDescent="0.2">
      <c r="B3246" s="33"/>
      <c r="C3246" s="54"/>
      <c r="D3246" s="21"/>
      <c r="E3246" s="22"/>
      <c r="F3246" s="23"/>
      <c r="G3246" s="47"/>
      <c r="H3246" s="21"/>
      <c r="I3246" s="48"/>
    </row>
    <row r="3247" spans="2:9" ht="14" thickBot="1" x14ac:dyDescent="0.2">
      <c r="B3247" s="1"/>
      <c r="C3247" s="1"/>
      <c r="D3247" s="1"/>
      <c r="E3247" s="1"/>
      <c r="F3247" s="1"/>
      <c r="G3247" s="1"/>
      <c r="H3247" s="37" t="s">
        <v>26</v>
      </c>
      <c r="I3247" s="163">
        <f>SUM(H3245:H3246)</f>
        <v>16500</v>
      </c>
    </row>
    <row r="3248" spans="2:9" ht="14" thickBot="1" x14ac:dyDescent="0.2">
      <c r="B3248" s="28" t="s">
        <v>37</v>
      </c>
      <c r="C3248" s="28"/>
      <c r="D3248" s="1"/>
      <c r="E3248" s="1"/>
      <c r="F3248" s="1"/>
      <c r="G3248" s="1"/>
      <c r="H3248" s="1"/>
      <c r="I3248" s="1"/>
    </row>
    <row r="3249" spans="2:11" x14ac:dyDescent="0.15">
      <c r="B3249" s="51" t="s">
        <v>38</v>
      </c>
      <c r="C3249" s="86"/>
      <c r="D3249" s="31" t="s">
        <v>39</v>
      </c>
      <c r="E3249" s="209" t="s">
        <v>40</v>
      </c>
      <c r="F3249" s="19" t="s">
        <v>41</v>
      </c>
      <c r="G3249" s="31" t="s">
        <v>24</v>
      </c>
      <c r="H3249" s="208" t="s">
        <v>25</v>
      </c>
      <c r="I3249" s="43"/>
    </row>
    <row r="3250" spans="2:11" x14ac:dyDescent="0.15">
      <c r="B3250" s="4" t="s">
        <v>65</v>
      </c>
      <c r="C3250" s="24"/>
      <c r="D3250" s="32">
        <f>'MANO DE OBRA'!E15</f>
        <v>95333</v>
      </c>
      <c r="E3250" s="88">
        <v>1.75</v>
      </c>
      <c r="F3250" s="164">
        <f>+E3250*D3250</f>
        <v>166832.75</v>
      </c>
      <c r="G3250" s="79">
        <v>0.6</v>
      </c>
      <c r="H3250" s="169">
        <f>+F3250/G3250</f>
        <v>278054.58333333337</v>
      </c>
      <c r="I3250" s="44"/>
    </row>
    <row r="3251" spans="2:11" x14ac:dyDescent="0.15">
      <c r="B3251" s="80" t="s">
        <v>55</v>
      </c>
      <c r="C3251" s="81"/>
      <c r="D3251" s="32">
        <f>'MANO DE OBRA'!E14*2</f>
        <v>104000</v>
      </c>
      <c r="E3251" s="88">
        <v>1.75</v>
      </c>
      <c r="F3251" s="166">
        <f>+E3251*D3251</f>
        <v>182000</v>
      </c>
      <c r="G3251" s="79">
        <v>0.6</v>
      </c>
      <c r="H3251" s="481">
        <f>+F3251/G3251</f>
        <v>303333.33333333337</v>
      </c>
      <c r="I3251" s="44"/>
    </row>
    <row r="3252" spans="2:11" ht="14" thickBot="1" x14ac:dyDescent="0.2">
      <c r="B3252" s="33"/>
      <c r="C3252" s="34"/>
      <c r="D3252" s="22"/>
      <c r="E3252" s="21"/>
      <c r="F3252" s="22"/>
      <c r="G3252" s="23"/>
      <c r="H3252" s="47"/>
      <c r="I3252" s="48"/>
    </row>
    <row r="3253" spans="2:11" ht="14" thickBot="1" x14ac:dyDescent="0.2">
      <c r="B3253" s="1"/>
      <c r="C3253" s="1"/>
      <c r="D3253" s="1"/>
      <c r="E3253" s="1"/>
      <c r="F3253" s="1"/>
      <c r="G3253" s="1"/>
      <c r="H3253" s="37" t="s">
        <v>26</v>
      </c>
      <c r="I3253" s="177">
        <f>SUM(H3250:H3252)</f>
        <v>581387.91666666674</v>
      </c>
    </row>
    <row r="3254" spans="2:11" ht="14" thickBot="1" x14ac:dyDescent="0.2">
      <c r="B3254" s="1"/>
      <c r="C3254" s="1"/>
      <c r="D3254" s="1"/>
      <c r="E3254" s="1"/>
      <c r="F3254" s="1"/>
      <c r="G3254" s="1"/>
      <c r="H3254" s="61"/>
      <c r="I3254" s="1"/>
    </row>
    <row r="3255" spans="2:11" ht="15" thickBot="1" x14ac:dyDescent="0.2">
      <c r="B3255" s="1"/>
      <c r="C3255" s="1"/>
      <c r="D3255" s="1"/>
      <c r="E3255" s="1"/>
      <c r="F3255" s="35" t="s">
        <v>43</v>
      </c>
      <c r="G3255" s="16"/>
      <c r="H3255" s="16"/>
      <c r="I3255" s="232">
        <f>ROUND((I3232+I3242+I3247+I3253),0)</f>
        <v>899819</v>
      </c>
    </row>
    <row r="3256" spans="2:11" x14ac:dyDescent="0.15">
      <c r="B3256" s="12"/>
      <c r="C3256" s="12"/>
      <c r="D3256" s="1"/>
      <c r="E3256" s="1"/>
      <c r="F3256" s="1"/>
      <c r="G3256" s="1"/>
      <c r="H3256" s="172"/>
      <c r="I3256" s="172"/>
    </row>
    <row r="3257" spans="2:11" x14ac:dyDescent="0.15">
      <c r="B3257" s="16"/>
      <c r="C3257" s="16"/>
      <c r="D3257" s="16"/>
      <c r="E3257" s="16"/>
      <c r="F3257" s="16"/>
      <c r="G3257" s="61"/>
      <c r="H3257" s="173"/>
      <c r="I3257" s="172"/>
    </row>
    <row r="3258" spans="2:11" x14ac:dyDescent="0.15">
      <c r="B3258" s="1"/>
      <c r="C3258" s="1"/>
      <c r="D3258" s="1"/>
      <c r="E3258" s="1"/>
      <c r="F3258" s="1"/>
      <c r="G3258" s="161"/>
      <c r="H3258" s="172"/>
      <c r="I3258" s="172"/>
    </row>
    <row r="3259" spans="2:11" x14ac:dyDescent="0.15">
      <c r="B3259" s="1"/>
      <c r="C3259" s="1"/>
      <c r="D3259" s="1"/>
      <c r="E3259" s="1"/>
      <c r="F3259" s="1"/>
      <c r="G3259" s="161"/>
      <c r="H3259" s="172"/>
      <c r="I3259" s="172"/>
    </row>
    <row r="3260" spans="2:11" x14ac:dyDescent="0.15">
      <c r="B3260" s="1"/>
      <c r="C3260" s="1"/>
      <c r="D3260" s="1"/>
      <c r="E3260" s="1"/>
      <c r="F3260" s="1"/>
      <c r="G3260" s="161"/>
      <c r="H3260" s="172"/>
      <c r="I3260" s="172"/>
      <c r="K3260" s="175"/>
    </row>
    <row r="3261" spans="2:11" x14ac:dyDescent="0.15">
      <c r="B3261" s="1"/>
      <c r="C3261" s="1"/>
      <c r="D3261" s="1"/>
      <c r="E3261" s="1"/>
      <c r="F3261" s="1"/>
      <c r="G3261" s="1"/>
      <c r="H3261" s="37"/>
      <c r="I3261" s="172"/>
    </row>
    <row r="3262" spans="2:11" ht="14" x14ac:dyDescent="0.15">
      <c r="B3262" s="83"/>
      <c r="C3262" s="11"/>
      <c r="D3262" s="1"/>
      <c r="E3262" s="916"/>
      <c r="F3262" s="916"/>
      <c r="G3262" s="916"/>
      <c r="H3262" s="916"/>
      <c r="I3262" s="171"/>
    </row>
    <row r="3263" spans="2:11" ht="14" x14ac:dyDescent="0.15">
      <c r="B3263" s="102"/>
      <c r="C3263" s="11"/>
      <c r="D3263" s="1"/>
      <c r="E3263" s="155"/>
      <c r="F3263" s="155"/>
      <c r="G3263" s="155"/>
      <c r="H3263" s="155"/>
      <c r="I3263" s="171"/>
    </row>
    <row r="3264" spans="2:11" ht="14" x14ac:dyDescent="0.15">
      <c r="B3264" s="83"/>
      <c r="C3264" s="11"/>
      <c r="D3264" s="1"/>
      <c r="E3264" s="155"/>
      <c r="F3264" s="155"/>
      <c r="G3264" s="155"/>
      <c r="H3264" s="155"/>
      <c r="I3264" s="171"/>
    </row>
    <row r="3265" spans="2:10" x14ac:dyDescent="0.15">
      <c r="B3265" s="11"/>
      <c r="C3265" s="11"/>
      <c r="D3265" s="1"/>
      <c r="E3265" s="155"/>
      <c r="F3265" s="155"/>
      <c r="G3265" s="155"/>
      <c r="H3265" s="155"/>
      <c r="I3265" s="171"/>
    </row>
    <row r="3266" spans="2:10" x14ac:dyDescent="0.15">
      <c r="B3266" s="11"/>
      <c r="C3266" s="11"/>
      <c r="D3266" s="1"/>
      <c r="E3266" s="155"/>
      <c r="F3266" s="155"/>
      <c r="G3266" s="155"/>
      <c r="H3266" s="155"/>
      <c r="I3266" s="171"/>
    </row>
    <row r="3267" spans="2:10" x14ac:dyDescent="0.15">
      <c r="B3267" s="11"/>
      <c r="C3267" s="11"/>
      <c r="D3267" s="1"/>
      <c r="E3267" s="155"/>
      <c r="F3267" s="155"/>
      <c r="G3267" s="155"/>
      <c r="H3267" s="155"/>
      <c r="I3267" s="171"/>
    </row>
    <row r="3268" spans="2:10" x14ac:dyDescent="0.15">
      <c r="B3268" s="11"/>
      <c r="C3268" s="11"/>
      <c r="D3268" s="11"/>
      <c r="E3268" s="11"/>
      <c r="F3268" s="11"/>
      <c r="G3268" s="11"/>
      <c r="H3268" s="11"/>
      <c r="I3268" s="11"/>
    </row>
    <row r="3269" spans="2:10" ht="14" x14ac:dyDescent="0.15">
      <c r="B3269" s="102"/>
      <c r="C3269" s="83"/>
      <c r="D3269" s="84"/>
      <c r="E3269" s="83"/>
      <c r="F3269" s="83"/>
      <c r="G3269" s="103"/>
      <c r="H3269" s="83"/>
      <c r="I3269" s="85"/>
      <c r="J3269" s="85"/>
    </row>
    <row r="3270" spans="2:10" ht="14" x14ac:dyDescent="0.15">
      <c r="B3270" s="102"/>
      <c r="C3270" s="83"/>
      <c r="D3270" s="84"/>
      <c r="E3270" s="83"/>
      <c r="F3270" s="83"/>
      <c r="G3270" s="103"/>
      <c r="H3270" s="83"/>
      <c r="I3270" s="85"/>
      <c r="J3270" s="85"/>
    </row>
    <row r="3271" spans="2:10" ht="14" x14ac:dyDescent="0.15">
      <c r="B3271" s="83"/>
      <c r="C3271" s="83"/>
      <c r="D3271" s="84"/>
      <c r="E3271" s="83"/>
      <c r="F3271" s="83"/>
      <c r="G3271" s="104"/>
      <c r="H3271" s="83"/>
      <c r="I3271" s="85"/>
      <c r="J3271" s="85"/>
    </row>
    <row r="3272" spans="2:10" x14ac:dyDescent="0.15">
      <c r="B3272" s="11"/>
      <c r="C3272" s="11"/>
      <c r="D3272" s="1"/>
      <c r="E3272" s="155"/>
      <c r="F3272" s="155"/>
      <c r="G3272" s="155"/>
      <c r="H3272" s="155"/>
      <c r="I3272" s="171"/>
    </row>
    <row r="3273" spans="2:10" ht="14" thickBot="1" x14ac:dyDescent="0.2"/>
    <row r="3274" spans="2:10" ht="21" customHeight="1" x14ac:dyDescent="0.15">
      <c r="B3274" s="885" t="s">
        <v>874</v>
      </c>
      <c r="C3274" s="886"/>
      <c r="D3274" s="886"/>
      <c r="E3274" s="886"/>
      <c r="F3274" s="887"/>
      <c r="G3274" s="1"/>
      <c r="H3274" s="879" t="s">
        <v>20</v>
      </c>
      <c r="I3274" s="880"/>
    </row>
    <row r="3275" spans="2:10" ht="16.5" customHeight="1" x14ac:dyDescent="0.15">
      <c r="B3275" s="888" t="s">
        <v>875</v>
      </c>
      <c r="C3275" s="889"/>
      <c r="D3275" s="889"/>
      <c r="E3275" s="889"/>
      <c r="F3275" s="890"/>
      <c r="G3275" s="63"/>
      <c r="H3275" s="881"/>
      <c r="I3275" s="882"/>
    </row>
    <row r="3276" spans="2:10" ht="12.75" customHeight="1" x14ac:dyDescent="0.15">
      <c r="B3276" s="906" t="s">
        <v>876</v>
      </c>
      <c r="C3276" s="907"/>
      <c r="D3276" s="907"/>
      <c r="E3276" s="907"/>
      <c r="F3276" s="908"/>
      <c r="G3276" s="63"/>
      <c r="H3276" s="883"/>
      <c r="I3276" s="884"/>
    </row>
    <row r="3277" spans="2:10" ht="16.5" customHeight="1" thickBot="1" x14ac:dyDescent="0.2">
      <c r="B3277" s="909"/>
      <c r="C3277" s="910"/>
      <c r="D3277" s="910"/>
      <c r="E3277" s="910"/>
      <c r="F3277" s="911"/>
      <c r="G3277" s="1"/>
      <c r="H3277" s="972" t="s">
        <v>919</v>
      </c>
      <c r="I3277" s="973"/>
    </row>
    <row r="3278" spans="2:10" ht="13.5" customHeight="1" thickBot="1" x14ac:dyDescent="0.2">
      <c r="B3278" s="15"/>
      <c r="C3278" s="16"/>
      <c r="D3278" s="1"/>
      <c r="E3278" s="1"/>
      <c r="F3278" s="1"/>
      <c r="G3278" s="1"/>
      <c r="H3278" s="974"/>
      <c r="I3278" s="975"/>
    </row>
    <row r="3279" spans="2:10" ht="12.75" customHeight="1" x14ac:dyDescent="0.15">
      <c r="B3279" s="922" t="s">
        <v>836</v>
      </c>
      <c r="C3279" s="923"/>
      <c r="D3279" s="923"/>
      <c r="E3279" s="923"/>
      <c r="F3279" s="924"/>
      <c r="G3279" s="1"/>
      <c r="H3279" s="974"/>
      <c r="I3279" s="975"/>
    </row>
    <row r="3280" spans="2:10" ht="12.75" customHeight="1" x14ac:dyDescent="0.15">
      <c r="B3280" s="925"/>
      <c r="C3280" s="926"/>
      <c r="D3280" s="926"/>
      <c r="E3280" s="926"/>
      <c r="F3280" s="927"/>
      <c r="H3280" s="974"/>
      <c r="I3280" s="975"/>
    </row>
    <row r="3281" spans="2:9" ht="13.5" customHeight="1" x14ac:dyDescent="0.15">
      <c r="B3281" s="925"/>
      <c r="C3281" s="926"/>
      <c r="D3281" s="926"/>
      <c r="E3281" s="926"/>
      <c r="F3281" s="927"/>
      <c r="G3281" s="11"/>
      <c r="H3281" s="976"/>
      <c r="I3281" s="977"/>
    </row>
    <row r="3282" spans="2:9" ht="21.75" customHeight="1" thickBot="1" x14ac:dyDescent="0.2">
      <c r="B3282" s="928"/>
      <c r="C3282" s="929"/>
      <c r="D3282" s="929"/>
      <c r="E3282" s="929"/>
      <c r="F3282" s="930"/>
      <c r="H3282" s="64" t="s">
        <v>45</v>
      </c>
      <c r="I3282" s="17" t="s">
        <v>319</v>
      </c>
    </row>
    <row r="3283" spans="2:9" x14ac:dyDescent="0.15">
      <c r="B3283" s="18"/>
      <c r="C3283" s="18"/>
      <c r="D3283" s="1"/>
      <c r="E3283" s="18"/>
      <c r="F3283" s="18"/>
      <c r="G3283" s="18"/>
      <c r="H3283" s="18"/>
      <c r="I3283" s="1"/>
    </row>
    <row r="3284" spans="2:9" ht="14" thickBot="1" x14ac:dyDescent="0.2">
      <c r="B3284" s="12" t="s">
        <v>21</v>
      </c>
      <c r="C3284" s="12"/>
      <c r="D3284" s="1"/>
      <c r="E3284" s="1"/>
      <c r="F3284" s="1"/>
      <c r="G3284" s="1"/>
      <c r="H3284" s="1"/>
      <c r="I3284" s="1"/>
    </row>
    <row r="3285" spans="2:9" x14ac:dyDescent="0.15">
      <c r="B3285" s="903" t="s">
        <v>22</v>
      </c>
      <c r="C3285" s="904"/>
      <c r="D3285" s="905"/>
      <c r="E3285" s="209" t="s">
        <v>23</v>
      </c>
      <c r="F3285" s="19" t="s">
        <v>47</v>
      </c>
      <c r="G3285" s="209" t="s">
        <v>24</v>
      </c>
      <c r="H3285" s="208" t="s">
        <v>25</v>
      </c>
      <c r="I3285" s="43"/>
    </row>
    <row r="3286" spans="2:9" x14ac:dyDescent="0.15">
      <c r="B3286" s="897" t="s">
        <v>56</v>
      </c>
      <c r="C3286" s="898"/>
      <c r="D3286" s="899"/>
      <c r="E3286" s="5"/>
      <c r="F3286" s="162"/>
      <c r="G3286" s="58"/>
      <c r="H3286" s="162">
        <v>350</v>
      </c>
      <c r="I3286" s="44"/>
    </row>
    <row r="3287" spans="2:9" ht="14" thickBot="1" x14ac:dyDescent="0.2">
      <c r="B3287" s="900"/>
      <c r="C3287" s="901"/>
      <c r="D3287" s="902"/>
      <c r="E3287" s="21"/>
      <c r="F3287" s="22"/>
      <c r="G3287" s="23"/>
      <c r="H3287" s="47"/>
      <c r="I3287" s="48"/>
    </row>
    <row r="3288" spans="2:9" ht="14" thickBot="1" x14ac:dyDescent="0.2">
      <c r="B3288" s="1"/>
      <c r="C3288" s="1"/>
      <c r="D3288" s="1"/>
      <c r="E3288" s="1"/>
      <c r="F3288" s="1"/>
      <c r="G3288" s="1"/>
      <c r="H3288" s="37" t="s">
        <v>26</v>
      </c>
      <c r="I3288" s="163">
        <f>SUM(H3286:H3287)</f>
        <v>350</v>
      </c>
    </row>
    <row r="3289" spans="2:9" ht="14" thickBot="1" x14ac:dyDescent="0.2">
      <c r="B3289" s="12" t="s">
        <v>27</v>
      </c>
      <c r="C3289" s="12"/>
      <c r="D3289" s="1"/>
      <c r="E3289" s="1"/>
      <c r="F3289" s="1"/>
      <c r="G3289" s="1"/>
      <c r="H3289" s="1"/>
      <c r="I3289" s="1"/>
    </row>
    <row r="3290" spans="2:9" x14ac:dyDescent="0.15">
      <c r="B3290" s="903" t="s">
        <v>22</v>
      </c>
      <c r="C3290" s="904"/>
      <c r="D3290" s="905"/>
      <c r="E3290" s="209" t="s">
        <v>28</v>
      </c>
      <c r="F3290" s="209" t="s">
        <v>29</v>
      </c>
      <c r="G3290" s="209" t="s">
        <v>30</v>
      </c>
      <c r="H3290" s="208" t="s">
        <v>25</v>
      </c>
      <c r="I3290" s="43"/>
    </row>
    <row r="3291" spans="2:9" x14ac:dyDescent="0.15">
      <c r="B3291" s="4" t="s">
        <v>920</v>
      </c>
      <c r="C3291" s="24"/>
      <c r="D3291" s="6"/>
      <c r="E3291" s="3" t="s">
        <v>193</v>
      </c>
      <c r="F3291" s="166">
        <f>MATERIALES!C77</f>
        <v>650000</v>
      </c>
      <c r="G3291" s="65">
        <v>1</v>
      </c>
      <c r="H3291" s="165">
        <f>G3291*F3291</f>
        <v>650000</v>
      </c>
      <c r="I3291" s="44"/>
    </row>
    <row r="3292" spans="2:9" x14ac:dyDescent="0.15">
      <c r="B3292" s="80" t="s">
        <v>286</v>
      </c>
      <c r="C3292" s="81"/>
      <c r="D3292" s="668"/>
      <c r="E3292" s="74" t="s">
        <v>319</v>
      </c>
      <c r="F3292" s="166">
        <f>MATERIALES!C79</f>
        <v>102570</v>
      </c>
      <c r="G3292" s="65">
        <v>1</v>
      </c>
      <c r="H3292" s="165">
        <f>G3292*F3292</f>
        <v>102570</v>
      </c>
      <c r="I3292" s="44"/>
    </row>
    <row r="3293" spans="2:9" x14ac:dyDescent="0.15">
      <c r="B3293" s="4" t="s">
        <v>287</v>
      </c>
      <c r="C3293" s="24"/>
      <c r="D3293" s="6"/>
      <c r="E3293" s="3" t="s">
        <v>193</v>
      </c>
      <c r="F3293" s="164">
        <f>MATERIALES!C74</f>
        <v>7210</v>
      </c>
      <c r="G3293" s="65">
        <v>2</v>
      </c>
      <c r="H3293" s="165">
        <f t="shared" ref="H3293:H3296" si="11">G3293*F3293</f>
        <v>14420</v>
      </c>
      <c r="I3293" s="44"/>
    </row>
    <row r="3294" spans="2:9" x14ac:dyDescent="0.15">
      <c r="B3294" s="4" t="s">
        <v>288</v>
      </c>
      <c r="C3294" s="24"/>
      <c r="D3294" s="6"/>
      <c r="E3294" s="3" t="s">
        <v>319</v>
      </c>
      <c r="F3294" s="164">
        <f>MATERIALES!C80</f>
        <v>13800</v>
      </c>
      <c r="G3294" s="65">
        <v>1</v>
      </c>
      <c r="H3294" s="165">
        <f t="shared" si="11"/>
        <v>13800</v>
      </c>
      <c r="I3294" s="44"/>
    </row>
    <row r="3295" spans="2:9" x14ac:dyDescent="0.15">
      <c r="B3295" s="4" t="s">
        <v>289</v>
      </c>
      <c r="C3295" s="24"/>
      <c r="D3295" s="6"/>
      <c r="E3295" s="3" t="s">
        <v>319</v>
      </c>
      <c r="F3295" s="164">
        <f>MATERIALES!C81</f>
        <v>19600</v>
      </c>
      <c r="G3295" s="65">
        <v>1</v>
      </c>
      <c r="H3295" s="165">
        <f t="shared" si="11"/>
        <v>19600</v>
      </c>
      <c r="I3295" s="44"/>
    </row>
    <row r="3296" spans="2:9" x14ac:dyDescent="0.15">
      <c r="B3296" s="4" t="s">
        <v>918</v>
      </c>
      <c r="C3296" s="24"/>
      <c r="D3296" s="6"/>
      <c r="E3296" s="3" t="s">
        <v>319</v>
      </c>
      <c r="F3296" s="164">
        <f>MATERIALES!C66</f>
        <v>3700</v>
      </c>
      <c r="G3296" s="65">
        <v>1</v>
      </c>
      <c r="H3296" s="165">
        <f t="shared" si="11"/>
        <v>3700</v>
      </c>
      <c r="I3296" s="44"/>
    </row>
    <row r="3297" spans="1:10" x14ac:dyDescent="0.15">
      <c r="B3297" s="4" t="s">
        <v>698</v>
      </c>
      <c r="C3297" s="24"/>
      <c r="D3297" s="6"/>
      <c r="E3297" s="3" t="s">
        <v>77</v>
      </c>
      <c r="F3297" s="164">
        <f>MATERIALES!C27</f>
        <v>286200</v>
      </c>
      <c r="G3297" s="65">
        <v>0.02</v>
      </c>
      <c r="H3297" s="165">
        <f>G3297*F3297</f>
        <v>5724</v>
      </c>
      <c r="I3297" s="44"/>
    </row>
    <row r="3298" spans="1:10" ht="14" thickBot="1" x14ac:dyDescent="0.2">
      <c r="B3298" s="25"/>
      <c r="C3298" s="26"/>
      <c r="D3298" s="27"/>
      <c r="E3298" s="21"/>
      <c r="F3298" s="22"/>
      <c r="G3298" s="167"/>
      <c r="H3298" s="47"/>
      <c r="I3298" s="48"/>
    </row>
    <row r="3299" spans="1:10" ht="14" thickBot="1" x14ac:dyDescent="0.2">
      <c r="B3299" s="1"/>
      <c r="C3299" s="1"/>
      <c r="D3299" s="1"/>
      <c r="E3299" s="1"/>
      <c r="F3299" s="1"/>
      <c r="G3299" s="1"/>
      <c r="H3299" s="37" t="s">
        <v>26</v>
      </c>
      <c r="I3299" s="163">
        <f>SUM(H3291:H3297)</f>
        <v>809814</v>
      </c>
    </row>
    <row r="3300" spans="1:10" ht="14" thickBot="1" x14ac:dyDescent="0.2">
      <c r="B3300" s="28" t="s">
        <v>31</v>
      </c>
      <c r="C3300" s="28"/>
      <c r="D3300" s="26"/>
      <c r="E3300" s="1"/>
      <c r="F3300" s="1"/>
      <c r="G3300" s="1"/>
      <c r="H3300" s="1"/>
      <c r="I3300" s="1"/>
    </row>
    <row r="3301" spans="1:10" x14ac:dyDescent="0.15">
      <c r="B3301" s="51" t="s">
        <v>32</v>
      </c>
      <c r="C3301" s="52"/>
      <c r="D3301" s="97" t="s">
        <v>33</v>
      </c>
      <c r="E3301" s="209" t="s">
        <v>34</v>
      </c>
      <c r="F3301" s="209" t="s">
        <v>35</v>
      </c>
      <c r="G3301" s="209" t="s">
        <v>36</v>
      </c>
      <c r="H3301" s="59" t="s">
        <v>25</v>
      </c>
      <c r="I3301" s="43"/>
    </row>
    <row r="3302" spans="1:10" x14ac:dyDescent="0.15">
      <c r="B3302" s="4" t="s">
        <v>79</v>
      </c>
      <c r="C3302" s="6"/>
      <c r="D3302" s="53">
        <v>1</v>
      </c>
      <c r="E3302" s="2">
        <v>43</v>
      </c>
      <c r="F3302" s="2">
        <f>E3302*D3302</f>
        <v>43</v>
      </c>
      <c r="G3302" s="65">
        <v>1100</v>
      </c>
      <c r="H3302" s="20">
        <f>G3302*F3302</f>
        <v>47300</v>
      </c>
      <c r="I3302" s="44"/>
    </row>
    <row r="3303" spans="1:10" ht="14" thickBot="1" x14ac:dyDescent="0.2">
      <c r="B3303" s="33"/>
      <c r="C3303" s="54"/>
      <c r="D3303" s="21"/>
      <c r="E3303" s="22"/>
      <c r="F3303" s="23"/>
      <c r="G3303" s="47"/>
      <c r="H3303" s="21"/>
      <c r="I3303" s="48"/>
    </row>
    <row r="3304" spans="1:10" ht="14" thickBot="1" x14ac:dyDescent="0.2">
      <c r="B3304" s="1"/>
      <c r="C3304" s="1"/>
      <c r="D3304" s="1"/>
      <c r="E3304" s="1"/>
      <c r="F3304" s="1"/>
      <c r="G3304" s="1"/>
      <c r="H3304" s="37" t="s">
        <v>26</v>
      </c>
      <c r="I3304" s="163">
        <f>SUM(H3302:H3303)</f>
        <v>47300</v>
      </c>
    </row>
    <row r="3305" spans="1:10" ht="14" thickBot="1" x14ac:dyDescent="0.2">
      <c r="B3305" s="28" t="s">
        <v>37</v>
      </c>
      <c r="C3305" s="28"/>
      <c r="D3305" s="1"/>
      <c r="E3305" s="1"/>
      <c r="F3305" s="1"/>
      <c r="G3305" s="1"/>
      <c r="H3305" s="1"/>
      <c r="I3305" s="1"/>
    </row>
    <row r="3306" spans="1:10" x14ac:dyDescent="0.15">
      <c r="B3306" s="51" t="s">
        <v>38</v>
      </c>
      <c r="C3306" s="86"/>
      <c r="D3306" s="31" t="s">
        <v>39</v>
      </c>
      <c r="E3306" s="209" t="s">
        <v>40</v>
      </c>
      <c r="F3306" s="19" t="s">
        <v>41</v>
      </c>
      <c r="G3306" s="31" t="s">
        <v>24</v>
      </c>
      <c r="H3306" s="208" t="s">
        <v>25</v>
      </c>
      <c r="I3306" s="43"/>
    </row>
    <row r="3307" spans="1:10" x14ac:dyDescent="0.15">
      <c r="B3307" s="4" t="s">
        <v>65</v>
      </c>
      <c r="C3307" s="24"/>
      <c r="D3307" s="32">
        <f>'MANO DE OBRA'!E15</f>
        <v>95333</v>
      </c>
      <c r="E3307" s="88">
        <v>1.75</v>
      </c>
      <c r="F3307" s="164">
        <f>+E3307*D3307</f>
        <v>166832.75</v>
      </c>
      <c r="G3307" s="79">
        <v>2.5</v>
      </c>
      <c r="H3307" s="169">
        <f>+F3307/G3307</f>
        <v>66733.100000000006</v>
      </c>
      <c r="I3307" s="44"/>
    </row>
    <row r="3308" spans="1:10" x14ac:dyDescent="0.15">
      <c r="A3308" s="482"/>
      <c r="B3308" s="80" t="s">
        <v>55</v>
      </c>
      <c r="C3308" s="24"/>
      <c r="D3308" s="32">
        <f>'MANO DE OBRA'!E14*2</f>
        <v>104000</v>
      </c>
      <c r="E3308" s="88">
        <v>1.75</v>
      </c>
      <c r="F3308" s="164">
        <f>+E3308*D3308</f>
        <v>182000</v>
      </c>
      <c r="G3308" s="79">
        <v>2.5</v>
      </c>
      <c r="H3308" s="169">
        <f>+F3308/G3308</f>
        <v>72800</v>
      </c>
      <c r="I3308" s="44"/>
      <c r="J3308" s="482"/>
    </row>
    <row r="3309" spans="1:10" ht="14" thickBot="1" x14ac:dyDescent="0.2">
      <c r="B3309" s="33"/>
      <c r="C3309" s="34"/>
      <c r="D3309" s="22"/>
      <c r="E3309" s="21"/>
      <c r="F3309" s="22"/>
      <c r="G3309" s="23"/>
      <c r="H3309" s="47"/>
      <c r="I3309" s="48"/>
    </row>
    <row r="3310" spans="1:10" ht="14" thickBot="1" x14ac:dyDescent="0.2">
      <c r="B3310" s="1"/>
      <c r="C3310" s="1"/>
      <c r="D3310" s="1"/>
      <c r="E3310" s="1"/>
      <c r="F3310" s="1"/>
      <c r="G3310" s="1"/>
      <c r="H3310" s="37" t="s">
        <v>26</v>
      </c>
      <c r="I3310" s="177">
        <f>SUM(H3307:H3309)</f>
        <v>139533.1</v>
      </c>
    </row>
    <row r="3311" spans="1:10" ht="14" thickBot="1" x14ac:dyDescent="0.2">
      <c r="B3311" s="1"/>
      <c r="C3311" s="1"/>
      <c r="D3311" s="1"/>
      <c r="E3311" s="1"/>
      <c r="F3311" s="1"/>
      <c r="G3311" s="1"/>
      <c r="H3311" s="61"/>
      <c r="I3311" s="1"/>
    </row>
    <row r="3312" spans="1:10" ht="15" thickBot="1" x14ac:dyDescent="0.2">
      <c r="B3312" s="1"/>
      <c r="C3312" s="1"/>
      <c r="D3312" s="1"/>
      <c r="E3312" s="1"/>
      <c r="F3312" s="35" t="s">
        <v>43</v>
      </c>
      <c r="G3312" s="16"/>
      <c r="H3312" s="16"/>
      <c r="I3312" s="477">
        <f>ROUND((I3288+I3299+I3304+I3310),0)</f>
        <v>996997</v>
      </c>
    </row>
    <row r="3313" spans="1:10" x14ac:dyDescent="0.15">
      <c r="B3313" s="12"/>
      <c r="C3313" s="12"/>
      <c r="D3313" s="1"/>
      <c r="E3313" s="1"/>
      <c r="F3313" s="1"/>
      <c r="G3313" s="1"/>
      <c r="H3313" s="172"/>
      <c r="I3313" s="172"/>
    </row>
    <row r="3314" spans="1:10" x14ac:dyDescent="0.15">
      <c r="B3314" s="16"/>
      <c r="C3314" s="16"/>
      <c r="D3314" s="16"/>
      <c r="E3314" s="16"/>
      <c r="F3314" s="16"/>
      <c r="G3314" s="61"/>
      <c r="H3314" s="173"/>
      <c r="I3314" s="172"/>
    </row>
    <row r="3315" spans="1:10" x14ac:dyDescent="0.15">
      <c r="B3315" s="1"/>
      <c r="C3315" s="1"/>
      <c r="D3315" s="1"/>
      <c r="E3315" s="1"/>
      <c r="F3315" s="1"/>
      <c r="G3315" s="161"/>
      <c r="H3315" s="172"/>
      <c r="I3315" s="172"/>
    </row>
    <row r="3316" spans="1:10" x14ac:dyDescent="0.15">
      <c r="B3316" s="1"/>
      <c r="C3316" s="1"/>
      <c r="D3316" s="1"/>
      <c r="E3316" s="1"/>
      <c r="F3316" s="1"/>
      <c r="G3316" s="161"/>
      <c r="H3316" s="172"/>
      <c r="I3316" s="172"/>
    </row>
    <row r="3317" spans="1:10" x14ac:dyDescent="0.15">
      <c r="B3317" s="1"/>
      <c r="C3317" s="1"/>
      <c r="D3317" s="1"/>
      <c r="E3317" s="1"/>
      <c r="F3317" s="1"/>
      <c r="G3317" s="161"/>
      <c r="H3317" s="172"/>
      <c r="I3317" s="172"/>
    </row>
    <row r="3318" spans="1:10" x14ac:dyDescent="0.15">
      <c r="B3318" s="1"/>
      <c r="C3318" s="1"/>
      <c r="D3318" s="1"/>
      <c r="E3318" s="1"/>
      <c r="F3318" s="1"/>
      <c r="G3318" s="161"/>
      <c r="H3318" s="172"/>
      <c r="I3318" s="172"/>
    </row>
    <row r="3319" spans="1:10" x14ac:dyDescent="0.15">
      <c r="B3319" s="1"/>
      <c r="C3319" s="1"/>
      <c r="D3319" s="1"/>
      <c r="E3319" s="1"/>
      <c r="F3319" s="1"/>
      <c r="G3319" s="1"/>
      <c r="H3319" s="37"/>
      <c r="I3319" s="172"/>
    </row>
    <row r="3320" spans="1:10" ht="14" x14ac:dyDescent="0.15">
      <c r="B3320" s="102"/>
      <c r="C3320" s="1"/>
      <c r="D3320" s="1"/>
      <c r="E3320" s="1"/>
      <c r="F3320" s="1"/>
      <c r="G3320" s="1"/>
      <c r="H3320" s="1"/>
      <c r="I3320" s="172"/>
    </row>
    <row r="3321" spans="1:10" ht="14" x14ac:dyDescent="0.15">
      <c r="B3321" s="83"/>
      <c r="C3321" s="11"/>
      <c r="D3321" s="1"/>
      <c r="E3321" s="916"/>
      <c r="F3321" s="916"/>
      <c r="G3321" s="916"/>
      <c r="H3321" s="916"/>
      <c r="I3321" s="171"/>
    </row>
    <row r="3322" spans="1:10" x14ac:dyDescent="0.15">
      <c r="B3322" s="11"/>
      <c r="C3322" s="11"/>
      <c r="D3322" s="1"/>
      <c r="E3322" s="155"/>
      <c r="F3322" s="155"/>
      <c r="G3322" s="155"/>
      <c r="H3322" s="155"/>
      <c r="I3322" s="171"/>
    </row>
    <row r="3323" spans="1:10" x14ac:dyDescent="0.15">
      <c r="B3323" s="11"/>
      <c r="C3323" s="11"/>
      <c r="D3323" s="1"/>
      <c r="E3323" s="155"/>
      <c r="F3323" s="155"/>
      <c r="G3323" s="155"/>
      <c r="H3323" s="155"/>
      <c r="I3323" s="171"/>
    </row>
    <row r="3324" spans="1:10" x14ac:dyDescent="0.15">
      <c r="B3324" s="11"/>
      <c r="C3324" s="11"/>
      <c r="D3324" s="1"/>
      <c r="E3324" s="155"/>
      <c r="F3324" s="155"/>
      <c r="G3324" s="155"/>
      <c r="H3324" s="155"/>
      <c r="I3324" s="171"/>
    </row>
    <row r="3325" spans="1:10" x14ac:dyDescent="0.15">
      <c r="B3325" s="11"/>
      <c r="C3325" s="11"/>
      <c r="D3325" s="1"/>
      <c r="E3325" s="155"/>
      <c r="F3325" s="155"/>
      <c r="G3325" s="155"/>
      <c r="H3325" s="155"/>
      <c r="I3325" s="171"/>
    </row>
    <row r="3326" spans="1:10" x14ac:dyDescent="0.15">
      <c r="B3326" s="11"/>
      <c r="C3326" s="11"/>
      <c r="D3326" s="1"/>
      <c r="E3326" s="155"/>
      <c r="F3326" s="155"/>
      <c r="G3326" s="155"/>
      <c r="H3326" s="155"/>
      <c r="I3326" s="171"/>
    </row>
    <row r="3327" spans="1:10" ht="14" x14ac:dyDescent="0.15">
      <c r="A3327" s="85"/>
      <c r="B3327" s="102"/>
      <c r="C3327" s="83"/>
      <c r="D3327" s="84"/>
      <c r="E3327" s="83"/>
      <c r="F3327" s="83"/>
      <c r="G3327" s="103"/>
      <c r="H3327" s="83"/>
      <c r="I3327" s="85"/>
      <c r="J3327" s="85"/>
    </row>
    <row r="3328" spans="1:10" ht="14" x14ac:dyDescent="0.15">
      <c r="A3328" s="85"/>
      <c r="B3328" s="83"/>
      <c r="C3328" s="83"/>
      <c r="D3328" s="84"/>
      <c r="E3328" s="83"/>
      <c r="F3328" s="83"/>
      <c r="G3328" s="104"/>
      <c r="H3328" s="83"/>
      <c r="I3328" s="85"/>
      <c r="J3328" s="85"/>
    </row>
    <row r="3329" spans="1:10" ht="15" thickBot="1" x14ac:dyDescent="0.2">
      <c r="A3329" s="85"/>
      <c r="B3329" s="83"/>
      <c r="C3329" s="83"/>
      <c r="D3329" s="84"/>
      <c r="E3329" s="83"/>
      <c r="G3329" s="83"/>
      <c r="H3329" s="83"/>
      <c r="I3329" s="85"/>
      <c r="J3329" s="85"/>
    </row>
    <row r="3330" spans="1:10" ht="21" customHeight="1" x14ac:dyDescent="0.15">
      <c r="B3330" s="885" t="s">
        <v>874</v>
      </c>
      <c r="C3330" s="886"/>
      <c r="D3330" s="886"/>
      <c r="E3330" s="886"/>
      <c r="F3330" s="887"/>
      <c r="G3330" s="1"/>
      <c r="H3330" s="879" t="s">
        <v>20</v>
      </c>
      <c r="I3330" s="880"/>
    </row>
    <row r="3331" spans="1:10" ht="16.5" customHeight="1" x14ac:dyDescent="0.15">
      <c r="B3331" s="888" t="s">
        <v>875</v>
      </c>
      <c r="C3331" s="889"/>
      <c r="D3331" s="889"/>
      <c r="E3331" s="889"/>
      <c r="F3331" s="890"/>
      <c r="G3331" s="63"/>
      <c r="H3331" s="881"/>
      <c r="I3331" s="882"/>
    </row>
    <row r="3332" spans="1:10" ht="12.75" customHeight="1" x14ac:dyDescent="0.15">
      <c r="B3332" s="906" t="s">
        <v>876</v>
      </c>
      <c r="C3332" s="907"/>
      <c r="D3332" s="907"/>
      <c r="E3332" s="907"/>
      <c r="F3332" s="908"/>
      <c r="G3332" s="63"/>
      <c r="H3332" s="883"/>
      <c r="I3332" s="884"/>
    </row>
    <row r="3333" spans="1:10" ht="16.5" customHeight="1" thickBot="1" x14ac:dyDescent="0.2">
      <c r="B3333" s="909"/>
      <c r="C3333" s="910"/>
      <c r="D3333" s="910"/>
      <c r="E3333" s="910"/>
      <c r="F3333" s="911"/>
      <c r="G3333" s="1"/>
      <c r="H3333" s="956" t="s">
        <v>1284</v>
      </c>
      <c r="I3333" s="957"/>
    </row>
    <row r="3334" spans="1:10" ht="14" thickBot="1" x14ac:dyDescent="0.2">
      <c r="B3334" s="15"/>
      <c r="C3334" s="16"/>
      <c r="D3334" s="1"/>
      <c r="E3334" s="1"/>
      <c r="F3334" s="1"/>
      <c r="G3334" s="1"/>
      <c r="H3334" s="958"/>
      <c r="I3334" s="959"/>
    </row>
    <row r="3335" spans="1:10" ht="12.75" customHeight="1" x14ac:dyDescent="0.15">
      <c r="B3335" s="922" t="s">
        <v>836</v>
      </c>
      <c r="C3335" s="923"/>
      <c r="D3335" s="923"/>
      <c r="E3335" s="923"/>
      <c r="F3335" s="924"/>
      <c r="G3335" s="1"/>
      <c r="H3335" s="958"/>
      <c r="I3335" s="959"/>
    </row>
    <row r="3336" spans="1:10" ht="12.75" customHeight="1" x14ac:dyDescent="0.15">
      <c r="B3336" s="925"/>
      <c r="C3336" s="926"/>
      <c r="D3336" s="926"/>
      <c r="E3336" s="926"/>
      <c r="F3336" s="927"/>
      <c r="H3336" s="958"/>
      <c r="I3336" s="959"/>
    </row>
    <row r="3337" spans="1:10" ht="13.5" customHeight="1" x14ac:dyDescent="0.15">
      <c r="B3337" s="925"/>
      <c r="C3337" s="926"/>
      <c r="D3337" s="926"/>
      <c r="E3337" s="926"/>
      <c r="F3337" s="927"/>
      <c r="G3337" s="11"/>
      <c r="H3337" s="960"/>
      <c r="I3337" s="961"/>
    </row>
    <row r="3338" spans="1:10" ht="21.75" customHeight="1" thickBot="1" x14ac:dyDescent="0.2">
      <c r="B3338" s="928"/>
      <c r="C3338" s="929"/>
      <c r="D3338" s="929"/>
      <c r="E3338" s="929"/>
      <c r="F3338" s="930"/>
      <c r="H3338" s="64" t="s">
        <v>45</v>
      </c>
      <c r="I3338" s="17" t="s">
        <v>319</v>
      </c>
    </row>
    <row r="3339" spans="1:10" x14ac:dyDescent="0.15">
      <c r="B3339" s="18"/>
      <c r="C3339" s="18"/>
      <c r="D3339" s="1"/>
      <c r="E3339" s="18"/>
      <c r="F3339" s="18"/>
      <c r="G3339" s="18"/>
      <c r="H3339" s="18"/>
      <c r="I3339" s="1"/>
    </row>
    <row r="3340" spans="1:10" ht="14" thickBot="1" x14ac:dyDescent="0.2">
      <c r="B3340" s="12" t="s">
        <v>21</v>
      </c>
      <c r="C3340" s="12"/>
      <c r="D3340" s="1"/>
      <c r="E3340" s="1"/>
      <c r="F3340" s="1"/>
      <c r="G3340" s="1"/>
      <c r="H3340" s="1"/>
      <c r="I3340" s="1"/>
    </row>
    <row r="3341" spans="1:10" x14ac:dyDescent="0.15">
      <c r="B3341" s="903" t="s">
        <v>22</v>
      </c>
      <c r="C3341" s="904"/>
      <c r="D3341" s="905"/>
      <c r="E3341" s="209" t="s">
        <v>23</v>
      </c>
      <c r="F3341" s="19" t="s">
        <v>47</v>
      </c>
      <c r="G3341" s="209" t="s">
        <v>24</v>
      </c>
      <c r="H3341" s="208" t="s">
        <v>25</v>
      </c>
      <c r="I3341" s="43"/>
    </row>
    <row r="3342" spans="1:10" x14ac:dyDescent="0.15">
      <c r="B3342" s="897" t="s">
        <v>56</v>
      </c>
      <c r="C3342" s="898"/>
      <c r="D3342" s="899"/>
      <c r="E3342" s="5"/>
      <c r="F3342" s="162"/>
      <c r="G3342" s="58"/>
      <c r="H3342" s="162">
        <f>I3364*0.05</f>
        <v>1162.7758333333334</v>
      </c>
      <c r="I3342" s="44"/>
    </row>
    <row r="3343" spans="1:10" ht="14" thickBot="1" x14ac:dyDescent="0.2">
      <c r="B3343" s="900"/>
      <c r="C3343" s="901"/>
      <c r="D3343" s="902"/>
      <c r="E3343" s="21"/>
      <c r="F3343" s="22"/>
      <c r="G3343" s="23"/>
      <c r="H3343" s="47"/>
      <c r="I3343" s="48"/>
    </row>
    <row r="3344" spans="1:10" ht="14" thickBot="1" x14ac:dyDescent="0.2">
      <c r="B3344" s="1"/>
      <c r="C3344" s="1"/>
      <c r="D3344" s="1"/>
      <c r="E3344" s="1"/>
      <c r="F3344" s="1"/>
      <c r="G3344" s="1"/>
      <c r="H3344" s="37" t="s">
        <v>26</v>
      </c>
      <c r="I3344" s="163">
        <f>SUM(H3342)</f>
        <v>1162.7758333333334</v>
      </c>
    </row>
    <row r="3345" spans="2:9" ht="14" thickBot="1" x14ac:dyDescent="0.2">
      <c r="B3345" s="12" t="s">
        <v>27</v>
      </c>
      <c r="C3345" s="12"/>
      <c r="D3345" s="1"/>
      <c r="E3345" s="1"/>
      <c r="F3345" s="1"/>
      <c r="G3345" s="1"/>
      <c r="H3345" s="1"/>
      <c r="I3345" s="1"/>
    </row>
    <row r="3346" spans="2:9" x14ac:dyDescent="0.15">
      <c r="B3346" s="903" t="s">
        <v>22</v>
      </c>
      <c r="C3346" s="904"/>
      <c r="D3346" s="905"/>
      <c r="E3346" s="209" t="s">
        <v>28</v>
      </c>
      <c r="F3346" s="209" t="s">
        <v>29</v>
      </c>
      <c r="G3346" s="209" t="s">
        <v>30</v>
      </c>
      <c r="H3346" s="208" t="s">
        <v>25</v>
      </c>
      <c r="I3346" s="43"/>
    </row>
    <row r="3347" spans="2:9" x14ac:dyDescent="0.15">
      <c r="B3347" s="4" t="s">
        <v>275</v>
      </c>
      <c r="C3347" s="24"/>
      <c r="D3347" s="6"/>
      <c r="E3347" s="3" t="s">
        <v>193</v>
      </c>
      <c r="F3347" s="164">
        <f>MATERIALES!C63</f>
        <v>4176</v>
      </c>
      <c r="G3347" s="65">
        <v>0.5</v>
      </c>
      <c r="H3347" s="165">
        <f t="shared" ref="H3347:H3351" si="12">G3347*F3347</f>
        <v>2088</v>
      </c>
      <c r="I3347" s="44"/>
    </row>
    <row r="3348" spans="2:9" x14ac:dyDescent="0.15">
      <c r="B3348" s="4" t="s">
        <v>276</v>
      </c>
      <c r="C3348" s="24"/>
      <c r="D3348" s="6"/>
      <c r="E3348" s="3" t="s">
        <v>319</v>
      </c>
      <c r="F3348" s="164">
        <f>MATERIALES!C64</f>
        <v>1330</v>
      </c>
      <c r="G3348" s="65">
        <v>1</v>
      </c>
      <c r="H3348" s="165">
        <f t="shared" si="12"/>
        <v>1330</v>
      </c>
      <c r="I3348" s="44"/>
    </row>
    <row r="3349" spans="2:9" x14ac:dyDescent="0.15">
      <c r="B3349" s="4" t="s">
        <v>277</v>
      </c>
      <c r="C3349" s="24"/>
      <c r="D3349" s="6"/>
      <c r="E3349" s="3" t="s">
        <v>319</v>
      </c>
      <c r="F3349" s="164">
        <f>MATERIALES!C65</f>
        <v>2520</v>
      </c>
      <c r="G3349" s="65">
        <v>1</v>
      </c>
      <c r="H3349" s="165">
        <f t="shared" si="12"/>
        <v>2520</v>
      </c>
      <c r="I3349" s="44"/>
    </row>
    <row r="3350" spans="2:9" x14ac:dyDescent="0.15">
      <c r="B3350" s="4" t="s">
        <v>697</v>
      </c>
      <c r="C3350" s="24"/>
      <c r="D3350" s="6"/>
      <c r="E3350" s="3" t="s">
        <v>319</v>
      </c>
      <c r="F3350" s="164">
        <f>MATERIALES!C66</f>
        <v>3700</v>
      </c>
      <c r="G3350" s="65">
        <v>1</v>
      </c>
      <c r="H3350" s="165">
        <f t="shared" si="12"/>
        <v>3700</v>
      </c>
      <c r="I3350" s="44"/>
    </row>
    <row r="3351" spans="2:9" x14ac:dyDescent="0.15">
      <c r="B3351" s="4" t="s">
        <v>135</v>
      </c>
      <c r="C3351" s="24"/>
      <c r="D3351" s="6"/>
      <c r="E3351" s="3" t="s">
        <v>77</v>
      </c>
      <c r="F3351" s="164">
        <f>MATERIALES!C27</f>
        <v>286200</v>
      </c>
      <c r="G3351" s="678">
        <v>2.5000000000000001E-3</v>
      </c>
      <c r="H3351" s="165">
        <f t="shared" si="12"/>
        <v>715.5</v>
      </c>
      <c r="I3351" s="44"/>
    </row>
    <row r="3352" spans="2:9" ht="14" thickBot="1" x14ac:dyDescent="0.2">
      <c r="B3352" s="33"/>
      <c r="C3352" s="26"/>
      <c r="D3352" s="27"/>
      <c r="E3352" s="21"/>
      <c r="F3352" s="22"/>
      <c r="G3352" s="167"/>
      <c r="H3352" s="47"/>
      <c r="I3352" s="48"/>
    </row>
    <row r="3353" spans="2:9" ht="14" thickBot="1" x14ac:dyDescent="0.2">
      <c r="B3353" s="1"/>
      <c r="C3353" s="1"/>
      <c r="D3353" s="1"/>
      <c r="E3353" s="1"/>
      <c r="F3353" s="1"/>
      <c r="G3353" s="1"/>
      <c r="H3353" s="37" t="s">
        <v>26</v>
      </c>
      <c r="I3353" s="177">
        <f>SUM(H3347:H3351)</f>
        <v>10353.5</v>
      </c>
    </row>
    <row r="3354" spans="2:9" ht="14" thickBot="1" x14ac:dyDescent="0.2">
      <c r="B3354" s="28" t="s">
        <v>31</v>
      </c>
      <c r="C3354" s="28"/>
      <c r="D3354" s="26"/>
      <c r="E3354" s="1"/>
      <c r="F3354" s="1"/>
      <c r="G3354" s="1"/>
      <c r="H3354" s="1"/>
      <c r="I3354" s="1"/>
    </row>
    <row r="3355" spans="2:9" x14ac:dyDescent="0.15">
      <c r="B3355" s="51" t="s">
        <v>32</v>
      </c>
      <c r="C3355" s="52"/>
      <c r="D3355" s="97" t="s">
        <v>33</v>
      </c>
      <c r="E3355" s="209" t="s">
        <v>34</v>
      </c>
      <c r="F3355" s="209" t="s">
        <v>35</v>
      </c>
      <c r="G3355" s="209" t="s">
        <v>36</v>
      </c>
      <c r="H3355" s="59" t="s">
        <v>25</v>
      </c>
      <c r="I3355" s="43"/>
    </row>
    <row r="3356" spans="2:9" x14ac:dyDescent="0.15">
      <c r="B3356" s="4" t="s">
        <v>79</v>
      </c>
      <c r="C3356" s="6"/>
      <c r="D3356" s="53">
        <v>2.5000000000000001E-2</v>
      </c>
      <c r="E3356" s="2">
        <v>15</v>
      </c>
      <c r="F3356" s="2">
        <f>E3356*D3356</f>
        <v>0.375</v>
      </c>
      <c r="G3356" s="162">
        <v>1100</v>
      </c>
      <c r="H3356" s="20">
        <f>G3356*F3356</f>
        <v>412.5</v>
      </c>
      <c r="I3356" s="44"/>
    </row>
    <row r="3357" spans="2:9" ht="14" thickBot="1" x14ac:dyDescent="0.2">
      <c r="B3357" s="33"/>
      <c r="C3357" s="54"/>
      <c r="D3357" s="21"/>
      <c r="E3357" s="22"/>
      <c r="F3357" s="23"/>
      <c r="G3357" s="47"/>
      <c r="H3357" s="21"/>
      <c r="I3357" s="48"/>
    </row>
    <row r="3358" spans="2:9" ht="14" thickBot="1" x14ac:dyDescent="0.2">
      <c r="B3358" s="1"/>
      <c r="C3358" s="1"/>
      <c r="D3358" s="1"/>
      <c r="E3358" s="1"/>
      <c r="F3358" s="1"/>
      <c r="G3358" s="1"/>
      <c r="H3358" s="37" t="s">
        <v>26</v>
      </c>
      <c r="I3358" s="163">
        <f>SUM(H3356:H3357)</f>
        <v>412.5</v>
      </c>
    </row>
    <row r="3359" spans="2:9" ht="14" thickBot="1" x14ac:dyDescent="0.2">
      <c r="B3359" s="28" t="s">
        <v>37</v>
      </c>
      <c r="C3359" s="28"/>
      <c r="D3359" s="1"/>
      <c r="E3359" s="1"/>
      <c r="F3359" s="1"/>
      <c r="G3359" s="1"/>
      <c r="H3359" s="1"/>
      <c r="I3359" s="1"/>
    </row>
    <row r="3360" spans="2:9" x14ac:dyDescent="0.15">
      <c r="B3360" s="51" t="s">
        <v>38</v>
      </c>
      <c r="C3360" s="86"/>
      <c r="D3360" s="31" t="s">
        <v>39</v>
      </c>
      <c r="E3360" s="209" t="s">
        <v>40</v>
      </c>
      <c r="F3360" s="19" t="s">
        <v>41</v>
      </c>
      <c r="G3360" s="31" t="s">
        <v>24</v>
      </c>
      <c r="H3360" s="208" t="s">
        <v>25</v>
      </c>
      <c r="I3360" s="43"/>
    </row>
    <row r="3361" spans="2:11" x14ac:dyDescent="0.15">
      <c r="B3361" s="4" t="s">
        <v>65</v>
      </c>
      <c r="C3361" s="24"/>
      <c r="D3361" s="32">
        <f>'MANO DE OBRA'!E15</f>
        <v>95333</v>
      </c>
      <c r="E3361" s="88">
        <v>1.75</v>
      </c>
      <c r="F3361" s="164">
        <f>+E3361*D3361</f>
        <v>166832.75</v>
      </c>
      <c r="G3361" s="79">
        <v>15</v>
      </c>
      <c r="H3361" s="169">
        <f>+F3361/G3361</f>
        <v>11122.183333333332</v>
      </c>
      <c r="I3361" s="44"/>
    </row>
    <row r="3362" spans="2:11" x14ac:dyDescent="0.15">
      <c r="B3362" s="80" t="s">
        <v>55</v>
      </c>
      <c r="C3362" s="81"/>
      <c r="D3362" s="32">
        <f>'MANO DE OBRA'!E14*2</f>
        <v>104000</v>
      </c>
      <c r="E3362" s="88">
        <v>1.75</v>
      </c>
      <c r="F3362" s="166">
        <f>+E3362*D3362</f>
        <v>182000</v>
      </c>
      <c r="G3362" s="79">
        <v>15</v>
      </c>
      <c r="H3362" s="481">
        <f>+F3362/G3362</f>
        <v>12133.333333333334</v>
      </c>
      <c r="I3362" s="44"/>
    </row>
    <row r="3363" spans="2:11" ht="14" thickBot="1" x14ac:dyDescent="0.2">
      <c r="B3363" s="33"/>
      <c r="C3363" s="34"/>
      <c r="D3363" s="22"/>
      <c r="E3363" s="21"/>
      <c r="F3363" s="22"/>
      <c r="G3363" s="23"/>
      <c r="H3363" s="47"/>
      <c r="I3363" s="48"/>
    </row>
    <row r="3364" spans="2:11" ht="14" thickBot="1" x14ac:dyDescent="0.2">
      <c r="B3364" s="1"/>
      <c r="C3364" s="1"/>
      <c r="D3364" s="1"/>
      <c r="E3364" s="1"/>
      <c r="F3364" s="1"/>
      <c r="G3364" s="1"/>
      <c r="H3364" s="37" t="s">
        <v>26</v>
      </c>
      <c r="I3364" s="177">
        <f>SUM(H3361:H3363)</f>
        <v>23255.516666666666</v>
      </c>
    </row>
    <row r="3365" spans="2:11" ht="14" thickBot="1" x14ac:dyDescent="0.2">
      <c r="B3365" s="1"/>
      <c r="C3365" s="1"/>
      <c r="D3365" s="1"/>
      <c r="E3365" s="1"/>
      <c r="F3365" s="1"/>
      <c r="G3365" s="1"/>
      <c r="H3365" s="61"/>
      <c r="I3365" s="1"/>
    </row>
    <row r="3366" spans="2:11" ht="15" thickBot="1" x14ac:dyDescent="0.2">
      <c r="B3366" s="1"/>
      <c r="C3366" s="1"/>
      <c r="D3366" s="1"/>
      <c r="E3366" s="1"/>
      <c r="F3366" s="35" t="s">
        <v>43</v>
      </c>
      <c r="G3366" s="16"/>
      <c r="H3366" s="16"/>
      <c r="I3366" s="477">
        <f>ROUND((I3344+I3353+I3358+I3364),0)</f>
        <v>35184</v>
      </c>
    </row>
    <row r="3367" spans="2:11" x14ac:dyDescent="0.15">
      <c r="B3367" s="12"/>
      <c r="C3367" s="12"/>
      <c r="D3367" s="1"/>
      <c r="E3367" s="1"/>
      <c r="F3367" s="1"/>
      <c r="G3367" s="1"/>
      <c r="H3367" s="172"/>
      <c r="I3367" s="172"/>
    </row>
    <row r="3368" spans="2:11" x14ac:dyDescent="0.15">
      <c r="B3368" s="16"/>
      <c r="C3368" s="16"/>
      <c r="D3368" s="16"/>
      <c r="E3368" s="16"/>
      <c r="F3368" s="16"/>
      <c r="G3368" s="61"/>
      <c r="H3368" s="173"/>
      <c r="I3368" s="172"/>
    </row>
    <row r="3369" spans="2:11" x14ac:dyDescent="0.15">
      <c r="B3369" s="1"/>
      <c r="C3369" s="1"/>
      <c r="D3369" s="1"/>
      <c r="E3369" s="1"/>
      <c r="F3369" s="1"/>
      <c r="G3369" s="161"/>
      <c r="H3369" s="172"/>
      <c r="I3369" s="172"/>
    </row>
    <row r="3370" spans="2:11" x14ac:dyDescent="0.15">
      <c r="B3370" s="1"/>
      <c r="C3370" s="1"/>
      <c r="D3370" s="1"/>
      <c r="E3370" s="1"/>
      <c r="F3370" s="1"/>
      <c r="G3370" s="161"/>
      <c r="H3370" s="172"/>
      <c r="I3370" s="172"/>
    </row>
    <row r="3371" spans="2:11" x14ac:dyDescent="0.15">
      <c r="B3371" s="1"/>
      <c r="C3371" s="1"/>
      <c r="D3371" s="1"/>
      <c r="E3371" s="1"/>
      <c r="F3371" s="1"/>
      <c r="G3371" s="161"/>
      <c r="H3371" s="172"/>
      <c r="I3371" s="172"/>
      <c r="K3371" s="175"/>
    </row>
    <row r="3372" spans="2:11" x14ac:dyDescent="0.15">
      <c r="B3372" s="1"/>
      <c r="C3372" s="1"/>
      <c r="D3372" s="1"/>
      <c r="E3372" s="1"/>
      <c r="F3372" s="1"/>
      <c r="G3372" s="1"/>
      <c r="H3372" s="37"/>
      <c r="I3372" s="172"/>
    </row>
    <row r="3373" spans="2:11" ht="14" x14ac:dyDescent="0.15">
      <c r="B3373" s="102"/>
      <c r="C3373" s="1"/>
      <c r="D3373" s="1"/>
      <c r="E3373" s="1"/>
      <c r="F3373" s="1"/>
      <c r="G3373" s="1"/>
      <c r="H3373" s="1"/>
      <c r="I3373" s="172"/>
    </row>
    <row r="3374" spans="2:11" ht="14" x14ac:dyDescent="0.15">
      <c r="B3374" s="83"/>
      <c r="C3374" s="11"/>
      <c r="D3374" s="1"/>
      <c r="E3374" s="916"/>
      <c r="F3374" s="916"/>
      <c r="G3374" s="916"/>
      <c r="H3374" s="916"/>
      <c r="I3374" s="171"/>
    </row>
    <row r="3375" spans="2:11" ht="14" x14ac:dyDescent="0.15">
      <c r="B3375" s="83"/>
      <c r="C3375" s="11"/>
      <c r="D3375" s="1"/>
      <c r="E3375" s="155"/>
      <c r="F3375" s="155"/>
      <c r="G3375" s="155"/>
      <c r="H3375" s="155"/>
      <c r="I3375" s="171"/>
    </row>
    <row r="3376" spans="2:11" x14ac:dyDescent="0.15">
      <c r="B3376" s="11"/>
      <c r="C3376" s="11"/>
      <c r="D3376" s="1"/>
      <c r="E3376" s="155"/>
      <c r="F3376" s="155"/>
      <c r="G3376" s="155"/>
      <c r="H3376" s="155"/>
      <c r="I3376" s="171"/>
    </row>
    <row r="3377" spans="1:10" x14ac:dyDescent="0.15">
      <c r="B3377" s="11"/>
      <c r="C3377" s="11"/>
      <c r="D3377" s="1"/>
      <c r="E3377" s="155"/>
      <c r="F3377" s="155"/>
      <c r="G3377" s="155"/>
      <c r="H3377" s="155"/>
      <c r="I3377" s="171"/>
    </row>
    <row r="3378" spans="1:10" x14ac:dyDescent="0.15">
      <c r="B3378" s="11"/>
      <c r="C3378" s="11"/>
      <c r="D3378" s="1"/>
      <c r="E3378" s="155"/>
      <c r="F3378" s="155"/>
      <c r="G3378" s="155"/>
      <c r="H3378" s="155"/>
      <c r="I3378" s="171"/>
    </row>
    <row r="3379" spans="1:10" x14ac:dyDescent="0.15">
      <c r="B3379" s="11"/>
      <c r="C3379" s="11"/>
      <c r="D3379" s="11"/>
      <c r="E3379" s="11"/>
      <c r="F3379" s="11"/>
      <c r="G3379" s="11"/>
      <c r="H3379" s="11"/>
      <c r="I3379" s="11"/>
    </row>
    <row r="3380" spans="1:10" ht="14" x14ac:dyDescent="0.15">
      <c r="A3380" s="85"/>
      <c r="B3380" s="102"/>
      <c r="C3380" s="83"/>
      <c r="D3380" s="84"/>
      <c r="E3380" s="83"/>
      <c r="F3380" s="83"/>
      <c r="G3380" s="103"/>
      <c r="H3380" s="83"/>
      <c r="I3380" s="85"/>
      <c r="J3380" s="85"/>
    </row>
    <row r="3381" spans="1:10" ht="14" x14ac:dyDescent="0.15">
      <c r="A3381" s="85"/>
      <c r="B3381" s="102"/>
      <c r="C3381" s="83"/>
      <c r="D3381" s="84"/>
      <c r="E3381" s="83"/>
      <c r="F3381" s="83"/>
      <c r="G3381" s="103"/>
      <c r="H3381" s="83"/>
      <c r="I3381" s="85"/>
      <c r="J3381" s="85"/>
    </row>
    <row r="3382" spans="1:10" ht="14" x14ac:dyDescent="0.15">
      <c r="A3382" s="85"/>
      <c r="B3382" s="83"/>
      <c r="C3382" s="83"/>
      <c r="D3382" s="84"/>
      <c r="E3382" s="83"/>
      <c r="F3382" s="83"/>
      <c r="G3382" s="104"/>
      <c r="H3382" s="83"/>
      <c r="I3382" s="85"/>
      <c r="J3382" s="85"/>
    </row>
    <row r="3383" spans="1:10" ht="14" x14ac:dyDescent="0.15">
      <c r="A3383" s="85"/>
      <c r="B3383" s="83"/>
      <c r="C3383" s="83"/>
      <c r="D3383" s="84"/>
      <c r="E3383" s="83"/>
      <c r="F3383" s="83"/>
      <c r="G3383" s="104"/>
      <c r="H3383" s="83"/>
      <c r="I3383" s="85"/>
      <c r="J3383" s="85"/>
    </row>
    <row r="3384" spans="1:10" x14ac:dyDescent="0.15">
      <c r="B3384" s="11"/>
      <c r="C3384" s="11"/>
      <c r="D3384" s="1"/>
      <c r="E3384" s="155"/>
      <c r="F3384" s="155"/>
      <c r="G3384" s="155"/>
      <c r="H3384" s="155"/>
      <c r="I3384" s="171"/>
    </row>
    <row r="3385" spans="1:10" ht="14" thickBot="1" x14ac:dyDescent="0.2"/>
    <row r="3386" spans="1:10" ht="21" customHeight="1" x14ac:dyDescent="0.15">
      <c r="B3386" s="885" t="s">
        <v>874</v>
      </c>
      <c r="C3386" s="886"/>
      <c r="D3386" s="886"/>
      <c r="E3386" s="886"/>
      <c r="F3386" s="887"/>
      <c r="G3386" s="1"/>
      <c r="H3386" s="879" t="s">
        <v>20</v>
      </c>
      <c r="I3386" s="880"/>
    </row>
    <row r="3387" spans="1:10" ht="16.5" customHeight="1" x14ac:dyDescent="0.15">
      <c r="B3387" s="888" t="s">
        <v>875</v>
      </c>
      <c r="C3387" s="889"/>
      <c r="D3387" s="889"/>
      <c r="E3387" s="889"/>
      <c r="F3387" s="890"/>
      <c r="G3387" s="63"/>
      <c r="H3387" s="881"/>
      <c r="I3387" s="882"/>
    </row>
    <row r="3388" spans="1:10" ht="12.75" customHeight="1" x14ac:dyDescent="0.15">
      <c r="B3388" s="906" t="s">
        <v>876</v>
      </c>
      <c r="C3388" s="907"/>
      <c r="D3388" s="907"/>
      <c r="E3388" s="907"/>
      <c r="F3388" s="908"/>
      <c r="G3388" s="63"/>
      <c r="H3388" s="883"/>
      <c r="I3388" s="884"/>
    </row>
    <row r="3389" spans="1:10" ht="16.5" customHeight="1" thickBot="1" x14ac:dyDescent="0.2">
      <c r="B3389" s="909"/>
      <c r="C3389" s="910"/>
      <c r="D3389" s="910"/>
      <c r="E3389" s="910"/>
      <c r="F3389" s="911"/>
      <c r="G3389" s="1"/>
      <c r="H3389" s="972" t="s">
        <v>1285</v>
      </c>
      <c r="I3389" s="973"/>
    </row>
    <row r="3390" spans="1:10" ht="14" thickBot="1" x14ac:dyDescent="0.2">
      <c r="B3390" s="15"/>
      <c r="C3390" s="16"/>
      <c r="D3390" s="1"/>
      <c r="E3390" s="1"/>
      <c r="F3390" s="1"/>
      <c r="G3390" s="1"/>
      <c r="H3390" s="974"/>
      <c r="I3390" s="975"/>
    </row>
    <row r="3391" spans="1:10" ht="12.75" customHeight="1" x14ac:dyDescent="0.15">
      <c r="B3391" s="922" t="s">
        <v>836</v>
      </c>
      <c r="C3391" s="923"/>
      <c r="D3391" s="923"/>
      <c r="E3391" s="923"/>
      <c r="F3391" s="924"/>
      <c r="G3391" s="1"/>
      <c r="H3391" s="974"/>
      <c r="I3391" s="975"/>
    </row>
    <row r="3392" spans="1:10" ht="12.75" customHeight="1" x14ac:dyDescent="0.15">
      <c r="B3392" s="925"/>
      <c r="C3392" s="926"/>
      <c r="D3392" s="926"/>
      <c r="E3392" s="926"/>
      <c r="F3392" s="927"/>
      <c r="H3392" s="974"/>
      <c r="I3392" s="975"/>
    </row>
    <row r="3393" spans="2:9" ht="13.5" customHeight="1" x14ac:dyDescent="0.15">
      <c r="B3393" s="925"/>
      <c r="C3393" s="926"/>
      <c r="D3393" s="926"/>
      <c r="E3393" s="926"/>
      <c r="F3393" s="927"/>
      <c r="G3393" s="11"/>
      <c r="H3393" s="976"/>
      <c r="I3393" s="977"/>
    </row>
    <row r="3394" spans="2:9" ht="21.75" customHeight="1" thickBot="1" x14ac:dyDescent="0.2">
      <c r="B3394" s="928"/>
      <c r="C3394" s="929"/>
      <c r="D3394" s="929"/>
      <c r="E3394" s="929"/>
      <c r="F3394" s="930"/>
      <c r="H3394" s="64" t="s">
        <v>45</v>
      </c>
      <c r="I3394" s="17" t="s">
        <v>7</v>
      </c>
    </row>
    <row r="3395" spans="2:9" x14ac:dyDescent="0.15">
      <c r="B3395" s="18"/>
      <c r="C3395" s="18"/>
      <c r="D3395" s="1"/>
      <c r="E3395" s="18"/>
      <c r="F3395" s="18"/>
      <c r="G3395" s="18"/>
      <c r="H3395" s="18"/>
      <c r="I3395" s="1"/>
    </row>
    <row r="3396" spans="2:9" ht="14" thickBot="1" x14ac:dyDescent="0.2">
      <c r="B3396" s="12" t="s">
        <v>21</v>
      </c>
      <c r="C3396" s="12"/>
      <c r="D3396" s="1"/>
      <c r="E3396" s="1"/>
      <c r="F3396" s="1"/>
      <c r="G3396" s="1"/>
      <c r="H3396" s="1"/>
      <c r="I3396" s="1"/>
    </row>
    <row r="3397" spans="2:9" x14ac:dyDescent="0.15">
      <c r="B3397" s="903" t="s">
        <v>22</v>
      </c>
      <c r="C3397" s="904"/>
      <c r="D3397" s="905"/>
      <c r="E3397" s="209" t="s">
        <v>23</v>
      </c>
      <c r="F3397" s="19" t="s">
        <v>47</v>
      </c>
      <c r="G3397" s="209" t="s">
        <v>24</v>
      </c>
      <c r="H3397" s="208" t="s">
        <v>25</v>
      </c>
      <c r="I3397" s="43"/>
    </row>
    <row r="3398" spans="2:9" x14ac:dyDescent="0.15">
      <c r="B3398" s="897" t="s">
        <v>56</v>
      </c>
      <c r="C3398" s="898"/>
      <c r="D3398" s="899"/>
      <c r="E3398" s="5"/>
      <c r="F3398" s="162"/>
      <c r="G3398" s="58"/>
      <c r="H3398" s="162">
        <f>I3419*0.05</f>
        <v>697.66550000000007</v>
      </c>
      <c r="I3398" s="44"/>
    </row>
    <row r="3399" spans="2:9" ht="14" thickBot="1" x14ac:dyDescent="0.2">
      <c r="B3399" s="900"/>
      <c r="C3399" s="901"/>
      <c r="D3399" s="902"/>
      <c r="E3399" s="21"/>
      <c r="F3399" s="22"/>
      <c r="G3399" s="23"/>
      <c r="H3399" s="47"/>
      <c r="I3399" s="48"/>
    </row>
    <row r="3400" spans="2:9" ht="14" thickBot="1" x14ac:dyDescent="0.2">
      <c r="B3400" s="1"/>
      <c r="C3400" s="1"/>
      <c r="D3400" s="1"/>
      <c r="E3400" s="1"/>
      <c r="F3400" s="1"/>
      <c r="G3400" s="1"/>
      <c r="H3400" s="37" t="s">
        <v>26</v>
      </c>
      <c r="I3400" s="163">
        <f>SUM(H3398:H3399)</f>
        <v>697.66550000000007</v>
      </c>
    </row>
    <row r="3401" spans="2:9" ht="14" thickBot="1" x14ac:dyDescent="0.2">
      <c r="B3401" s="12" t="s">
        <v>27</v>
      </c>
      <c r="C3401" s="12"/>
      <c r="D3401" s="1"/>
      <c r="E3401" s="1"/>
      <c r="F3401" s="1"/>
      <c r="G3401" s="1"/>
      <c r="H3401" s="1"/>
      <c r="I3401" s="1"/>
    </row>
    <row r="3402" spans="2:9" x14ac:dyDescent="0.15">
      <c r="B3402" s="903" t="s">
        <v>22</v>
      </c>
      <c r="C3402" s="904"/>
      <c r="D3402" s="905"/>
      <c r="E3402" s="209" t="s">
        <v>28</v>
      </c>
      <c r="F3402" s="209" t="s">
        <v>29</v>
      </c>
      <c r="G3402" s="209" t="s">
        <v>30</v>
      </c>
      <c r="H3402" s="208" t="s">
        <v>25</v>
      </c>
      <c r="I3402" s="43"/>
    </row>
    <row r="3403" spans="2:9" x14ac:dyDescent="0.15">
      <c r="B3403" s="4" t="s">
        <v>275</v>
      </c>
      <c r="C3403" s="24"/>
      <c r="D3403" s="6"/>
      <c r="E3403" s="3" t="s">
        <v>193</v>
      </c>
      <c r="F3403" s="164">
        <f>MATERIALES!C63</f>
        <v>4176</v>
      </c>
      <c r="G3403" s="65">
        <v>1</v>
      </c>
      <c r="H3403" s="165">
        <f t="shared" ref="H3403:H3406" si="13">G3403*F3403</f>
        <v>4176</v>
      </c>
      <c r="I3403" s="44"/>
    </row>
    <row r="3404" spans="2:9" x14ac:dyDescent="0.15">
      <c r="B3404" s="4" t="s">
        <v>276</v>
      </c>
      <c r="C3404" s="24"/>
      <c r="D3404" s="6"/>
      <c r="E3404" s="3" t="s">
        <v>319</v>
      </c>
      <c r="F3404" s="164">
        <f>MATERIALES!C64</f>
        <v>1330</v>
      </c>
      <c r="G3404" s="65">
        <v>0.2</v>
      </c>
      <c r="H3404" s="165">
        <f t="shared" si="13"/>
        <v>266</v>
      </c>
      <c r="I3404" s="44"/>
    </row>
    <row r="3405" spans="2:9" x14ac:dyDescent="0.15">
      <c r="B3405" s="4" t="s">
        <v>277</v>
      </c>
      <c r="C3405" s="24"/>
      <c r="D3405" s="6"/>
      <c r="E3405" s="3" t="s">
        <v>319</v>
      </c>
      <c r="F3405" s="164">
        <f>MATERIALES!C65</f>
        <v>2520</v>
      </c>
      <c r="G3405" s="65">
        <v>0.2</v>
      </c>
      <c r="H3405" s="165">
        <f t="shared" si="13"/>
        <v>504</v>
      </c>
      <c r="I3405" s="44"/>
    </row>
    <row r="3406" spans="2:9" x14ac:dyDescent="0.15">
      <c r="B3406" s="4" t="s">
        <v>698</v>
      </c>
      <c r="C3406" s="24"/>
      <c r="D3406" s="6"/>
      <c r="E3406" s="3" t="s">
        <v>77</v>
      </c>
      <c r="F3406" s="164">
        <f>MATERIALES!C27</f>
        <v>286200</v>
      </c>
      <c r="G3406" s="65">
        <v>2.5000000000000001E-3</v>
      </c>
      <c r="H3406" s="165">
        <f t="shared" si="13"/>
        <v>715.5</v>
      </c>
      <c r="I3406" s="44"/>
    </row>
    <row r="3407" spans="2:9" ht="14" thickBot="1" x14ac:dyDescent="0.2">
      <c r="B3407" s="25"/>
      <c r="C3407" s="26"/>
      <c r="D3407" s="27"/>
      <c r="E3407" s="21"/>
      <c r="F3407" s="22"/>
      <c r="G3407" s="167"/>
      <c r="H3407" s="47"/>
      <c r="I3407" s="48"/>
    </row>
    <row r="3408" spans="2:9" ht="14" thickBot="1" x14ac:dyDescent="0.2">
      <c r="B3408" s="1"/>
      <c r="C3408" s="1"/>
      <c r="D3408" s="1"/>
      <c r="E3408" s="1"/>
      <c r="F3408" s="1"/>
      <c r="G3408" s="1"/>
      <c r="H3408" s="37" t="s">
        <v>26</v>
      </c>
      <c r="I3408" s="163">
        <f>SUM(H3403:H3406)</f>
        <v>5661.5</v>
      </c>
    </row>
    <row r="3409" spans="2:9" ht="14" thickBot="1" x14ac:dyDescent="0.2">
      <c r="B3409" s="28" t="s">
        <v>31</v>
      </c>
      <c r="C3409" s="28"/>
      <c r="D3409" s="26"/>
      <c r="E3409" s="1"/>
      <c r="F3409" s="1"/>
      <c r="G3409" s="1"/>
      <c r="H3409" s="1"/>
      <c r="I3409" s="1"/>
    </row>
    <row r="3410" spans="2:9" x14ac:dyDescent="0.15">
      <c r="B3410" s="51" t="s">
        <v>32</v>
      </c>
      <c r="C3410" s="52"/>
      <c r="D3410" s="97" t="s">
        <v>33</v>
      </c>
      <c r="E3410" s="209" t="s">
        <v>34</v>
      </c>
      <c r="F3410" s="209" t="s">
        <v>35</v>
      </c>
      <c r="G3410" s="209" t="s">
        <v>36</v>
      </c>
      <c r="H3410" s="59" t="s">
        <v>25</v>
      </c>
      <c r="I3410" s="43"/>
    </row>
    <row r="3411" spans="2:9" x14ac:dyDescent="0.15">
      <c r="B3411" s="4" t="s">
        <v>79</v>
      </c>
      <c r="C3411" s="6"/>
      <c r="D3411" s="53">
        <v>0.02</v>
      </c>
      <c r="E3411" s="2">
        <v>15</v>
      </c>
      <c r="F3411" s="2">
        <f>E3411*D3411</f>
        <v>0.3</v>
      </c>
      <c r="G3411" s="162">
        <v>1100</v>
      </c>
      <c r="H3411" s="20">
        <f>G3411*F3411</f>
        <v>330</v>
      </c>
      <c r="I3411" s="44"/>
    </row>
    <row r="3412" spans="2:9" ht="14" thickBot="1" x14ac:dyDescent="0.2">
      <c r="B3412" s="33"/>
      <c r="C3412" s="54"/>
      <c r="D3412" s="21"/>
      <c r="E3412" s="22"/>
      <c r="F3412" s="23"/>
      <c r="G3412" s="47"/>
      <c r="H3412" s="21"/>
      <c r="I3412" s="48"/>
    </row>
    <row r="3413" spans="2:9" ht="14" thickBot="1" x14ac:dyDescent="0.2">
      <c r="B3413" s="1"/>
      <c r="C3413" s="1"/>
      <c r="D3413" s="1"/>
      <c r="E3413" s="1"/>
      <c r="F3413" s="1"/>
      <c r="G3413" s="1"/>
      <c r="H3413" s="37" t="s">
        <v>26</v>
      </c>
      <c r="I3413" s="163">
        <f>SUM(H3411:H3412)</f>
        <v>330</v>
      </c>
    </row>
    <row r="3414" spans="2:9" ht="14" thickBot="1" x14ac:dyDescent="0.2">
      <c r="B3414" s="28" t="s">
        <v>37</v>
      </c>
      <c r="C3414" s="28"/>
      <c r="D3414" s="1"/>
      <c r="E3414" s="1"/>
      <c r="F3414" s="1"/>
      <c r="G3414" s="1"/>
      <c r="H3414" s="1"/>
      <c r="I3414" s="1"/>
    </row>
    <row r="3415" spans="2:9" x14ac:dyDescent="0.15">
      <c r="B3415" s="51" t="s">
        <v>38</v>
      </c>
      <c r="C3415" s="86"/>
      <c r="D3415" s="31" t="s">
        <v>39</v>
      </c>
      <c r="E3415" s="209" t="s">
        <v>40</v>
      </c>
      <c r="F3415" s="19" t="s">
        <v>41</v>
      </c>
      <c r="G3415" s="31" t="s">
        <v>24</v>
      </c>
      <c r="H3415" s="208" t="s">
        <v>25</v>
      </c>
      <c r="I3415" s="43"/>
    </row>
    <row r="3416" spans="2:9" x14ac:dyDescent="0.15">
      <c r="B3416" s="4" t="s">
        <v>65</v>
      </c>
      <c r="C3416" s="24"/>
      <c r="D3416" s="32">
        <f>'MANO DE OBRA'!E15</f>
        <v>95333</v>
      </c>
      <c r="E3416" s="88">
        <v>1.75</v>
      </c>
      <c r="F3416" s="164">
        <f>+E3416*D3416</f>
        <v>166832.75</v>
      </c>
      <c r="G3416" s="79">
        <v>25</v>
      </c>
      <c r="H3416" s="169">
        <f>+F3416/G3416</f>
        <v>6673.31</v>
      </c>
      <c r="I3416" s="44"/>
    </row>
    <row r="3417" spans="2:9" x14ac:dyDescent="0.15">
      <c r="B3417" s="80" t="s">
        <v>55</v>
      </c>
      <c r="C3417" s="81"/>
      <c r="D3417" s="32">
        <f>'MANO DE OBRA'!E14*2</f>
        <v>104000</v>
      </c>
      <c r="E3417" s="88">
        <v>1.75</v>
      </c>
      <c r="F3417" s="166">
        <f>+E3417*D3417</f>
        <v>182000</v>
      </c>
      <c r="G3417" s="79">
        <v>25</v>
      </c>
      <c r="H3417" s="481">
        <f>+F3417/G3417</f>
        <v>7280</v>
      </c>
      <c r="I3417" s="44"/>
    </row>
    <row r="3418" spans="2:9" ht="14" thickBot="1" x14ac:dyDescent="0.2">
      <c r="B3418" s="33"/>
      <c r="C3418" s="34"/>
      <c r="D3418" s="22"/>
      <c r="E3418" s="21"/>
      <c r="F3418" s="22"/>
      <c r="G3418" s="23"/>
      <c r="H3418" s="47"/>
      <c r="I3418" s="48"/>
    </row>
    <row r="3419" spans="2:9" ht="14" thickBot="1" x14ac:dyDescent="0.2">
      <c r="B3419" s="1"/>
      <c r="C3419" s="1"/>
      <c r="D3419" s="1"/>
      <c r="E3419" s="1"/>
      <c r="F3419" s="1"/>
      <c r="G3419" s="1"/>
      <c r="H3419" s="37" t="s">
        <v>26</v>
      </c>
      <c r="I3419" s="177">
        <f>SUM(H3416:H3418)</f>
        <v>13953.310000000001</v>
      </c>
    </row>
    <row r="3420" spans="2:9" ht="14" thickBot="1" x14ac:dyDescent="0.2">
      <c r="B3420" s="1"/>
      <c r="C3420" s="1"/>
      <c r="D3420" s="1"/>
      <c r="E3420" s="1"/>
      <c r="F3420" s="1"/>
      <c r="G3420" s="1"/>
      <c r="H3420" s="61"/>
      <c r="I3420" s="1"/>
    </row>
    <row r="3421" spans="2:9" ht="15" thickBot="1" x14ac:dyDescent="0.2">
      <c r="B3421" s="1"/>
      <c r="C3421" s="1"/>
      <c r="D3421" s="1"/>
      <c r="E3421" s="1"/>
      <c r="F3421" s="35" t="s">
        <v>43</v>
      </c>
      <c r="G3421" s="16"/>
      <c r="H3421" s="16"/>
      <c r="I3421" s="477">
        <f>ROUND((I3400+I3408+I3413+I3419),0)</f>
        <v>20642</v>
      </c>
    </row>
    <row r="3422" spans="2:9" x14ac:dyDescent="0.15">
      <c r="B3422" s="12"/>
      <c r="C3422" s="12"/>
      <c r="D3422" s="1"/>
      <c r="E3422" s="1"/>
      <c r="F3422" s="1"/>
      <c r="G3422" s="1"/>
      <c r="H3422" s="172"/>
      <c r="I3422" s="172"/>
    </row>
    <row r="3423" spans="2:9" x14ac:dyDescent="0.15">
      <c r="B3423" s="16"/>
      <c r="C3423" s="16"/>
      <c r="D3423" s="16"/>
      <c r="E3423" s="16"/>
      <c r="F3423" s="16"/>
      <c r="G3423" s="61"/>
      <c r="H3423" s="173"/>
      <c r="I3423" s="172"/>
    </row>
    <row r="3424" spans="2:9" x14ac:dyDescent="0.15">
      <c r="B3424" s="1"/>
      <c r="C3424" s="1"/>
      <c r="D3424" s="1"/>
      <c r="E3424" s="1"/>
      <c r="F3424" s="1"/>
      <c r="G3424" s="161"/>
      <c r="H3424" s="172"/>
      <c r="I3424" s="172"/>
    </row>
    <row r="3425" spans="1:10" x14ac:dyDescent="0.15">
      <c r="B3425" s="1"/>
      <c r="C3425" s="1"/>
      <c r="D3425" s="1"/>
      <c r="E3425" s="1"/>
      <c r="F3425" s="1"/>
      <c r="G3425" s="161"/>
      <c r="H3425" s="172"/>
      <c r="I3425" s="172"/>
    </row>
    <row r="3426" spans="1:10" x14ac:dyDescent="0.15">
      <c r="B3426" s="1"/>
      <c r="C3426" s="1"/>
      <c r="D3426" s="1"/>
      <c r="E3426" s="1"/>
      <c r="F3426" s="1"/>
      <c r="G3426" s="161"/>
      <c r="H3426" s="172"/>
      <c r="I3426" s="172"/>
    </row>
    <row r="3427" spans="1:10" x14ac:dyDescent="0.15">
      <c r="B3427" s="1"/>
      <c r="C3427" s="1"/>
      <c r="D3427" s="1"/>
      <c r="E3427" s="1"/>
      <c r="F3427" s="1"/>
      <c r="G3427" s="1"/>
      <c r="H3427" s="37"/>
      <c r="I3427" s="172"/>
    </row>
    <row r="3428" spans="1:10" ht="14" x14ac:dyDescent="0.15">
      <c r="B3428" s="102"/>
      <c r="C3428" s="1"/>
      <c r="D3428" s="1"/>
      <c r="E3428" s="1"/>
      <c r="F3428" s="1"/>
      <c r="G3428" s="1"/>
      <c r="H3428" s="1"/>
      <c r="I3428" s="172"/>
    </row>
    <row r="3429" spans="1:10" ht="14" x14ac:dyDescent="0.15">
      <c r="B3429" s="83"/>
      <c r="C3429" s="11"/>
      <c r="D3429" s="1"/>
      <c r="E3429" s="916"/>
      <c r="F3429" s="916"/>
      <c r="G3429" s="916"/>
      <c r="H3429" s="916"/>
      <c r="I3429" s="171"/>
    </row>
    <row r="3430" spans="1:10" x14ac:dyDescent="0.15">
      <c r="B3430" s="11"/>
      <c r="C3430" s="11"/>
      <c r="D3430" s="1"/>
      <c r="E3430" s="155"/>
      <c r="F3430" s="155"/>
      <c r="G3430" s="155"/>
      <c r="H3430" s="155"/>
      <c r="I3430" s="171"/>
    </row>
    <row r="3431" spans="1:10" x14ac:dyDescent="0.15">
      <c r="B3431" s="11"/>
      <c r="C3431" s="11"/>
      <c r="D3431" s="1"/>
      <c r="E3431" s="155"/>
      <c r="F3431" s="155"/>
      <c r="G3431" s="155"/>
      <c r="H3431" s="155"/>
      <c r="I3431" s="171"/>
    </row>
    <row r="3432" spans="1:10" x14ac:dyDescent="0.15">
      <c r="B3432" s="11"/>
      <c r="C3432" s="11"/>
      <c r="D3432" s="1"/>
      <c r="E3432" s="155"/>
      <c r="F3432" s="155"/>
      <c r="G3432" s="155"/>
      <c r="H3432" s="155"/>
      <c r="I3432" s="171"/>
    </row>
    <row r="3433" spans="1:10" x14ac:dyDescent="0.15">
      <c r="B3433" s="11"/>
      <c r="C3433" s="11"/>
      <c r="D3433" s="1"/>
      <c r="E3433" s="155"/>
      <c r="F3433" s="155"/>
      <c r="G3433" s="155"/>
      <c r="H3433" s="155"/>
      <c r="I3433" s="171"/>
    </row>
    <row r="3434" spans="1:10" x14ac:dyDescent="0.15">
      <c r="B3434" s="11"/>
      <c r="C3434" s="11"/>
      <c r="D3434" s="1"/>
      <c r="E3434" s="155"/>
      <c r="F3434" s="155"/>
      <c r="G3434" s="155"/>
      <c r="H3434" s="155"/>
      <c r="I3434" s="171"/>
    </row>
    <row r="3435" spans="1:10" x14ac:dyDescent="0.15">
      <c r="B3435" s="11"/>
      <c r="C3435" s="11"/>
      <c r="D3435" s="1"/>
      <c r="E3435" s="155"/>
      <c r="F3435" s="155"/>
      <c r="G3435" s="155"/>
      <c r="H3435" s="155"/>
      <c r="I3435" s="171"/>
    </row>
    <row r="3436" spans="1:10" x14ac:dyDescent="0.15">
      <c r="B3436" s="11"/>
      <c r="C3436" s="11"/>
      <c r="D3436" s="1"/>
      <c r="E3436" s="155"/>
      <c r="F3436" s="155"/>
      <c r="G3436" s="155"/>
      <c r="H3436" s="155"/>
      <c r="I3436" s="171"/>
    </row>
    <row r="3437" spans="1:10" ht="14" x14ac:dyDescent="0.15">
      <c r="A3437" s="85"/>
      <c r="B3437" s="102"/>
      <c r="C3437" s="83"/>
      <c r="D3437" s="84"/>
      <c r="E3437" s="83"/>
      <c r="F3437" s="83"/>
      <c r="G3437" s="103"/>
      <c r="H3437" s="83"/>
      <c r="I3437" s="85"/>
      <c r="J3437" s="85"/>
    </row>
    <row r="3438" spans="1:10" ht="14" x14ac:dyDescent="0.15">
      <c r="A3438" s="85"/>
      <c r="B3438" s="102"/>
      <c r="C3438" s="83"/>
      <c r="D3438" s="84"/>
      <c r="E3438" s="83"/>
      <c r="F3438" s="83"/>
      <c r="G3438" s="103"/>
      <c r="H3438" s="83"/>
      <c r="I3438" s="85"/>
      <c r="J3438" s="85"/>
    </row>
    <row r="3439" spans="1:10" ht="14" x14ac:dyDescent="0.15">
      <c r="A3439" s="85"/>
      <c r="B3439" s="83"/>
      <c r="C3439" s="83"/>
      <c r="D3439" s="84"/>
      <c r="E3439" s="83"/>
      <c r="F3439" s="83"/>
      <c r="G3439" s="104"/>
      <c r="H3439" s="83"/>
      <c r="I3439" s="85"/>
      <c r="J3439" s="85"/>
    </row>
    <row r="3440" spans="1:10" x14ac:dyDescent="0.15">
      <c r="B3440" s="11"/>
      <c r="C3440" s="11"/>
      <c r="D3440" s="1"/>
      <c r="E3440" s="155"/>
      <c r="F3440" s="155"/>
      <c r="G3440" s="155"/>
      <c r="H3440" s="155"/>
      <c r="I3440" s="171"/>
    </row>
    <row r="3441" spans="2:9" ht="14" thickBot="1" x14ac:dyDescent="0.2"/>
    <row r="3442" spans="2:9" ht="21" customHeight="1" x14ac:dyDescent="0.15">
      <c r="B3442" s="885" t="s">
        <v>874</v>
      </c>
      <c r="C3442" s="886"/>
      <c r="D3442" s="886"/>
      <c r="E3442" s="886"/>
      <c r="F3442" s="887"/>
      <c r="G3442" s="1"/>
      <c r="H3442" s="879" t="s">
        <v>20</v>
      </c>
      <c r="I3442" s="880"/>
    </row>
    <row r="3443" spans="2:9" ht="16.5" customHeight="1" x14ac:dyDescent="0.15">
      <c r="B3443" s="888" t="s">
        <v>875</v>
      </c>
      <c r="C3443" s="889"/>
      <c r="D3443" s="889"/>
      <c r="E3443" s="889"/>
      <c r="F3443" s="890"/>
      <c r="G3443" s="63"/>
      <c r="H3443" s="881"/>
      <c r="I3443" s="882"/>
    </row>
    <row r="3444" spans="2:9" ht="12.75" customHeight="1" x14ac:dyDescent="0.15">
      <c r="B3444" s="906" t="s">
        <v>876</v>
      </c>
      <c r="C3444" s="907"/>
      <c r="D3444" s="907"/>
      <c r="E3444" s="907"/>
      <c r="F3444" s="908"/>
      <c r="G3444" s="63"/>
      <c r="H3444" s="883"/>
      <c r="I3444" s="884"/>
    </row>
    <row r="3445" spans="2:9" ht="16.5" customHeight="1" thickBot="1" x14ac:dyDescent="0.2">
      <c r="B3445" s="909"/>
      <c r="C3445" s="910"/>
      <c r="D3445" s="910"/>
      <c r="E3445" s="910"/>
      <c r="F3445" s="911"/>
      <c r="G3445" s="1"/>
      <c r="H3445" s="972" t="s">
        <v>1286</v>
      </c>
      <c r="I3445" s="973"/>
    </row>
    <row r="3446" spans="2:9" ht="14" thickBot="1" x14ac:dyDescent="0.2">
      <c r="B3446" s="15"/>
      <c r="C3446" s="16"/>
      <c r="D3446" s="1"/>
      <c r="E3446" s="1"/>
      <c r="F3446" s="1"/>
      <c r="G3446" s="1"/>
      <c r="H3446" s="974"/>
      <c r="I3446" s="975"/>
    </row>
    <row r="3447" spans="2:9" ht="12.75" customHeight="1" x14ac:dyDescent="0.15">
      <c r="B3447" s="922" t="s">
        <v>836</v>
      </c>
      <c r="C3447" s="923"/>
      <c r="D3447" s="923"/>
      <c r="E3447" s="923"/>
      <c r="F3447" s="924"/>
      <c r="G3447" s="1"/>
      <c r="H3447" s="974"/>
      <c r="I3447" s="975"/>
    </row>
    <row r="3448" spans="2:9" ht="12.75" customHeight="1" x14ac:dyDescent="0.15">
      <c r="B3448" s="925"/>
      <c r="C3448" s="926"/>
      <c r="D3448" s="926"/>
      <c r="E3448" s="926"/>
      <c r="F3448" s="927"/>
      <c r="H3448" s="974"/>
      <c r="I3448" s="975"/>
    </row>
    <row r="3449" spans="2:9" ht="13.5" customHeight="1" x14ac:dyDescent="0.15">
      <c r="B3449" s="925"/>
      <c r="C3449" s="926"/>
      <c r="D3449" s="926"/>
      <c r="E3449" s="926"/>
      <c r="F3449" s="927"/>
      <c r="G3449" s="11"/>
      <c r="H3449" s="976"/>
      <c r="I3449" s="977"/>
    </row>
    <row r="3450" spans="2:9" ht="21.75" customHeight="1" thickBot="1" x14ac:dyDescent="0.2">
      <c r="B3450" s="928"/>
      <c r="C3450" s="929"/>
      <c r="D3450" s="929"/>
      <c r="E3450" s="929"/>
      <c r="F3450" s="930"/>
      <c r="H3450" s="64" t="s">
        <v>45</v>
      </c>
      <c r="I3450" s="17" t="s">
        <v>7</v>
      </c>
    </row>
    <row r="3451" spans="2:9" x14ac:dyDescent="0.15">
      <c r="B3451" s="18"/>
      <c r="C3451" s="18"/>
      <c r="D3451" s="1"/>
      <c r="E3451" s="18"/>
      <c r="F3451" s="18"/>
      <c r="G3451" s="18"/>
      <c r="H3451" s="18"/>
      <c r="I3451" s="1"/>
    </row>
    <row r="3452" spans="2:9" ht="14" thickBot="1" x14ac:dyDescent="0.2">
      <c r="B3452" s="12" t="s">
        <v>21</v>
      </c>
      <c r="C3452" s="12"/>
      <c r="D3452" s="1"/>
      <c r="E3452" s="1"/>
      <c r="F3452" s="1"/>
      <c r="G3452" s="1"/>
      <c r="H3452" s="1"/>
      <c r="I3452" s="1"/>
    </row>
    <row r="3453" spans="2:9" x14ac:dyDescent="0.15">
      <c r="B3453" s="903" t="s">
        <v>22</v>
      </c>
      <c r="C3453" s="904"/>
      <c r="D3453" s="905"/>
      <c r="E3453" s="209" t="s">
        <v>23</v>
      </c>
      <c r="F3453" s="19" t="s">
        <v>47</v>
      </c>
      <c r="G3453" s="209" t="s">
        <v>24</v>
      </c>
      <c r="H3453" s="208" t="s">
        <v>25</v>
      </c>
      <c r="I3453" s="43"/>
    </row>
    <row r="3454" spans="2:9" x14ac:dyDescent="0.15">
      <c r="B3454" s="897" t="s">
        <v>56</v>
      </c>
      <c r="C3454" s="898"/>
      <c r="D3454" s="899"/>
      <c r="E3454" s="5"/>
      <c r="F3454" s="162"/>
      <c r="G3454" s="58"/>
      <c r="H3454" s="162">
        <f>I3475*0.05</f>
        <v>697.66550000000007</v>
      </c>
      <c r="I3454" s="44"/>
    </row>
    <row r="3455" spans="2:9" ht="14" thickBot="1" x14ac:dyDescent="0.2">
      <c r="B3455" s="900"/>
      <c r="C3455" s="901"/>
      <c r="D3455" s="902"/>
      <c r="E3455" s="21"/>
      <c r="F3455" s="22"/>
      <c r="G3455" s="23"/>
      <c r="H3455" s="47"/>
      <c r="I3455" s="48"/>
    </row>
    <row r="3456" spans="2:9" ht="14" thickBot="1" x14ac:dyDescent="0.2">
      <c r="B3456" s="1"/>
      <c r="C3456" s="1"/>
      <c r="D3456" s="1"/>
      <c r="E3456" s="1"/>
      <c r="F3456" s="1"/>
      <c r="G3456" s="1"/>
      <c r="H3456" s="37" t="s">
        <v>26</v>
      </c>
      <c r="I3456" s="163">
        <f>SUM(H3454:H3455)</f>
        <v>697.66550000000007</v>
      </c>
    </row>
    <row r="3457" spans="2:9" ht="14" thickBot="1" x14ac:dyDescent="0.2">
      <c r="B3457" s="12" t="s">
        <v>27</v>
      </c>
      <c r="C3457" s="12"/>
      <c r="D3457" s="1"/>
      <c r="E3457" s="1"/>
      <c r="F3457" s="1"/>
      <c r="G3457" s="1"/>
      <c r="H3457" s="1"/>
      <c r="I3457" s="1"/>
    </row>
    <row r="3458" spans="2:9" x14ac:dyDescent="0.15">
      <c r="B3458" s="903" t="s">
        <v>22</v>
      </c>
      <c r="C3458" s="904"/>
      <c r="D3458" s="905"/>
      <c r="E3458" s="209" t="s">
        <v>28</v>
      </c>
      <c r="F3458" s="209" t="s">
        <v>29</v>
      </c>
      <c r="G3458" s="209" t="s">
        <v>30</v>
      </c>
      <c r="H3458" s="208" t="s">
        <v>25</v>
      </c>
      <c r="I3458" s="43"/>
    </row>
    <row r="3459" spans="2:9" x14ac:dyDescent="0.15">
      <c r="B3459" s="4" t="s">
        <v>279</v>
      </c>
      <c r="C3459" s="24"/>
      <c r="D3459" s="6"/>
      <c r="E3459" s="3" t="s">
        <v>193</v>
      </c>
      <c r="F3459" s="164">
        <f>MATERIALES!C71</f>
        <v>5350</v>
      </c>
      <c r="G3459" s="65">
        <v>1</v>
      </c>
      <c r="H3459" s="165">
        <f t="shared" ref="H3459:H3462" si="14">G3459*F3459</f>
        <v>5350</v>
      </c>
      <c r="I3459" s="44"/>
    </row>
    <row r="3460" spans="2:9" x14ac:dyDescent="0.15">
      <c r="B3460" s="4" t="s">
        <v>280</v>
      </c>
      <c r="C3460" s="24"/>
      <c r="D3460" s="6"/>
      <c r="E3460" s="3" t="s">
        <v>319</v>
      </c>
      <c r="F3460" s="164">
        <f>MATERIALES!C72</f>
        <v>1995</v>
      </c>
      <c r="G3460" s="65">
        <v>0.2</v>
      </c>
      <c r="H3460" s="165">
        <f t="shared" si="14"/>
        <v>399</v>
      </c>
      <c r="I3460" s="44"/>
    </row>
    <row r="3461" spans="2:9" x14ac:dyDescent="0.15">
      <c r="B3461" s="4" t="s">
        <v>281</v>
      </c>
      <c r="C3461" s="24"/>
      <c r="D3461" s="6"/>
      <c r="E3461" s="3" t="s">
        <v>319</v>
      </c>
      <c r="F3461" s="164">
        <f>MATERIALES!C73</f>
        <v>3780</v>
      </c>
      <c r="G3461" s="65">
        <v>0.2</v>
      </c>
      <c r="H3461" s="165">
        <f t="shared" si="14"/>
        <v>756</v>
      </c>
      <c r="I3461" s="44"/>
    </row>
    <row r="3462" spans="2:9" x14ac:dyDescent="0.15">
      <c r="B3462" s="4" t="s">
        <v>698</v>
      </c>
      <c r="C3462" s="24"/>
      <c r="D3462" s="6"/>
      <c r="E3462" s="3" t="s">
        <v>77</v>
      </c>
      <c r="F3462" s="164">
        <f>MATERIALES!C27</f>
        <v>286200</v>
      </c>
      <c r="G3462" s="678">
        <v>2.5000000000000001E-3</v>
      </c>
      <c r="H3462" s="165">
        <f t="shared" si="14"/>
        <v>715.5</v>
      </c>
      <c r="I3462" s="44"/>
    </row>
    <row r="3463" spans="2:9" ht="14" thickBot="1" x14ac:dyDescent="0.2">
      <c r="B3463" s="25"/>
      <c r="C3463" s="26"/>
      <c r="D3463" s="27"/>
      <c r="E3463" s="21"/>
      <c r="F3463" s="22"/>
      <c r="G3463" s="167"/>
      <c r="H3463" s="47"/>
      <c r="I3463" s="48"/>
    </row>
    <row r="3464" spans="2:9" ht="14" thickBot="1" x14ac:dyDescent="0.2">
      <c r="B3464" s="1"/>
      <c r="C3464" s="1"/>
      <c r="D3464" s="1"/>
      <c r="E3464" s="1"/>
      <c r="F3464" s="1"/>
      <c r="G3464" s="1"/>
      <c r="H3464" s="37" t="s">
        <v>26</v>
      </c>
      <c r="I3464" s="163">
        <f>SUM(H3459:H3462)</f>
        <v>7220.5</v>
      </c>
    </row>
    <row r="3465" spans="2:9" ht="14" thickBot="1" x14ac:dyDescent="0.2">
      <c r="B3465" s="28" t="s">
        <v>31</v>
      </c>
      <c r="C3465" s="28"/>
      <c r="D3465" s="26"/>
      <c r="E3465" s="1"/>
      <c r="F3465" s="1"/>
      <c r="G3465" s="1"/>
      <c r="H3465" s="1"/>
      <c r="I3465" s="1"/>
    </row>
    <row r="3466" spans="2:9" x14ac:dyDescent="0.15">
      <c r="B3466" s="51" t="s">
        <v>32</v>
      </c>
      <c r="C3466" s="52"/>
      <c r="D3466" s="97" t="s">
        <v>33</v>
      </c>
      <c r="E3466" s="209" t="s">
        <v>34</v>
      </c>
      <c r="F3466" s="209" t="s">
        <v>35</v>
      </c>
      <c r="G3466" s="209" t="s">
        <v>36</v>
      </c>
      <c r="H3466" s="59" t="s">
        <v>25</v>
      </c>
      <c r="I3466" s="43"/>
    </row>
    <row r="3467" spans="2:9" x14ac:dyDescent="0.15">
      <c r="B3467" s="4" t="s">
        <v>79</v>
      </c>
      <c r="C3467" s="6"/>
      <c r="D3467" s="53">
        <v>0.02</v>
      </c>
      <c r="E3467" s="2">
        <v>15</v>
      </c>
      <c r="F3467" s="2">
        <f>E3467*D3467</f>
        <v>0.3</v>
      </c>
      <c r="G3467" s="162">
        <v>1100</v>
      </c>
      <c r="H3467" s="20">
        <f>G3467*F3467</f>
        <v>330</v>
      </c>
      <c r="I3467" s="44"/>
    </row>
    <row r="3468" spans="2:9" ht="14" thickBot="1" x14ac:dyDescent="0.2">
      <c r="B3468" s="33"/>
      <c r="C3468" s="54"/>
      <c r="D3468" s="21"/>
      <c r="E3468" s="22"/>
      <c r="F3468" s="23"/>
      <c r="G3468" s="47"/>
      <c r="H3468" s="21"/>
      <c r="I3468" s="48"/>
    </row>
    <row r="3469" spans="2:9" ht="14" thickBot="1" x14ac:dyDescent="0.2">
      <c r="B3469" s="1"/>
      <c r="C3469" s="1"/>
      <c r="D3469" s="1"/>
      <c r="E3469" s="1"/>
      <c r="F3469" s="1"/>
      <c r="G3469" s="1"/>
      <c r="H3469" s="37" t="s">
        <v>26</v>
      </c>
      <c r="I3469" s="163">
        <f>SUM(H3467:H3468)</f>
        <v>330</v>
      </c>
    </row>
    <row r="3470" spans="2:9" ht="14" thickBot="1" x14ac:dyDescent="0.2">
      <c r="B3470" s="28" t="s">
        <v>37</v>
      </c>
      <c r="C3470" s="28"/>
      <c r="D3470" s="1"/>
      <c r="E3470" s="1"/>
      <c r="F3470" s="1"/>
      <c r="G3470" s="1"/>
      <c r="H3470" s="1"/>
      <c r="I3470" s="1"/>
    </row>
    <row r="3471" spans="2:9" x14ac:dyDescent="0.15">
      <c r="B3471" s="51" t="s">
        <v>38</v>
      </c>
      <c r="C3471" s="86"/>
      <c r="D3471" s="31" t="s">
        <v>39</v>
      </c>
      <c r="E3471" s="209" t="s">
        <v>40</v>
      </c>
      <c r="F3471" s="19" t="s">
        <v>41</v>
      </c>
      <c r="G3471" s="31" t="s">
        <v>24</v>
      </c>
      <c r="H3471" s="208" t="s">
        <v>25</v>
      </c>
      <c r="I3471" s="43"/>
    </row>
    <row r="3472" spans="2:9" x14ac:dyDescent="0.15">
      <c r="B3472" s="4" t="s">
        <v>65</v>
      </c>
      <c r="C3472" s="24"/>
      <c r="D3472" s="32">
        <f>'MANO DE OBRA'!E15</f>
        <v>95333</v>
      </c>
      <c r="E3472" s="88">
        <v>1.75</v>
      </c>
      <c r="F3472" s="164">
        <f>+E3472*D3472</f>
        <v>166832.75</v>
      </c>
      <c r="G3472" s="79">
        <v>25</v>
      </c>
      <c r="H3472" s="169">
        <f>+F3472/G3472</f>
        <v>6673.31</v>
      </c>
      <c r="I3472" s="44"/>
    </row>
    <row r="3473" spans="2:9" x14ac:dyDescent="0.15">
      <c r="B3473" s="80" t="s">
        <v>55</v>
      </c>
      <c r="C3473" s="81"/>
      <c r="D3473" s="32">
        <f>'MANO DE OBRA'!E14*2</f>
        <v>104000</v>
      </c>
      <c r="E3473" s="88">
        <v>1.75</v>
      </c>
      <c r="F3473" s="166">
        <f>+E3473*D3473</f>
        <v>182000</v>
      </c>
      <c r="G3473" s="79">
        <v>25</v>
      </c>
      <c r="H3473" s="481">
        <f>+F3473/G3473</f>
        <v>7280</v>
      </c>
      <c r="I3473" s="44"/>
    </row>
    <row r="3474" spans="2:9" ht="14" thickBot="1" x14ac:dyDescent="0.2">
      <c r="B3474" s="33"/>
      <c r="C3474" s="34"/>
      <c r="D3474" s="22"/>
      <c r="E3474" s="21"/>
      <c r="F3474" s="22"/>
      <c r="G3474" s="23"/>
      <c r="H3474" s="47"/>
      <c r="I3474" s="48"/>
    </row>
    <row r="3475" spans="2:9" ht="14" thickBot="1" x14ac:dyDescent="0.2">
      <c r="B3475" s="1"/>
      <c r="C3475" s="1"/>
      <c r="D3475" s="1"/>
      <c r="E3475" s="1"/>
      <c r="F3475" s="1"/>
      <c r="G3475" s="1"/>
      <c r="H3475" s="37" t="s">
        <v>26</v>
      </c>
      <c r="I3475" s="177">
        <f>SUM(H3472:H3474)</f>
        <v>13953.310000000001</v>
      </c>
    </row>
    <row r="3476" spans="2:9" ht="14" thickBot="1" x14ac:dyDescent="0.2">
      <c r="B3476" s="1"/>
      <c r="C3476" s="1"/>
      <c r="D3476" s="1"/>
      <c r="E3476" s="1"/>
      <c r="F3476" s="1"/>
      <c r="G3476" s="1"/>
      <c r="H3476" s="61"/>
      <c r="I3476" s="1"/>
    </row>
    <row r="3477" spans="2:9" ht="15" thickBot="1" x14ac:dyDescent="0.2">
      <c r="B3477" s="1"/>
      <c r="C3477" s="1"/>
      <c r="D3477" s="1"/>
      <c r="E3477" s="1"/>
      <c r="F3477" s="35" t="s">
        <v>43</v>
      </c>
      <c r="G3477" s="16"/>
      <c r="H3477" s="16"/>
      <c r="I3477" s="477">
        <f>ROUND((I3456+I3464+I3469+I3475),0)</f>
        <v>22201</v>
      </c>
    </row>
    <row r="3478" spans="2:9" x14ac:dyDescent="0.15">
      <c r="B3478" s="12"/>
      <c r="C3478" s="12"/>
      <c r="D3478" s="1"/>
      <c r="E3478" s="1"/>
      <c r="F3478" s="1"/>
      <c r="G3478" s="1"/>
      <c r="H3478" s="172"/>
      <c r="I3478" s="172"/>
    </row>
    <row r="3479" spans="2:9" x14ac:dyDescent="0.15">
      <c r="B3479" s="16"/>
      <c r="C3479" s="16"/>
      <c r="D3479" s="16"/>
      <c r="E3479" s="16"/>
      <c r="F3479" s="16"/>
      <c r="G3479" s="61"/>
      <c r="H3479" s="173"/>
      <c r="I3479" s="172"/>
    </row>
    <row r="3480" spans="2:9" x14ac:dyDescent="0.15">
      <c r="B3480" s="1"/>
      <c r="C3480" s="1"/>
      <c r="D3480" s="1"/>
      <c r="E3480" s="1"/>
      <c r="F3480" s="1"/>
      <c r="G3480" s="161"/>
      <c r="H3480" s="172"/>
      <c r="I3480" s="172"/>
    </row>
    <row r="3481" spans="2:9" x14ac:dyDescent="0.15">
      <c r="B3481" s="1"/>
      <c r="C3481" s="1"/>
      <c r="D3481" s="1"/>
      <c r="E3481" s="1"/>
      <c r="F3481" s="1"/>
      <c r="G3481" s="161"/>
      <c r="H3481" s="172"/>
      <c r="I3481" s="172"/>
    </row>
    <row r="3482" spans="2:9" x14ac:dyDescent="0.15">
      <c r="B3482" s="1"/>
      <c r="C3482" s="1"/>
      <c r="D3482" s="1"/>
      <c r="E3482" s="1"/>
      <c r="F3482" s="1"/>
      <c r="G3482" s="161"/>
      <c r="H3482" s="172"/>
      <c r="I3482" s="172"/>
    </row>
    <row r="3483" spans="2:9" x14ac:dyDescent="0.15">
      <c r="B3483" s="1"/>
      <c r="C3483" s="1"/>
      <c r="D3483" s="1"/>
      <c r="E3483" s="1"/>
      <c r="F3483" s="1"/>
      <c r="G3483" s="1"/>
      <c r="H3483" s="37"/>
      <c r="I3483" s="172"/>
    </row>
    <row r="3484" spans="2:9" ht="14" x14ac:dyDescent="0.15">
      <c r="B3484" s="102"/>
      <c r="C3484" s="1"/>
      <c r="D3484" s="1"/>
      <c r="E3484" s="1"/>
      <c r="F3484" s="1"/>
      <c r="G3484" s="1"/>
      <c r="H3484" s="1"/>
      <c r="I3484" s="172"/>
    </row>
    <row r="3485" spans="2:9" ht="14" x14ac:dyDescent="0.15">
      <c r="B3485" s="83"/>
      <c r="C3485" s="11"/>
      <c r="D3485" s="1"/>
      <c r="E3485" s="916"/>
      <c r="F3485" s="916"/>
      <c r="G3485" s="916"/>
      <c r="H3485" s="916"/>
      <c r="I3485" s="171"/>
    </row>
    <row r="3486" spans="2:9" x14ac:dyDescent="0.15">
      <c r="B3486" s="11"/>
      <c r="C3486" s="11"/>
      <c r="D3486" s="1"/>
      <c r="E3486" s="155"/>
      <c r="F3486" s="155"/>
      <c r="G3486" s="155"/>
      <c r="H3486" s="155"/>
      <c r="I3486" s="171"/>
    </row>
    <row r="3487" spans="2:9" x14ac:dyDescent="0.15">
      <c r="B3487" s="11"/>
      <c r="C3487" s="11"/>
      <c r="D3487" s="1"/>
      <c r="E3487" s="155"/>
      <c r="F3487" s="155"/>
      <c r="G3487" s="155"/>
      <c r="H3487" s="155"/>
      <c r="I3487" s="171"/>
    </row>
    <row r="3488" spans="2:9" x14ac:dyDescent="0.15">
      <c r="B3488" s="11"/>
      <c r="C3488" s="11"/>
      <c r="D3488" s="1"/>
      <c r="E3488" s="155"/>
      <c r="F3488" s="155"/>
      <c r="G3488" s="155"/>
      <c r="H3488" s="155"/>
      <c r="I3488" s="171"/>
    </row>
    <row r="3489" spans="1:10" x14ac:dyDescent="0.15">
      <c r="B3489" s="11"/>
      <c r="C3489" s="11"/>
      <c r="D3489" s="1"/>
      <c r="E3489" s="155"/>
      <c r="F3489" s="155"/>
      <c r="G3489" s="155"/>
      <c r="H3489" s="155"/>
      <c r="I3489" s="171"/>
    </row>
    <row r="3490" spans="1:10" x14ac:dyDescent="0.15">
      <c r="B3490" s="11"/>
      <c r="C3490" s="11"/>
      <c r="D3490" s="1"/>
      <c r="E3490" s="155"/>
      <c r="F3490" s="155"/>
      <c r="G3490" s="155"/>
      <c r="H3490" s="155"/>
      <c r="I3490" s="171"/>
    </row>
    <row r="3491" spans="1:10" x14ac:dyDescent="0.15">
      <c r="B3491" s="11"/>
      <c r="C3491" s="11"/>
      <c r="D3491" s="1"/>
      <c r="E3491" s="155"/>
      <c r="F3491" s="155"/>
      <c r="G3491" s="155"/>
      <c r="H3491" s="155"/>
      <c r="I3491" s="171"/>
    </row>
    <row r="3492" spans="1:10" x14ac:dyDescent="0.15">
      <c r="B3492" s="11"/>
      <c r="C3492" s="11"/>
      <c r="D3492" s="1"/>
      <c r="E3492" s="155"/>
      <c r="F3492" s="155"/>
      <c r="G3492" s="155"/>
      <c r="H3492" s="155"/>
      <c r="I3492" s="171"/>
    </row>
    <row r="3493" spans="1:10" x14ac:dyDescent="0.15">
      <c r="B3493" s="11"/>
      <c r="C3493" s="11"/>
      <c r="D3493" s="1"/>
      <c r="E3493" s="155"/>
      <c r="F3493" s="155"/>
      <c r="G3493" s="155"/>
      <c r="H3493" s="155"/>
      <c r="I3493" s="171"/>
    </row>
    <row r="3494" spans="1:10" ht="14" x14ac:dyDescent="0.15">
      <c r="A3494" s="85"/>
      <c r="B3494" s="102"/>
      <c r="C3494" s="83"/>
      <c r="D3494" s="84"/>
      <c r="E3494" s="83"/>
      <c r="F3494" s="83"/>
      <c r="G3494" s="103"/>
      <c r="H3494" s="83"/>
      <c r="I3494" s="85"/>
      <c r="J3494" s="85"/>
    </row>
    <row r="3495" spans="1:10" ht="14" x14ac:dyDescent="0.15">
      <c r="A3495" s="85"/>
      <c r="B3495" s="83"/>
      <c r="C3495" s="83"/>
      <c r="D3495" s="84"/>
      <c r="E3495" s="83"/>
      <c r="F3495" s="83"/>
      <c r="G3495" s="104"/>
      <c r="H3495" s="83"/>
      <c r="I3495" s="85"/>
      <c r="J3495" s="85"/>
    </row>
    <row r="3496" spans="1:10" x14ac:dyDescent="0.15">
      <c r="B3496" s="11"/>
      <c r="C3496" s="11"/>
      <c r="D3496" s="1"/>
      <c r="E3496" s="155"/>
      <c r="F3496" s="155"/>
      <c r="G3496" s="155"/>
      <c r="H3496" s="155"/>
      <c r="I3496" s="171"/>
    </row>
    <row r="3497" spans="1:10" ht="14" thickBot="1" x14ac:dyDescent="0.2"/>
    <row r="3498" spans="1:10" ht="21" customHeight="1" x14ac:dyDescent="0.15">
      <c r="B3498" s="885" t="s">
        <v>874</v>
      </c>
      <c r="C3498" s="886"/>
      <c r="D3498" s="886"/>
      <c r="E3498" s="886"/>
      <c r="F3498" s="887"/>
      <c r="G3498" s="1"/>
      <c r="H3498" s="879" t="s">
        <v>20</v>
      </c>
      <c r="I3498" s="880"/>
    </row>
    <row r="3499" spans="1:10" ht="16.5" customHeight="1" x14ac:dyDescent="0.15">
      <c r="B3499" s="888" t="s">
        <v>875</v>
      </c>
      <c r="C3499" s="889"/>
      <c r="D3499" s="889"/>
      <c r="E3499" s="889"/>
      <c r="F3499" s="890"/>
      <c r="G3499" s="63"/>
      <c r="H3499" s="881"/>
      <c r="I3499" s="882"/>
    </row>
    <row r="3500" spans="1:10" ht="12.75" customHeight="1" x14ac:dyDescent="0.15">
      <c r="B3500" s="906" t="s">
        <v>876</v>
      </c>
      <c r="C3500" s="907"/>
      <c r="D3500" s="907"/>
      <c r="E3500" s="907"/>
      <c r="F3500" s="908"/>
      <c r="G3500" s="63"/>
      <c r="H3500" s="883"/>
      <c r="I3500" s="884"/>
    </row>
    <row r="3501" spans="1:10" ht="16.5" customHeight="1" thickBot="1" x14ac:dyDescent="0.2">
      <c r="B3501" s="909"/>
      <c r="C3501" s="910"/>
      <c r="D3501" s="910"/>
      <c r="E3501" s="910"/>
      <c r="F3501" s="911"/>
      <c r="G3501" s="1"/>
      <c r="H3501" s="972" t="s">
        <v>1287</v>
      </c>
      <c r="I3501" s="973"/>
    </row>
    <row r="3502" spans="1:10" ht="13.5" customHeight="1" thickBot="1" x14ac:dyDescent="0.2">
      <c r="B3502" s="15"/>
      <c r="C3502" s="16"/>
      <c r="D3502" s="1"/>
      <c r="E3502" s="1"/>
      <c r="F3502" s="1"/>
      <c r="G3502" s="1"/>
      <c r="H3502" s="974"/>
      <c r="I3502" s="975"/>
    </row>
    <row r="3503" spans="1:10" ht="12.75" customHeight="1" x14ac:dyDescent="0.15">
      <c r="B3503" s="922" t="s">
        <v>836</v>
      </c>
      <c r="C3503" s="923"/>
      <c r="D3503" s="923"/>
      <c r="E3503" s="923"/>
      <c r="F3503" s="924"/>
      <c r="G3503" s="1"/>
      <c r="H3503" s="974"/>
      <c r="I3503" s="975"/>
    </row>
    <row r="3504" spans="1:10" ht="12.75" customHeight="1" x14ac:dyDescent="0.15">
      <c r="B3504" s="925"/>
      <c r="C3504" s="926"/>
      <c r="D3504" s="926"/>
      <c r="E3504" s="926"/>
      <c r="F3504" s="927"/>
      <c r="H3504" s="974"/>
      <c r="I3504" s="975"/>
    </row>
    <row r="3505" spans="2:9" ht="13.5" customHeight="1" x14ac:dyDescent="0.15">
      <c r="B3505" s="925"/>
      <c r="C3505" s="926"/>
      <c r="D3505" s="926"/>
      <c r="E3505" s="926"/>
      <c r="F3505" s="927"/>
      <c r="G3505" s="11"/>
      <c r="H3505" s="976"/>
      <c r="I3505" s="977"/>
    </row>
    <row r="3506" spans="2:9" ht="21.75" customHeight="1" thickBot="1" x14ac:dyDescent="0.2">
      <c r="B3506" s="928"/>
      <c r="C3506" s="929"/>
      <c r="D3506" s="929"/>
      <c r="E3506" s="929"/>
      <c r="F3506" s="930"/>
      <c r="H3506" s="64" t="s">
        <v>45</v>
      </c>
      <c r="I3506" s="17" t="s">
        <v>319</v>
      </c>
    </row>
    <row r="3507" spans="2:9" x14ac:dyDescent="0.15">
      <c r="B3507" s="18"/>
      <c r="C3507" s="18"/>
      <c r="D3507" s="1"/>
      <c r="E3507" s="18"/>
      <c r="F3507" s="18"/>
      <c r="G3507" s="18"/>
      <c r="H3507" s="18"/>
      <c r="I3507" s="1"/>
    </row>
    <row r="3508" spans="2:9" ht="14" thickBot="1" x14ac:dyDescent="0.2">
      <c r="B3508" s="12" t="s">
        <v>21</v>
      </c>
      <c r="C3508" s="12"/>
      <c r="D3508" s="1"/>
      <c r="E3508" s="1"/>
      <c r="F3508" s="1"/>
      <c r="G3508" s="1"/>
      <c r="H3508" s="1"/>
      <c r="I3508" s="1"/>
    </row>
    <row r="3509" spans="2:9" x14ac:dyDescent="0.15">
      <c r="B3509" s="903" t="s">
        <v>22</v>
      </c>
      <c r="C3509" s="904"/>
      <c r="D3509" s="905"/>
      <c r="E3509" s="209" t="s">
        <v>23</v>
      </c>
      <c r="F3509" s="19" t="s">
        <v>47</v>
      </c>
      <c r="G3509" s="209" t="s">
        <v>24</v>
      </c>
      <c r="H3509" s="208" t="s">
        <v>25</v>
      </c>
      <c r="I3509" s="43"/>
    </row>
    <row r="3510" spans="2:9" x14ac:dyDescent="0.15">
      <c r="B3510" s="897" t="s">
        <v>56</v>
      </c>
      <c r="C3510" s="898"/>
      <c r="D3510" s="899"/>
      <c r="E3510" s="5"/>
      <c r="F3510" s="162"/>
      <c r="G3510" s="58"/>
      <c r="H3510" s="162">
        <f>I3529*0.05</f>
        <v>3222.9093750000002</v>
      </c>
      <c r="I3510" s="44"/>
    </row>
    <row r="3511" spans="2:9" ht="14" thickBot="1" x14ac:dyDescent="0.2">
      <c r="B3511" s="900"/>
      <c r="C3511" s="901"/>
      <c r="D3511" s="902"/>
      <c r="E3511" s="21"/>
      <c r="F3511" s="22"/>
      <c r="G3511" s="23"/>
      <c r="H3511" s="47"/>
      <c r="I3511" s="48"/>
    </row>
    <row r="3512" spans="2:9" ht="14" thickBot="1" x14ac:dyDescent="0.2">
      <c r="B3512" s="1"/>
      <c r="C3512" s="1"/>
      <c r="D3512" s="1"/>
      <c r="E3512" s="1"/>
      <c r="F3512" s="1"/>
      <c r="G3512" s="1"/>
      <c r="H3512" s="37" t="s">
        <v>26</v>
      </c>
      <c r="I3512" s="163">
        <f>SUM(H3510:H3511)</f>
        <v>3222.9093750000002</v>
      </c>
    </row>
    <row r="3513" spans="2:9" ht="14" thickBot="1" x14ac:dyDescent="0.2">
      <c r="B3513" s="12" t="s">
        <v>27</v>
      </c>
      <c r="C3513" s="12"/>
      <c r="D3513" s="1"/>
      <c r="E3513" s="1"/>
      <c r="F3513" s="1"/>
      <c r="G3513" s="1"/>
      <c r="H3513" s="1"/>
      <c r="I3513" s="1"/>
    </row>
    <row r="3514" spans="2:9" x14ac:dyDescent="0.15">
      <c r="B3514" s="903" t="s">
        <v>22</v>
      </c>
      <c r="C3514" s="904"/>
      <c r="D3514" s="905"/>
      <c r="E3514" s="209" t="s">
        <v>28</v>
      </c>
      <c r="F3514" s="209" t="s">
        <v>29</v>
      </c>
      <c r="G3514" s="209" t="s">
        <v>30</v>
      </c>
      <c r="H3514" s="208" t="s">
        <v>25</v>
      </c>
      <c r="I3514" s="43"/>
    </row>
    <row r="3515" spans="2:9" ht="49.5" customHeight="1" x14ac:dyDescent="0.15">
      <c r="B3515" s="996" t="s">
        <v>290</v>
      </c>
      <c r="C3515" s="997"/>
      <c r="D3515" s="998"/>
      <c r="E3515" s="3" t="s">
        <v>319</v>
      </c>
      <c r="F3515" s="166">
        <f>MATERIALES!C82</f>
        <v>141600</v>
      </c>
      <c r="G3515" s="65">
        <v>1</v>
      </c>
      <c r="H3515" s="165">
        <f>G3515*F3515</f>
        <v>141600</v>
      </c>
      <c r="I3515" s="44"/>
    </row>
    <row r="3516" spans="2:9" x14ac:dyDescent="0.15">
      <c r="B3516" s="999" t="s">
        <v>291</v>
      </c>
      <c r="C3516" s="1000"/>
      <c r="D3516" s="1001"/>
      <c r="E3516" s="74" t="s">
        <v>319</v>
      </c>
      <c r="F3516" s="166">
        <f>MATERIALES!C83</f>
        <v>84450</v>
      </c>
      <c r="G3516" s="65">
        <v>1</v>
      </c>
      <c r="H3516" s="165">
        <f>G3516*F3516</f>
        <v>84450</v>
      </c>
      <c r="I3516" s="44"/>
    </row>
    <row r="3517" spans="2:9" ht="14" thickBot="1" x14ac:dyDescent="0.2">
      <c r="B3517" s="25"/>
      <c r="C3517" s="26"/>
      <c r="D3517" s="27"/>
      <c r="E3517" s="21"/>
      <c r="F3517" s="22"/>
      <c r="G3517" s="167"/>
      <c r="H3517" s="47"/>
      <c r="I3517" s="48"/>
    </row>
    <row r="3518" spans="2:9" ht="14" thickBot="1" x14ac:dyDescent="0.2">
      <c r="B3518" s="1"/>
      <c r="C3518" s="1"/>
      <c r="D3518" s="1"/>
      <c r="E3518" s="1"/>
      <c r="F3518" s="1"/>
      <c r="G3518" s="1"/>
      <c r="H3518" s="37" t="s">
        <v>26</v>
      </c>
      <c r="I3518" s="163">
        <f>SUM(H3515:H3516)</f>
        <v>226050</v>
      </c>
    </row>
    <row r="3519" spans="2:9" ht="14" thickBot="1" x14ac:dyDescent="0.2">
      <c r="B3519" s="28" t="s">
        <v>31</v>
      </c>
      <c r="C3519" s="28"/>
      <c r="D3519" s="26"/>
      <c r="E3519" s="1"/>
      <c r="F3519" s="1"/>
      <c r="G3519" s="1"/>
      <c r="H3519" s="1"/>
      <c r="I3519" s="1"/>
    </row>
    <row r="3520" spans="2:9" x14ac:dyDescent="0.15">
      <c r="B3520" s="51" t="s">
        <v>32</v>
      </c>
      <c r="C3520" s="52"/>
      <c r="D3520" s="97" t="s">
        <v>33</v>
      </c>
      <c r="E3520" s="209" t="s">
        <v>34</v>
      </c>
      <c r="F3520" s="209" t="s">
        <v>35</v>
      </c>
      <c r="G3520" s="209" t="s">
        <v>36</v>
      </c>
      <c r="H3520" s="59" t="s">
        <v>25</v>
      </c>
      <c r="I3520" s="43"/>
    </row>
    <row r="3521" spans="2:10" x14ac:dyDescent="0.15">
      <c r="B3521" s="4" t="s">
        <v>79</v>
      </c>
      <c r="C3521" s="6"/>
      <c r="D3521" s="53">
        <v>0.2</v>
      </c>
      <c r="E3521" s="2">
        <v>43</v>
      </c>
      <c r="F3521" s="2">
        <f>E3521*D3521</f>
        <v>8.6</v>
      </c>
      <c r="G3521" s="65">
        <v>1100</v>
      </c>
      <c r="H3521" s="20">
        <f>G3521*F3521</f>
        <v>9460</v>
      </c>
      <c r="I3521" s="44"/>
    </row>
    <row r="3522" spans="2:10" ht="14" thickBot="1" x14ac:dyDescent="0.2">
      <c r="B3522" s="33"/>
      <c r="C3522" s="54"/>
      <c r="D3522" s="21"/>
      <c r="E3522" s="22"/>
      <c r="F3522" s="23"/>
      <c r="G3522" s="47"/>
      <c r="H3522" s="21"/>
      <c r="I3522" s="48"/>
    </row>
    <row r="3523" spans="2:10" ht="14" thickBot="1" x14ac:dyDescent="0.2">
      <c r="B3523" s="1"/>
      <c r="C3523" s="1"/>
      <c r="D3523" s="1"/>
      <c r="E3523" s="1"/>
      <c r="F3523" s="1"/>
      <c r="G3523" s="1"/>
      <c r="H3523" s="37" t="s">
        <v>26</v>
      </c>
      <c r="I3523" s="163">
        <f>SUM(H3521:H3522)</f>
        <v>9460</v>
      </c>
    </row>
    <row r="3524" spans="2:10" ht="14" thickBot="1" x14ac:dyDescent="0.2">
      <c r="B3524" s="28" t="s">
        <v>37</v>
      </c>
      <c r="C3524" s="28"/>
      <c r="D3524" s="1"/>
      <c r="E3524" s="1"/>
      <c r="F3524" s="1"/>
      <c r="G3524" s="1"/>
      <c r="H3524" s="1"/>
      <c r="I3524" s="1"/>
    </row>
    <row r="3525" spans="2:10" x14ac:dyDescent="0.15">
      <c r="B3525" s="51" t="s">
        <v>38</v>
      </c>
      <c r="C3525" s="86"/>
      <c r="D3525" s="31" t="s">
        <v>39</v>
      </c>
      <c r="E3525" s="209" t="s">
        <v>40</v>
      </c>
      <c r="F3525" s="19" t="s">
        <v>41</v>
      </c>
      <c r="G3525" s="31" t="s">
        <v>24</v>
      </c>
      <c r="H3525" s="208" t="s">
        <v>25</v>
      </c>
      <c r="I3525" s="43"/>
    </row>
    <row r="3526" spans="2:10" x14ac:dyDescent="0.15">
      <c r="B3526" s="4" t="s">
        <v>65</v>
      </c>
      <c r="C3526" s="24"/>
      <c r="D3526" s="32">
        <f>'MANO DE OBRA'!E15</f>
        <v>95333</v>
      </c>
      <c r="E3526" s="88">
        <v>1.75</v>
      </c>
      <c r="F3526" s="164">
        <f>+E3526*D3526</f>
        <v>166832.75</v>
      </c>
      <c r="G3526" s="79">
        <v>4</v>
      </c>
      <c r="H3526" s="169">
        <f>+F3526/G3526</f>
        <v>41708.1875</v>
      </c>
      <c r="I3526" s="44"/>
    </row>
    <row r="3527" spans="2:10" x14ac:dyDescent="0.15">
      <c r="B3527" s="80" t="s">
        <v>72</v>
      </c>
      <c r="C3527" s="24"/>
      <c r="D3527" s="32">
        <f>'MANO DE OBRA'!E14</f>
        <v>52000</v>
      </c>
      <c r="E3527" s="88">
        <v>1.75</v>
      </c>
      <c r="F3527" s="164">
        <f>+E3527*D3527</f>
        <v>91000</v>
      </c>
      <c r="G3527" s="79">
        <v>4</v>
      </c>
      <c r="H3527" s="169">
        <f>+F3527/G3527</f>
        <v>22750</v>
      </c>
      <c r="I3527" s="44"/>
      <c r="J3527" s="482"/>
    </row>
    <row r="3528" spans="2:10" ht="14" thickBot="1" x14ac:dyDescent="0.2">
      <c r="B3528" s="33"/>
      <c r="C3528" s="34"/>
      <c r="D3528" s="22"/>
      <c r="E3528" s="21"/>
      <c r="F3528" s="22"/>
      <c r="G3528" s="23"/>
      <c r="H3528" s="47"/>
      <c r="I3528" s="48"/>
    </row>
    <row r="3529" spans="2:10" ht="14" thickBot="1" x14ac:dyDescent="0.2">
      <c r="B3529" s="1"/>
      <c r="C3529" s="1"/>
      <c r="D3529" s="1"/>
      <c r="E3529" s="1"/>
      <c r="F3529" s="1"/>
      <c r="G3529" s="1"/>
      <c r="H3529" s="37" t="s">
        <v>26</v>
      </c>
      <c r="I3529" s="177">
        <f>SUM(H3526:H3528)</f>
        <v>64458.1875</v>
      </c>
    </row>
    <row r="3530" spans="2:10" ht="14" thickBot="1" x14ac:dyDescent="0.2">
      <c r="B3530" s="1"/>
      <c r="C3530" s="1"/>
      <c r="D3530" s="1"/>
      <c r="E3530" s="1"/>
      <c r="F3530" s="1"/>
      <c r="G3530" s="1"/>
      <c r="H3530" s="61"/>
      <c r="I3530" s="1"/>
    </row>
    <row r="3531" spans="2:10" ht="15" thickBot="1" x14ac:dyDescent="0.2">
      <c r="B3531" s="1"/>
      <c r="C3531" s="1"/>
      <c r="D3531" s="1"/>
      <c r="E3531" s="1"/>
      <c r="F3531" s="35" t="s">
        <v>43</v>
      </c>
      <c r="G3531" s="16"/>
      <c r="H3531" s="16"/>
      <c r="I3531" s="232">
        <f>ROUND((I3512+I3518+I3523+I3529),0)</f>
        <v>303191</v>
      </c>
    </row>
    <row r="3532" spans="2:10" x14ac:dyDescent="0.15">
      <c r="B3532" s="12"/>
      <c r="C3532" s="12"/>
      <c r="D3532" s="1"/>
      <c r="E3532" s="1"/>
      <c r="F3532" s="1"/>
      <c r="G3532" s="1"/>
      <c r="H3532" s="172"/>
      <c r="I3532" s="172"/>
    </row>
    <row r="3533" spans="2:10" x14ac:dyDescent="0.15">
      <c r="B3533" s="16"/>
      <c r="C3533" s="16"/>
      <c r="D3533" s="16"/>
      <c r="E3533" s="16"/>
      <c r="F3533" s="16"/>
      <c r="G3533" s="61"/>
      <c r="H3533" s="173"/>
      <c r="I3533" s="172"/>
    </row>
    <row r="3534" spans="2:10" x14ac:dyDescent="0.15">
      <c r="B3534" s="1"/>
      <c r="C3534" s="1"/>
      <c r="D3534" s="1"/>
      <c r="E3534" s="1"/>
      <c r="F3534" s="1"/>
      <c r="G3534" s="161"/>
      <c r="H3534" s="172"/>
      <c r="I3534" s="172"/>
    </row>
    <row r="3535" spans="2:10" x14ac:dyDescent="0.15">
      <c r="B3535" s="1"/>
      <c r="C3535" s="1"/>
      <c r="D3535" s="1"/>
      <c r="E3535" s="1"/>
      <c r="F3535" s="1"/>
      <c r="G3535" s="161"/>
      <c r="H3535" s="172"/>
      <c r="I3535" s="172"/>
    </row>
    <row r="3536" spans="2:10" x14ac:dyDescent="0.15">
      <c r="B3536" s="1"/>
      <c r="C3536" s="1"/>
      <c r="D3536" s="1"/>
      <c r="E3536" s="1"/>
      <c r="F3536" s="1"/>
      <c r="G3536" s="161"/>
      <c r="H3536" s="172"/>
      <c r="I3536" s="172"/>
    </row>
    <row r="3537" spans="2:9" x14ac:dyDescent="0.15">
      <c r="B3537" s="1"/>
      <c r="C3537" s="1"/>
      <c r="D3537" s="1"/>
      <c r="E3537" s="1"/>
      <c r="F3537" s="1"/>
      <c r="G3537" s="1"/>
      <c r="H3537" s="37"/>
      <c r="I3537" s="172"/>
    </row>
    <row r="3538" spans="2:9" ht="14" x14ac:dyDescent="0.15">
      <c r="B3538" s="102"/>
      <c r="C3538" s="1"/>
      <c r="D3538" s="1"/>
      <c r="E3538" s="1"/>
      <c r="F3538" s="1"/>
      <c r="G3538" s="1"/>
      <c r="H3538" s="1"/>
      <c r="I3538" s="172"/>
    </row>
    <row r="3539" spans="2:9" ht="14" x14ac:dyDescent="0.15">
      <c r="B3539" s="83"/>
      <c r="C3539" s="11"/>
      <c r="D3539" s="1"/>
      <c r="E3539" s="916"/>
      <c r="F3539" s="916"/>
      <c r="G3539" s="916"/>
      <c r="H3539" s="916"/>
      <c r="I3539" s="171"/>
    </row>
    <row r="3540" spans="2:9" ht="14" x14ac:dyDescent="0.15">
      <c r="B3540" s="102"/>
      <c r="C3540" s="11"/>
      <c r="D3540" s="1"/>
      <c r="E3540" s="155"/>
      <c r="F3540" s="155"/>
      <c r="G3540" s="155"/>
      <c r="H3540" s="155"/>
      <c r="I3540" s="171"/>
    </row>
    <row r="3541" spans="2:9" ht="14" x14ac:dyDescent="0.15">
      <c r="B3541" s="83"/>
      <c r="C3541" s="11"/>
      <c r="D3541" s="1"/>
      <c r="E3541" s="155"/>
      <c r="F3541" s="155"/>
      <c r="G3541" s="155"/>
      <c r="H3541" s="155"/>
      <c r="I3541" s="171"/>
    </row>
    <row r="3542" spans="2:9" x14ac:dyDescent="0.15">
      <c r="B3542" s="11"/>
      <c r="C3542" s="11"/>
      <c r="D3542" s="1"/>
      <c r="E3542" s="155"/>
      <c r="F3542" s="155"/>
      <c r="G3542" s="155"/>
      <c r="H3542" s="155"/>
      <c r="I3542" s="171"/>
    </row>
    <row r="3543" spans="2:9" x14ac:dyDescent="0.15">
      <c r="B3543" s="11"/>
      <c r="C3543" s="11"/>
      <c r="D3543" s="1"/>
      <c r="E3543" s="155"/>
      <c r="F3543" s="155"/>
      <c r="G3543" s="155"/>
      <c r="H3543" s="155"/>
      <c r="I3543" s="171"/>
    </row>
    <row r="3544" spans="2:9" x14ac:dyDescent="0.15">
      <c r="B3544" s="11"/>
      <c r="C3544" s="11"/>
      <c r="D3544" s="1"/>
      <c r="E3544" s="155"/>
      <c r="F3544" s="155"/>
      <c r="G3544" s="155"/>
      <c r="H3544" s="155"/>
      <c r="I3544" s="171"/>
    </row>
    <row r="3545" spans="2:9" x14ac:dyDescent="0.15">
      <c r="B3545" s="11"/>
      <c r="C3545" s="11"/>
      <c r="D3545" s="1"/>
      <c r="E3545" s="155"/>
      <c r="F3545" s="155"/>
      <c r="G3545" s="155"/>
      <c r="H3545" s="155"/>
      <c r="I3545" s="171"/>
    </row>
    <row r="3546" spans="2:9" x14ac:dyDescent="0.15">
      <c r="B3546" s="11"/>
      <c r="C3546" s="11"/>
      <c r="D3546" s="1"/>
      <c r="E3546" s="155"/>
      <c r="F3546" s="155"/>
      <c r="G3546" s="155"/>
      <c r="H3546" s="155"/>
      <c r="I3546" s="171"/>
    </row>
    <row r="3547" spans="2:9" x14ac:dyDescent="0.15">
      <c r="B3547" s="11"/>
      <c r="C3547" s="11"/>
      <c r="D3547" s="1"/>
      <c r="E3547" s="155"/>
      <c r="F3547" s="155"/>
      <c r="G3547" s="155"/>
      <c r="H3547" s="155"/>
      <c r="I3547" s="171"/>
    </row>
    <row r="3548" spans="2:9" x14ac:dyDescent="0.15">
      <c r="B3548" s="11"/>
      <c r="C3548" s="11"/>
      <c r="D3548" s="1"/>
      <c r="E3548" s="155"/>
      <c r="F3548" s="155"/>
      <c r="G3548" s="155"/>
      <c r="H3548" s="155"/>
      <c r="I3548" s="171"/>
    </row>
    <row r="3549" spans="2:9" x14ac:dyDescent="0.15">
      <c r="B3549" s="11"/>
      <c r="C3549" s="11"/>
      <c r="D3549" s="1"/>
      <c r="E3549" s="155"/>
      <c r="F3549" s="155"/>
      <c r="G3549" s="155"/>
      <c r="H3549" s="155"/>
      <c r="I3549" s="171"/>
    </row>
    <row r="3550" spans="2:9" x14ac:dyDescent="0.15">
      <c r="B3550" s="11"/>
      <c r="C3550" s="11"/>
      <c r="D3550" s="1"/>
      <c r="E3550" s="155"/>
      <c r="F3550" s="155"/>
      <c r="G3550" s="155"/>
      <c r="H3550" s="155"/>
      <c r="I3550" s="171"/>
    </row>
    <row r="3551" spans="2:9" ht="14" thickBot="1" x14ac:dyDescent="0.2">
      <c r="B3551" s="11"/>
      <c r="C3551" s="11"/>
      <c r="D3551" s="1"/>
      <c r="E3551" s="155"/>
      <c r="F3551" s="155"/>
      <c r="G3551" s="155"/>
      <c r="H3551" s="155"/>
      <c r="I3551" s="171"/>
    </row>
    <row r="3552" spans="2:9" ht="21" customHeight="1" x14ac:dyDescent="0.15">
      <c r="B3552" s="885" t="s">
        <v>874</v>
      </c>
      <c r="C3552" s="886"/>
      <c r="D3552" s="886"/>
      <c r="E3552" s="886"/>
      <c r="F3552" s="887"/>
      <c r="G3552" s="1"/>
      <c r="H3552" s="879" t="s">
        <v>20</v>
      </c>
      <c r="I3552" s="880"/>
    </row>
    <row r="3553" spans="2:9" ht="16.5" customHeight="1" x14ac:dyDescent="0.15">
      <c r="B3553" s="888" t="s">
        <v>875</v>
      </c>
      <c r="C3553" s="889"/>
      <c r="D3553" s="889"/>
      <c r="E3553" s="889"/>
      <c r="F3553" s="890"/>
      <c r="G3553" s="63"/>
      <c r="H3553" s="881"/>
      <c r="I3553" s="882"/>
    </row>
    <row r="3554" spans="2:9" ht="12.75" customHeight="1" x14ac:dyDescent="0.15">
      <c r="B3554" s="906" t="s">
        <v>876</v>
      </c>
      <c r="C3554" s="907"/>
      <c r="D3554" s="907"/>
      <c r="E3554" s="907"/>
      <c r="F3554" s="908"/>
      <c r="G3554" s="63"/>
      <c r="H3554" s="883"/>
      <c r="I3554" s="884"/>
    </row>
    <row r="3555" spans="2:9" ht="16.5" customHeight="1" thickBot="1" x14ac:dyDescent="0.2">
      <c r="B3555" s="909"/>
      <c r="C3555" s="910"/>
      <c r="D3555" s="910"/>
      <c r="E3555" s="910"/>
      <c r="F3555" s="911"/>
      <c r="G3555" s="1"/>
      <c r="H3555" s="987" t="s">
        <v>921</v>
      </c>
      <c r="I3555" s="988"/>
    </row>
    <row r="3556" spans="2:9" ht="14" thickBot="1" x14ac:dyDescent="0.2">
      <c r="B3556" s="15"/>
      <c r="C3556" s="16"/>
      <c r="D3556" s="1"/>
      <c r="E3556" s="1"/>
      <c r="F3556" s="1"/>
      <c r="G3556" s="1"/>
      <c r="H3556" s="989"/>
      <c r="I3556" s="990"/>
    </row>
    <row r="3557" spans="2:9" ht="12.75" customHeight="1" x14ac:dyDescent="0.15">
      <c r="B3557" s="922" t="s">
        <v>836</v>
      </c>
      <c r="C3557" s="923"/>
      <c r="D3557" s="923"/>
      <c r="E3557" s="923"/>
      <c r="F3557" s="924"/>
      <c r="G3557" s="1"/>
      <c r="H3557" s="989"/>
      <c r="I3557" s="990"/>
    </row>
    <row r="3558" spans="2:9" ht="12.75" customHeight="1" x14ac:dyDescent="0.15">
      <c r="B3558" s="925"/>
      <c r="C3558" s="926"/>
      <c r="D3558" s="926"/>
      <c r="E3558" s="926"/>
      <c r="F3558" s="927"/>
      <c r="H3558" s="989"/>
      <c r="I3558" s="990"/>
    </row>
    <row r="3559" spans="2:9" ht="13.5" customHeight="1" x14ac:dyDescent="0.15">
      <c r="B3559" s="925"/>
      <c r="C3559" s="926"/>
      <c r="D3559" s="926"/>
      <c r="E3559" s="926"/>
      <c r="F3559" s="927"/>
      <c r="G3559" s="11"/>
      <c r="H3559" s="991"/>
      <c r="I3559" s="992"/>
    </row>
    <row r="3560" spans="2:9" ht="21.75" customHeight="1" thickBot="1" x14ac:dyDescent="0.2">
      <c r="B3560" s="928"/>
      <c r="C3560" s="929"/>
      <c r="D3560" s="929"/>
      <c r="E3560" s="929"/>
      <c r="F3560" s="930"/>
      <c r="H3560" s="64" t="s">
        <v>45</v>
      </c>
      <c r="I3560" s="17" t="s">
        <v>19</v>
      </c>
    </row>
    <row r="3561" spans="2:9" x14ac:dyDescent="0.15">
      <c r="B3561" s="18"/>
      <c r="C3561" s="18"/>
      <c r="D3561" s="1"/>
      <c r="E3561" s="18"/>
      <c r="F3561" s="18"/>
      <c r="G3561" s="18"/>
      <c r="H3561" s="18"/>
      <c r="I3561" s="1"/>
    </row>
    <row r="3562" spans="2:9" ht="14" thickBot="1" x14ac:dyDescent="0.2">
      <c r="B3562" s="12" t="s">
        <v>21</v>
      </c>
      <c r="C3562" s="12"/>
      <c r="D3562" s="1"/>
      <c r="E3562" s="1"/>
      <c r="F3562" s="1"/>
      <c r="G3562" s="1"/>
      <c r="H3562" s="1"/>
      <c r="I3562" s="1"/>
    </row>
    <row r="3563" spans="2:9" x14ac:dyDescent="0.15">
      <c r="B3563" s="903" t="s">
        <v>22</v>
      </c>
      <c r="C3563" s="904"/>
      <c r="D3563" s="905"/>
      <c r="E3563" s="209" t="s">
        <v>23</v>
      </c>
      <c r="F3563" s="19" t="s">
        <v>47</v>
      </c>
      <c r="G3563" s="209" t="s">
        <v>24</v>
      </c>
      <c r="H3563" s="208" t="s">
        <v>25</v>
      </c>
      <c r="I3563" s="43"/>
    </row>
    <row r="3564" spans="2:9" x14ac:dyDescent="0.15">
      <c r="B3564" s="897" t="s">
        <v>56</v>
      </c>
      <c r="C3564" s="898"/>
      <c r="D3564" s="899"/>
      <c r="E3564" s="5"/>
      <c r="F3564" s="162"/>
      <c r="G3564" s="58"/>
      <c r="H3564" s="162">
        <f>I3595*0.05</f>
        <v>53083.275000000001</v>
      </c>
      <c r="I3564" s="44"/>
    </row>
    <row r="3565" spans="2:9" ht="14" thickBot="1" x14ac:dyDescent="0.2">
      <c r="B3565" s="900"/>
      <c r="C3565" s="901"/>
      <c r="D3565" s="902"/>
      <c r="E3565" s="21"/>
      <c r="F3565" s="22"/>
      <c r="G3565" s="23"/>
      <c r="H3565" s="47"/>
      <c r="I3565" s="48"/>
    </row>
    <row r="3566" spans="2:9" ht="14" thickBot="1" x14ac:dyDescent="0.2">
      <c r="B3566" s="1"/>
      <c r="C3566" s="1"/>
      <c r="D3566" s="1"/>
      <c r="E3566" s="1"/>
      <c r="F3566" s="1"/>
      <c r="G3566" s="1"/>
      <c r="H3566" s="37" t="s">
        <v>26</v>
      </c>
      <c r="I3566" s="163">
        <f>SUM(H3564:H3565)</f>
        <v>53083.275000000001</v>
      </c>
    </row>
    <row r="3567" spans="2:9" ht="14" thickBot="1" x14ac:dyDescent="0.2">
      <c r="B3567" s="12" t="s">
        <v>27</v>
      </c>
      <c r="C3567" s="12"/>
      <c r="D3567" s="1"/>
      <c r="E3567" s="1"/>
      <c r="F3567" s="1"/>
      <c r="G3567" s="1"/>
      <c r="H3567" s="1"/>
      <c r="I3567" s="1"/>
    </row>
    <row r="3568" spans="2:9" ht="14.25" customHeight="1" x14ac:dyDescent="0.15">
      <c r="B3568" s="903" t="s">
        <v>22</v>
      </c>
      <c r="C3568" s="904"/>
      <c r="D3568" s="905"/>
      <c r="E3568" s="209" t="s">
        <v>28</v>
      </c>
      <c r="F3568" s="209" t="s">
        <v>29</v>
      </c>
      <c r="G3568" s="209" t="s">
        <v>30</v>
      </c>
      <c r="H3568" s="208" t="s">
        <v>25</v>
      </c>
      <c r="I3568" s="43"/>
    </row>
    <row r="3569" spans="2:9" x14ac:dyDescent="0.15">
      <c r="B3569" s="4" t="s">
        <v>78</v>
      </c>
      <c r="C3569" s="24"/>
      <c r="D3569" s="6"/>
      <c r="E3569" s="3" t="s">
        <v>193</v>
      </c>
      <c r="F3569" s="164">
        <f>MATERIALES!C97</f>
        <v>27510</v>
      </c>
      <c r="G3569" s="65">
        <v>12</v>
      </c>
      <c r="H3569" s="165">
        <f t="shared" ref="H3569:H3581" si="15">G3569*F3569</f>
        <v>330120</v>
      </c>
      <c r="I3569" s="44"/>
    </row>
    <row r="3570" spans="2:9" x14ac:dyDescent="0.15">
      <c r="B3570" s="4" t="s">
        <v>173</v>
      </c>
      <c r="C3570" s="24"/>
      <c r="D3570" s="6"/>
      <c r="E3570" s="3" t="s">
        <v>319</v>
      </c>
      <c r="F3570" s="164">
        <f>MATERIALES!C98</f>
        <v>14280</v>
      </c>
      <c r="G3570" s="65">
        <v>2</v>
      </c>
      <c r="H3570" s="165">
        <f t="shared" si="15"/>
        <v>28560</v>
      </c>
      <c r="I3570" s="44"/>
    </row>
    <row r="3571" spans="2:9" x14ac:dyDescent="0.15">
      <c r="B3571" s="4" t="s">
        <v>174</v>
      </c>
      <c r="C3571" s="24"/>
      <c r="D3571" s="6"/>
      <c r="E3571" s="3" t="s">
        <v>319</v>
      </c>
      <c r="F3571" s="164">
        <f>MATERIALES!C99</f>
        <v>22260</v>
      </c>
      <c r="G3571" s="65">
        <v>2</v>
      </c>
      <c r="H3571" s="165">
        <f t="shared" si="15"/>
        <v>44520</v>
      </c>
      <c r="I3571" s="44"/>
    </row>
    <row r="3572" spans="2:9" x14ac:dyDescent="0.15">
      <c r="B3572" s="4" t="s">
        <v>175</v>
      </c>
      <c r="C3572" s="24"/>
      <c r="D3572" s="6"/>
      <c r="E3572" s="3" t="s">
        <v>319</v>
      </c>
      <c r="F3572" s="164">
        <f>MATERIALES!C100</f>
        <v>39060</v>
      </c>
      <c r="G3572" s="65">
        <v>1</v>
      </c>
      <c r="H3572" s="165">
        <f t="shared" si="15"/>
        <v>39060</v>
      </c>
      <c r="I3572" s="44"/>
    </row>
    <row r="3573" spans="2:9" x14ac:dyDescent="0.15">
      <c r="B3573" s="4" t="s">
        <v>297</v>
      </c>
      <c r="C3573" s="24"/>
      <c r="D3573" s="6"/>
      <c r="E3573" s="3" t="s">
        <v>193</v>
      </c>
      <c r="F3573" s="164">
        <f>MATERIALES!C90</f>
        <v>17500</v>
      </c>
      <c r="G3573" s="65">
        <v>12</v>
      </c>
      <c r="H3573" s="165">
        <f t="shared" ref="H3573:H3576" si="16">G3573*F3573</f>
        <v>210000</v>
      </c>
      <c r="I3573" s="44"/>
    </row>
    <row r="3574" spans="2:9" x14ac:dyDescent="0.15">
      <c r="B3574" s="4" t="s">
        <v>922</v>
      </c>
      <c r="C3574" s="24"/>
      <c r="D3574" s="6"/>
      <c r="E3574" s="3" t="s">
        <v>319</v>
      </c>
      <c r="F3574" s="164">
        <f>MATERIALES!C91</f>
        <v>8120</v>
      </c>
      <c r="G3574" s="65">
        <v>2</v>
      </c>
      <c r="H3574" s="165">
        <f t="shared" si="16"/>
        <v>16240</v>
      </c>
      <c r="I3574" s="44"/>
    </row>
    <row r="3575" spans="2:9" x14ac:dyDescent="0.15">
      <c r="B3575" s="4" t="s">
        <v>923</v>
      </c>
      <c r="C3575" s="24"/>
      <c r="D3575" s="6"/>
      <c r="E3575" s="3" t="s">
        <v>319</v>
      </c>
      <c r="F3575" s="164">
        <f>MATERIALES!C92</f>
        <v>13860</v>
      </c>
      <c r="G3575" s="65">
        <v>2</v>
      </c>
      <c r="H3575" s="165">
        <f t="shared" si="16"/>
        <v>27720</v>
      </c>
      <c r="I3575" s="44"/>
    </row>
    <row r="3576" spans="2:9" x14ac:dyDescent="0.15">
      <c r="B3576" s="4" t="s">
        <v>302</v>
      </c>
      <c r="C3576" s="24"/>
      <c r="D3576" s="6"/>
      <c r="E3576" s="3" t="s">
        <v>319</v>
      </c>
      <c r="F3576" s="164">
        <f>MATERIALES!C95</f>
        <v>19460</v>
      </c>
      <c r="G3576" s="65">
        <v>1</v>
      </c>
      <c r="H3576" s="165">
        <f t="shared" si="16"/>
        <v>19460</v>
      </c>
      <c r="I3576" s="44"/>
    </row>
    <row r="3577" spans="2:9" x14ac:dyDescent="0.15">
      <c r="B3577" s="4" t="s">
        <v>292</v>
      </c>
      <c r="C3577" s="24"/>
      <c r="D3577" s="6"/>
      <c r="E3577" s="3" t="s">
        <v>193</v>
      </c>
      <c r="F3577" s="164">
        <f>MATERIALES!C85</f>
        <v>11650</v>
      </c>
      <c r="G3577" s="65">
        <v>12</v>
      </c>
      <c r="H3577" s="165">
        <f t="shared" ref="H3577:H3580" si="17">G3577*F3577</f>
        <v>139800</v>
      </c>
      <c r="I3577" s="44"/>
    </row>
    <row r="3578" spans="2:9" x14ac:dyDescent="0.15">
      <c r="B3578" s="4" t="s">
        <v>924</v>
      </c>
      <c r="C3578" s="24"/>
      <c r="D3578" s="6"/>
      <c r="E3578" s="3" t="s">
        <v>319</v>
      </c>
      <c r="F3578" s="164">
        <f>MATERIALES!C86</f>
        <v>4050</v>
      </c>
      <c r="G3578" s="65">
        <v>2</v>
      </c>
      <c r="H3578" s="165">
        <f t="shared" si="17"/>
        <v>8100</v>
      </c>
      <c r="I3578" s="44"/>
    </row>
    <row r="3579" spans="2:9" x14ac:dyDescent="0.15">
      <c r="B3579" s="4" t="s">
        <v>925</v>
      </c>
      <c r="C3579" s="24"/>
      <c r="D3579" s="6"/>
      <c r="E3579" s="3" t="s">
        <v>319</v>
      </c>
      <c r="F3579" s="164">
        <f>MATERIALES!C87</f>
        <v>3990</v>
      </c>
      <c r="G3579" s="65">
        <v>2</v>
      </c>
      <c r="H3579" s="165">
        <f t="shared" si="17"/>
        <v>7980</v>
      </c>
      <c r="I3579" s="44"/>
    </row>
    <row r="3580" spans="2:9" x14ac:dyDescent="0.15">
      <c r="B3580" s="4" t="s">
        <v>296</v>
      </c>
      <c r="C3580" s="24"/>
      <c r="D3580" s="6"/>
      <c r="E3580" s="3" t="s">
        <v>319</v>
      </c>
      <c r="F3580" s="164">
        <f>MATERIALES!C89</f>
        <v>12460</v>
      </c>
      <c r="G3580" s="65">
        <v>1</v>
      </c>
      <c r="H3580" s="165">
        <f t="shared" si="17"/>
        <v>12460</v>
      </c>
      <c r="I3580" s="44"/>
    </row>
    <row r="3581" spans="2:9" x14ac:dyDescent="0.15">
      <c r="B3581" s="4" t="s">
        <v>135</v>
      </c>
      <c r="C3581" s="24"/>
      <c r="D3581" s="6"/>
      <c r="E3581" s="3" t="s">
        <v>77</v>
      </c>
      <c r="F3581" s="164">
        <f>MATERIALES!C27</f>
        <v>286200</v>
      </c>
      <c r="G3581" s="65">
        <v>0.25</v>
      </c>
      <c r="H3581" s="165">
        <f t="shared" si="15"/>
        <v>71550</v>
      </c>
      <c r="I3581" s="44"/>
    </row>
    <row r="3582" spans="2:9" ht="14" thickBot="1" x14ac:dyDescent="0.2">
      <c r="B3582" s="25"/>
      <c r="C3582" s="26"/>
      <c r="D3582" s="27"/>
      <c r="E3582" s="21"/>
      <c r="F3582" s="22"/>
      <c r="G3582" s="167"/>
      <c r="H3582" s="47"/>
      <c r="I3582" s="48"/>
    </row>
    <row r="3583" spans="2:9" ht="14" thickBot="1" x14ac:dyDescent="0.2">
      <c r="B3583" s="1"/>
      <c r="C3583" s="1"/>
      <c r="D3583" s="1"/>
      <c r="E3583" s="1"/>
      <c r="F3583" s="1"/>
      <c r="G3583" s="1"/>
      <c r="H3583" s="37" t="s">
        <v>26</v>
      </c>
      <c r="I3583" s="163">
        <f>SUM(H3569:H3581)</f>
        <v>955570</v>
      </c>
    </row>
    <row r="3584" spans="2:9" ht="14" thickBot="1" x14ac:dyDescent="0.2">
      <c r="B3584" s="28" t="s">
        <v>31</v>
      </c>
      <c r="C3584" s="28"/>
      <c r="D3584" s="26"/>
      <c r="E3584" s="1"/>
      <c r="F3584" s="1"/>
      <c r="G3584" s="1"/>
      <c r="H3584" s="1"/>
      <c r="I3584" s="1"/>
    </row>
    <row r="3585" spans="2:9" x14ac:dyDescent="0.15">
      <c r="B3585" s="51" t="s">
        <v>32</v>
      </c>
      <c r="C3585" s="52"/>
      <c r="D3585" s="97" t="s">
        <v>33</v>
      </c>
      <c r="E3585" s="209" t="s">
        <v>34</v>
      </c>
      <c r="F3585" s="209" t="s">
        <v>35</v>
      </c>
      <c r="G3585" s="209" t="s">
        <v>36</v>
      </c>
      <c r="H3585" s="59" t="s">
        <v>25</v>
      </c>
      <c r="I3585" s="43"/>
    </row>
    <row r="3586" spans="2:9" x14ac:dyDescent="0.15">
      <c r="B3586" s="4" t="s">
        <v>79</v>
      </c>
      <c r="C3586" s="6"/>
      <c r="D3586" s="53">
        <v>2</v>
      </c>
      <c r="E3586" s="2">
        <v>15</v>
      </c>
      <c r="F3586" s="2">
        <f>E3586*D3586</f>
        <v>30</v>
      </c>
      <c r="G3586" s="65">
        <v>1100</v>
      </c>
      <c r="H3586" s="20">
        <f>G3586*F3586</f>
        <v>33000</v>
      </c>
      <c r="I3586" s="44"/>
    </row>
    <row r="3587" spans="2:9" x14ac:dyDescent="0.15">
      <c r="B3587" s="107"/>
      <c r="C3587" s="66"/>
      <c r="D3587" s="67"/>
      <c r="E3587" s="68"/>
      <c r="F3587" s="68"/>
      <c r="G3587" s="69"/>
      <c r="H3587" s="65"/>
      <c r="I3587" s="44"/>
    </row>
    <row r="3588" spans="2:9" ht="14" thickBot="1" x14ac:dyDescent="0.2">
      <c r="B3588" s="33"/>
      <c r="C3588" s="54"/>
      <c r="D3588" s="21"/>
      <c r="E3588" s="22"/>
      <c r="F3588" s="23"/>
      <c r="G3588" s="47"/>
      <c r="H3588" s="21"/>
      <c r="I3588" s="48"/>
    </row>
    <row r="3589" spans="2:9" ht="14" thickBot="1" x14ac:dyDescent="0.2">
      <c r="B3589" s="1"/>
      <c r="C3589" s="1"/>
      <c r="D3589" s="1"/>
      <c r="E3589" s="1"/>
      <c r="F3589" s="1"/>
      <c r="G3589" s="1"/>
      <c r="H3589" s="37" t="s">
        <v>26</v>
      </c>
      <c r="I3589" s="163">
        <f>SUM(H3586:H3588)</f>
        <v>33000</v>
      </c>
    </row>
    <row r="3590" spans="2:9" ht="14" thickBot="1" x14ac:dyDescent="0.2">
      <c r="B3590" s="28" t="s">
        <v>37</v>
      </c>
      <c r="C3590" s="28"/>
      <c r="D3590" s="1"/>
      <c r="E3590" s="1"/>
      <c r="F3590" s="1"/>
      <c r="G3590" s="1"/>
      <c r="H3590" s="1"/>
      <c r="I3590" s="1"/>
    </row>
    <row r="3591" spans="2:9" x14ac:dyDescent="0.15">
      <c r="B3591" s="51" t="s">
        <v>38</v>
      </c>
      <c r="C3591" s="86"/>
      <c r="D3591" s="31" t="s">
        <v>39</v>
      </c>
      <c r="E3591" s="209" t="s">
        <v>40</v>
      </c>
      <c r="F3591" s="19" t="s">
        <v>41</v>
      </c>
      <c r="G3591" s="31" t="s">
        <v>24</v>
      </c>
      <c r="H3591" s="208" t="s">
        <v>25</v>
      </c>
      <c r="I3591" s="43"/>
    </row>
    <row r="3592" spans="2:9" x14ac:dyDescent="0.15">
      <c r="B3592" s="4" t="s">
        <v>65</v>
      </c>
      <c r="C3592" s="24"/>
      <c r="D3592" s="32">
        <f>'MANO DE OBRA'!E15</f>
        <v>95333</v>
      </c>
      <c r="E3592" s="88">
        <v>1.75</v>
      </c>
      <c r="F3592" s="164">
        <f>+E3592*D3592</f>
        <v>166832.75</v>
      </c>
      <c r="G3592" s="79">
        <v>0.5</v>
      </c>
      <c r="H3592" s="169">
        <f>+F3592/G3592</f>
        <v>333665.5</v>
      </c>
      <c r="I3592" s="44"/>
    </row>
    <row r="3593" spans="2:9" x14ac:dyDescent="0.15">
      <c r="B3593" s="80" t="s">
        <v>520</v>
      </c>
      <c r="C3593" s="24"/>
      <c r="D3593" s="32">
        <f>'MANO DE OBRA'!E14*4</f>
        <v>208000</v>
      </c>
      <c r="E3593" s="88">
        <v>1.75</v>
      </c>
      <c r="F3593" s="164">
        <f>+E3593*D3593</f>
        <v>364000</v>
      </c>
      <c r="G3593" s="79">
        <v>0.5</v>
      </c>
      <c r="H3593" s="169">
        <f>+F3593/G3593</f>
        <v>728000</v>
      </c>
      <c r="I3593" s="44"/>
    </row>
    <row r="3594" spans="2:9" ht="14" thickBot="1" x14ac:dyDescent="0.2">
      <c r="B3594" s="33"/>
      <c r="C3594" s="34"/>
      <c r="D3594" s="22"/>
      <c r="E3594" s="21"/>
      <c r="F3594" s="22"/>
      <c r="G3594" s="23"/>
      <c r="H3594" s="47"/>
      <c r="I3594" s="48"/>
    </row>
    <row r="3595" spans="2:9" ht="14" thickBot="1" x14ac:dyDescent="0.2">
      <c r="B3595" s="1"/>
      <c r="C3595" s="1"/>
      <c r="D3595" s="1"/>
      <c r="E3595" s="1"/>
      <c r="F3595" s="1"/>
      <c r="G3595" s="1"/>
      <c r="H3595" s="37" t="s">
        <v>26</v>
      </c>
      <c r="I3595" s="177">
        <f>SUM(H3592:H3594)</f>
        <v>1061665.5</v>
      </c>
    </row>
    <row r="3596" spans="2:9" ht="14" thickBot="1" x14ac:dyDescent="0.2">
      <c r="B3596" s="1"/>
      <c r="C3596" s="1"/>
      <c r="D3596" s="1"/>
      <c r="E3596" s="1"/>
      <c r="F3596" s="1"/>
      <c r="G3596" s="1"/>
      <c r="H3596" s="61"/>
      <c r="I3596" s="1"/>
    </row>
    <row r="3597" spans="2:9" ht="15" thickBot="1" x14ac:dyDescent="0.2">
      <c r="B3597" s="1"/>
      <c r="C3597" s="1"/>
      <c r="D3597" s="1"/>
      <c r="E3597" s="1"/>
      <c r="F3597" s="35" t="s">
        <v>43</v>
      </c>
      <c r="G3597" s="16"/>
      <c r="H3597" s="16"/>
      <c r="I3597" s="232">
        <f>ROUND((I3566+I3583+I3589+I3595),0)</f>
        <v>2103319</v>
      </c>
    </row>
    <row r="3598" spans="2:9" x14ac:dyDescent="0.15">
      <c r="B3598" s="12"/>
      <c r="C3598" s="12"/>
      <c r="D3598" s="1"/>
      <c r="E3598" s="1"/>
      <c r="F3598" s="1"/>
      <c r="G3598" s="1"/>
      <c r="H3598" s="172"/>
      <c r="I3598" s="172"/>
    </row>
    <row r="3599" spans="2:9" x14ac:dyDescent="0.15">
      <c r="B3599" s="16"/>
      <c r="C3599" s="16"/>
      <c r="D3599" s="16"/>
      <c r="E3599" s="16"/>
      <c r="F3599" s="16"/>
      <c r="G3599" s="61"/>
      <c r="H3599" s="173"/>
      <c r="I3599" s="172"/>
    </row>
    <row r="3600" spans="2:9" x14ac:dyDescent="0.15">
      <c r="B3600" s="1"/>
      <c r="C3600" s="1"/>
      <c r="D3600" s="1"/>
      <c r="E3600" s="1"/>
      <c r="F3600" s="1"/>
      <c r="G3600" s="161"/>
      <c r="H3600" s="172"/>
      <c r="I3600" s="172"/>
    </row>
    <row r="3601" spans="2:10" x14ac:dyDescent="0.15">
      <c r="B3601" s="1"/>
      <c r="C3601" s="1"/>
      <c r="D3601" s="1"/>
      <c r="E3601" s="1"/>
      <c r="F3601" s="1"/>
      <c r="G3601" s="161"/>
      <c r="H3601" s="172"/>
      <c r="I3601" s="172"/>
    </row>
    <row r="3602" spans="2:10" x14ac:dyDescent="0.15">
      <c r="B3602" s="1"/>
      <c r="C3602" s="1"/>
      <c r="D3602" s="1"/>
      <c r="E3602" s="1"/>
      <c r="F3602" s="1"/>
      <c r="G3602" s="161"/>
      <c r="H3602" s="172"/>
      <c r="I3602" s="172"/>
    </row>
    <row r="3603" spans="2:10" x14ac:dyDescent="0.15">
      <c r="B3603" s="1"/>
      <c r="C3603" s="1"/>
      <c r="D3603" s="1"/>
      <c r="E3603" s="1"/>
      <c r="F3603" s="1"/>
      <c r="G3603" s="1"/>
      <c r="H3603" s="37"/>
      <c r="I3603" s="172"/>
    </row>
    <row r="3604" spans="2:10" x14ac:dyDescent="0.15">
      <c r="B3604" s="11"/>
      <c r="C3604" s="11"/>
      <c r="D3604" s="1"/>
      <c r="E3604" s="155"/>
      <c r="F3604" s="155"/>
      <c r="G3604" s="155"/>
      <c r="H3604" s="155"/>
      <c r="I3604" s="171"/>
    </row>
    <row r="3605" spans="2:10" x14ac:dyDescent="0.15">
      <c r="B3605" s="11"/>
      <c r="C3605" s="11"/>
      <c r="D3605" s="1"/>
      <c r="E3605" s="155"/>
      <c r="F3605" s="155"/>
      <c r="G3605" s="155"/>
      <c r="H3605" s="155"/>
      <c r="I3605" s="171"/>
    </row>
    <row r="3606" spans="2:10" ht="14" x14ac:dyDescent="0.15">
      <c r="B3606" s="83"/>
      <c r="C3606" s="83"/>
      <c r="D3606" s="84"/>
      <c r="E3606" s="83"/>
      <c r="F3606" s="156"/>
      <c r="G3606" s="157"/>
      <c r="H3606" s="158"/>
      <c r="I3606" s="159"/>
      <c r="J3606" s="85"/>
    </row>
    <row r="3608" spans="2:10" ht="15" thickBot="1" x14ac:dyDescent="0.2">
      <c r="B3608" s="83"/>
      <c r="C3608" s="11"/>
      <c r="D3608" s="11"/>
      <c r="E3608" s="11"/>
      <c r="F3608" s="938"/>
      <c r="G3608" s="938"/>
      <c r="H3608" s="938"/>
      <c r="I3608" s="938"/>
    </row>
    <row r="3609" spans="2:10" ht="21" customHeight="1" x14ac:dyDescent="0.15">
      <c r="B3609" s="885" t="s">
        <v>874</v>
      </c>
      <c r="C3609" s="886"/>
      <c r="D3609" s="886"/>
      <c r="E3609" s="886"/>
      <c r="F3609" s="887"/>
      <c r="G3609" s="1"/>
      <c r="H3609" s="879" t="s">
        <v>20</v>
      </c>
      <c r="I3609" s="880"/>
    </row>
    <row r="3610" spans="2:10" ht="16.5" customHeight="1" x14ac:dyDescent="0.15">
      <c r="B3610" s="888" t="s">
        <v>875</v>
      </c>
      <c r="C3610" s="889"/>
      <c r="D3610" s="889"/>
      <c r="E3610" s="889"/>
      <c r="F3610" s="890"/>
      <c r="G3610" s="63"/>
      <c r="H3610" s="881"/>
      <c r="I3610" s="882"/>
    </row>
    <row r="3611" spans="2:10" ht="12.75" customHeight="1" x14ac:dyDescent="0.15">
      <c r="B3611" s="906" t="s">
        <v>876</v>
      </c>
      <c r="C3611" s="907"/>
      <c r="D3611" s="907"/>
      <c r="E3611" s="907"/>
      <c r="F3611" s="908"/>
      <c r="G3611" s="63"/>
      <c r="H3611" s="883"/>
      <c r="I3611" s="884"/>
    </row>
    <row r="3612" spans="2:10" ht="16.5" customHeight="1" thickBot="1" x14ac:dyDescent="0.2">
      <c r="B3612" s="909"/>
      <c r="C3612" s="910"/>
      <c r="D3612" s="910"/>
      <c r="E3612" s="910"/>
      <c r="F3612" s="911"/>
      <c r="G3612" s="1"/>
      <c r="H3612" s="987" t="s">
        <v>926</v>
      </c>
      <c r="I3612" s="988"/>
    </row>
    <row r="3613" spans="2:10" ht="13.5" customHeight="1" thickBot="1" x14ac:dyDescent="0.2">
      <c r="B3613" s="15"/>
      <c r="C3613" s="16"/>
      <c r="D3613" s="1"/>
      <c r="E3613" s="1"/>
      <c r="F3613" s="1"/>
      <c r="G3613" s="1"/>
      <c r="H3613" s="989"/>
      <c r="I3613" s="990"/>
    </row>
    <row r="3614" spans="2:10" ht="12.75" customHeight="1" x14ac:dyDescent="0.15">
      <c r="B3614" s="922" t="s">
        <v>836</v>
      </c>
      <c r="C3614" s="923"/>
      <c r="D3614" s="923"/>
      <c r="E3614" s="923"/>
      <c r="F3614" s="924"/>
      <c r="G3614" s="1"/>
      <c r="H3614" s="989"/>
      <c r="I3614" s="990"/>
    </row>
    <row r="3615" spans="2:10" ht="12.75" customHeight="1" x14ac:dyDescent="0.15">
      <c r="B3615" s="925"/>
      <c r="C3615" s="926"/>
      <c r="D3615" s="926"/>
      <c r="E3615" s="926"/>
      <c r="F3615" s="927"/>
      <c r="H3615" s="989"/>
      <c r="I3615" s="990"/>
    </row>
    <row r="3616" spans="2:10" ht="13.5" customHeight="1" x14ac:dyDescent="0.15">
      <c r="B3616" s="925"/>
      <c r="C3616" s="926"/>
      <c r="D3616" s="926"/>
      <c r="E3616" s="926"/>
      <c r="F3616" s="927"/>
      <c r="G3616" s="11"/>
      <c r="H3616" s="991"/>
      <c r="I3616" s="992"/>
    </row>
    <row r="3617" spans="2:9" ht="21.75" customHeight="1" thickBot="1" x14ac:dyDescent="0.2">
      <c r="B3617" s="928"/>
      <c r="C3617" s="929"/>
      <c r="D3617" s="929"/>
      <c r="E3617" s="929"/>
      <c r="F3617" s="930"/>
      <c r="H3617" s="64" t="s">
        <v>45</v>
      </c>
      <c r="I3617" s="17" t="s">
        <v>319</v>
      </c>
    </row>
    <row r="3618" spans="2:9" x14ac:dyDescent="0.15">
      <c r="B3618" s="18"/>
      <c r="C3618" s="18"/>
      <c r="D3618" s="1"/>
      <c r="E3618" s="18"/>
      <c r="F3618" s="18"/>
      <c r="G3618" s="18"/>
      <c r="H3618" s="18"/>
      <c r="I3618" s="1"/>
    </row>
    <row r="3619" spans="2:9" ht="14" thickBot="1" x14ac:dyDescent="0.2">
      <c r="B3619" s="12" t="s">
        <v>21</v>
      </c>
      <c r="C3619" s="12"/>
      <c r="D3619" s="1"/>
      <c r="E3619" s="1"/>
      <c r="F3619" s="1"/>
      <c r="G3619" s="1"/>
      <c r="H3619" s="1"/>
      <c r="I3619" s="1"/>
    </row>
    <row r="3620" spans="2:9" x14ac:dyDescent="0.15">
      <c r="B3620" s="903" t="s">
        <v>22</v>
      </c>
      <c r="C3620" s="904"/>
      <c r="D3620" s="905"/>
      <c r="E3620" s="209" t="s">
        <v>23</v>
      </c>
      <c r="F3620" s="19" t="s">
        <v>47</v>
      </c>
      <c r="G3620" s="209" t="s">
        <v>24</v>
      </c>
      <c r="H3620" s="208" t="s">
        <v>25</v>
      </c>
      <c r="I3620" s="43"/>
    </row>
    <row r="3621" spans="2:9" x14ac:dyDescent="0.15">
      <c r="B3621" s="897" t="s">
        <v>56</v>
      </c>
      <c r="C3621" s="898"/>
      <c r="D3621" s="899"/>
      <c r="E3621" s="5"/>
      <c r="F3621" s="162"/>
      <c r="G3621" s="58"/>
      <c r="H3621" s="162">
        <f>I3641*0.05</f>
        <v>12217.576388888889</v>
      </c>
      <c r="I3621" s="44"/>
    </row>
    <row r="3622" spans="2:9" ht="14" thickBot="1" x14ac:dyDescent="0.2">
      <c r="B3622" s="900"/>
      <c r="C3622" s="901"/>
      <c r="D3622" s="902"/>
      <c r="E3622" s="21"/>
      <c r="F3622" s="22"/>
      <c r="G3622" s="23"/>
      <c r="H3622" s="47"/>
      <c r="I3622" s="48"/>
    </row>
    <row r="3623" spans="2:9" ht="14" thickBot="1" x14ac:dyDescent="0.2">
      <c r="B3623" s="1"/>
      <c r="C3623" s="1"/>
      <c r="D3623" s="1"/>
      <c r="E3623" s="1"/>
      <c r="F3623" s="1"/>
      <c r="G3623" s="1"/>
      <c r="H3623" s="37" t="s">
        <v>26</v>
      </c>
      <c r="I3623" s="163">
        <f>SUM(H3621:H3622)</f>
        <v>12217.576388888889</v>
      </c>
    </row>
    <row r="3624" spans="2:9" ht="14" thickBot="1" x14ac:dyDescent="0.2">
      <c r="B3624" s="12" t="s">
        <v>27</v>
      </c>
      <c r="C3624" s="12"/>
      <c r="D3624" s="1"/>
      <c r="E3624" s="1"/>
      <c r="F3624" s="1"/>
      <c r="G3624" s="1"/>
      <c r="H3624" s="1"/>
      <c r="I3624" s="1"/>
    </row>
    <row r="3625" spans="2:9" x14ac:dyDescent="0.15">
      <c r="B3625" s="903" t="s">
        <v>22</v>
      </c>
      <c r="C3625" s="904"/>
      <c r="D3625" s="905"/>
      <c r="E3625" s="209" t="s">
        <v>28</v>
      </c>
      <c r="F3625" s="209" t="s">
        <v>29</v>
      </c>
      <c r="G3625" s="209" t="s">
        <v>30</v>
      </c>
      <c r="H3625" s="208" t="s">
        <v>25</v>
      </c>
      <c r="I3625" s="43"/>
    </row>
    <row r="3626" spans="2:9" ht="24" customHeight="1" x14ac:dyDescent="0.15">
      <c r="B3626" s="917" t="s">
        <v>1589</v>
      </c>
      <c r="C3626" s="918"/>
      <c r="D3626" s="919"/>
      <c r="E3626" s="74" t="s">
        <v>319</v>
      </c>
      <c r="F3626" s="166">
        <f>MATERIALES!C84</f>
        <v>675000</v>
      </c>
      <c r="G3626" s="65">
        <v>1</v>
      </c>
      <c r="H3626" s="165">
        <f>G3626*F3626</f>
        <v>675000</v>
      </c>
      <c r="I3626" s="44"/>
    </row>
    <row r="3627" spans="2:9" x14ac:dyDescent="0.15">
      <c r="B3627" s="4" t="s">
        <v>187</v>
      </c>
      <c r="C3627" s="24"/>
      <c r="D3627" s="6"/>
      <c r="E3627" s="3" t="s">
        <v>58</v>
      </c>
      <c r="F3627" s="164">
        <f>MATERIALES!C9</f>
        <v>2800</v>
      </c>
      <c r="G3627" s="65">
        <v>3</v>
      </c>
      <c r="H3627" s="165">
        <f>G3627*F3627</f>
        <v>8400</v>
      </c>
      <c r="I3627" s="44"/>
    </row>
    <row r="3628" spans="2:9" x14ac:dyDescent="0.15">
      <c r="B3628" s="4" t="s">
        <v>321</v>
      </c>
      <c r="C3628" s="24"/>
      <c r="D3628" s="6"/>
      <c r="E3628" s="3" t="s">
        <v>58</v>
      </c>
      <c r="F3628" s="164">
        <f>MATERIALES!C50</f>
        <v>4500</v>
      </c>
      <c r="G3628" s="65">
        <v>3</v>
      </c>
      <c r="H3628" s="165">
        <f>G3628*F3628</f>
        <v>13500</v>
      </c>
      <c r="I3628" s="44"/>
    </row>
    <row r="3629" spans="2:9" ht="14" thickBot="1" x14ac:dyDescent="0.2">
      <c r="B3629" s="25"/>
      <c r="C3629" s="26"/>
      <c r="D3629" s="27"/>
      <c r="E3629" s="21"/>
      <c r="F3629" s="22"/>
      <c r="G3629" s="167"/>
      <c r="H3629" s="47"/>
      <c r="I3629" s="48"/>
    </row>
    <row r="3630" spans="2:9" ht="14" thickBot="1" x14ac:dyDescent="0.2">
      <c r="B3630" s="1"/>
      <c r="C3630" s="1"/>
      <c r="D3630" s="1"/>
      <c r="E3630" s="1"/>
      <c r="F3630" s="1"/>
      <c r="G3630" s="1"/>
      <c r="H3630" s="37" t="s">
        <v>26</v>
      </c>
      <c r="I3630" s="163">
        <f>SUM(H3626:H3628)</f>
        <v>696900</v>
      </c>
    </row>
    <row r="3631" spans="2:9" ht="14" thickBot="1" x14ac:dyDescent="0.2">
      <c r="B3631" s="28" t="s">
        <v>31</v>
      </c>
      <c r="C3631" s="28"/>
      <c r="D3631" s="26"/>
      <c r="E3631" s="1"/>
      <c r="F3631" s="1"/>
      <c r="G3631" s="1"/>
      <c r="H3631" s="1"/>
      <c r="I3631" s="1"/>
    </row>
    <row r="3632" spans="2:9" x14ac:dyDescent="0.15">
      <c r="B3632" s="51" t="s">
        <v>32</v>
      </c>
      <c r="C3632" s="52"/>
      <c r="D3632" s="97" t="s">
        <v>33</v>
      </c>
      <c r="E3632" s="209" t="s">
        <v>34</v>
      </c>
      <c r="F3632" s="209" t="s">
        <v>35</v>
      </c>
      <c r="G3632" s="209" t="s">
        <v>36</v>
      </c>
      <c r="H3632" s="59" t="s">
        <v>25</v>
      </c>
      <c r="I3632" s="43"/>
    </row>
    <row r="3633" spans="2:11" x14ac:dyDescent="0.15">
      <c r="B3633" s="4" t="s">
        <v>79</v>
      </c>
      <c r="C3633" s="6"/>
      <c r="D3633" s="53">
        <v>2</v>
      </c>
      <c r="E3633" s="2">
        <v>15</v>
      </c>
      <c r="F3633" s="2">
        <f>E3633*D3633</f>
        <v>30</v>
      </c>
      <c r="G3633" s="65">
        <v>1100</v>
      </c>
      <c r="H3633" s="20">
        <f>G3633*F3633</f>
        <v>33000</v>
      </c>
      <c r="I3633" s="44"/>
    </row>
    <row r="3634" spans="2:11" ht="14" thickBot="1" x14ac:dyDescent="0.2">
      <c r="B3634" s="33"/>
      <c r="C3634" s="54"/>
      <c r="D3634" s="21"/>
      <c r="E3634" s="22"/>
      <c r="F3634" s="23"/>
      <c r="G3634" s="47"/>
      <c r="H3634" s="21"/>
      <c r="I3634" s="48"/>
    </row>
    <row r="3635" spans="2:11" ht="14" thickBot="1" x14ac:dyDescent="0.2">
      <c r="B3635" s="1"/>
      <c r="C3635" s="1"/>
      <c r="D3635" s="1"/>
      <c r="E3635" s="1"/>
      <c r="F3635" s="1"/>
      <c r="G3635" s="1"/>
      <c r="H3635" s="37" t="s">
        <v>26</v>
      </c>
      <c r="I3635" s="163">
        <f>SUM(H3633:H3634)</f>
        <v>33000</v>
      </c>
      <c r="K3635" s="174"/>
    </row>
    <row r="3636" spans="2:11" ht="14" thickBot="1" x14ac:dyDescent="0.2">
      <c r="B3636" s="28" t="s">
        <v>37</v>
      </c>
      <c r="C3636" s="28"/>
      <c r="D3636" s="1"/>
      <c r="E3636" s="1"/>
      <c r="F3636" s="1"/>
      <c r="G3636" s="1"/>
      <c r="H3636" s="1"/>
      <c r="I3636" s="1"/>
    </row>
    <row r="3637" spans="2:11" x14ac:dyDescent="0.15">
      <c r="B3637" s="51" t="s">
        <v>38</v>
      </c>
      <c r="C3637" s="86"/>
      <c r="D3637" s="31" t="s">
        <v>39</v>
      </c>
      <c r="E3637" s="209" t="s">
        <v>40</v>
      </c>
      <c r="F3637" s="19" t="s">
        <v>41</v>
      </c>
      <c r="G3637" s="31" t="s">
        <v>24</v>
      </c>
      <c r="H3637" s="59" t="s">
        <v>25</v>
      </c>
      <c r="I3637" s="43"/>
    </row>
    <row r="3638" spans="2:11" x14ac:dyDescent="0.15">
      <c r="B3638" s="4" t="s">
        <v>65</v>
      </c>
      <c r="C3638" s="24"/>
      <c r="D3638" s="32">
        <f>'MANO DE OBRA'!E15</f>
        <v>95333</v>
      </c>
      <c r="E3638" s="88">
        <v>1.75</v>
      </c>
      <c r="F3638" s="164">
        <f>+E3638*D3638</f>
        <v>166832.75</v>
      </c>
      <c r="G3638" s="79">
        <v>1.8</v>
      </c>
      <c r="H3638" s="169">
        <f>+F3638/G3638</f>
        <v>92684.861111111109</v>
      </c>
      <c r="I3638" s="44"/>
    </row>
    <row r="3639" spans="2:11" x14ac:dyDescent="0.15">
      <c r="B3639" s="80" t="s">
        <v>64</v>
      </c>
      <c r="C3639" s="24"/>
      <c r="D3639" s="32">
        <f>'MANO DE OBRA'!E14*3</f>
        <v>156000</v>
      </c>
      <c r="E3639" s="88">
        <v>1.75</v>
      </c>
      <c r="F3639" s="164">
        <f>+E3639*D3639</f>
        <v>273000</v>
      </c>
      <c r="G3639" s="79">
        <v>1.8</v>
      </c>
      <c r="H3639" s="169">
        <f>+F3639/G3639</f>
        <v>151666.66666666666</v>
      </c>
      <c r="I3639" s="44"/>
    </row>
    <row r="3640" spans="2:11" ht="14" thickBot="1" x14ac:dyDescent="0.2">
      <c r="B3640" s="33"/>
      <c r="C3640" s="34"/>
      <c r="D3640" s="22"/>
      <c r="E3640" s="21"/>
      <c r="F3640" s="22"/>
      <c r="G3640" s="23"/>
      <c r="H3640" s="87"/>
      <c r="I3640" s="44"/>
    </row>
    <row r="3641" spans="2:11" ht="14" thickBot="1" x14ac:dyDescent="0.2">
      <c r="B3641" s="1"/>
      <c r="C3641" s="1"/>
      <c r="D3641" s="1"/>
      <c r="E3641" s="1"/>
      <c r="F3641" s="1"/>
      <c r="G3641" s="1"/>
      <c r="H3641" s="37" t="s">
        <v>26</v>
      </c>
      <c r="I3641" s="163">
        <f>SUM(H3638:H3640)</f>
        <v>244351.52777777775</v>
      </c>
    </row>
    <row r="3642" spans="2:11" ht="14" thickBot="1" x14ac:dyDescent="0.2">
      <c r="B3642" s="1"/>
      <c r="C3642" s="1"/>
      <c r="D3642" s="1"/>
      <c r="E3642" s="1"/>
      <c r="F3642" s="1"/>
      <c r="G3642" s="1"/>
      <c r="H3642" s="61"/>
      <c r="I3642" s="1"/>
    </row>
    <row r="3643" spans="2:11" ht="15" thickBot="1" x14ac:dyDescent="0.2">
      <c r="B3643" s="1"/>
      <c r="C3643" s="1"/>
      <c r="D3643" s="1"/>
      <c r="E3643" s="1"/>
      <c r="F3643" s="35" t="s">
        <v>43</v>
      </c>
      <c r="G3643" s="16"/>
      <c r="H3643" s="16"/>
      <c r="I3643" s="477">
        <f>ROUND((I3623+I3630+I3635+I3641),0)</f>
        <v>986469</v>
      </c>
    </row>
    <row r="3644" spans="2:11" x14ac:dyDescent="0.15">
      <c r="B3644" s="12"/>
      <c r="C3644" s="12"/>
      <c r="D3644" s="1"/>
      <c r="E3644" s="1"/>
      <c r="F3644" s="1"/>
      <c r="G3644" s="1"/>
      <c r="H3644" s="172"/>
      <c r="I3644" s="172"/>
    </row>
    <row r="3645" spans="2:11" x14ac:dyDescent="0.15">
      <c r="B3645" s="16"/>
      <c r="C3645" s="16"/>
      <c r="D3645" s="16"/>
      <c r="E3645" s="16"/>
      <c r="F3645" s="16"/>
      <c r="G3645" s="61"/>
      <c r="H3645" s="173"/>
      <c r="I3645" s="172"/>
    </row>
    <row r="3646" spans="2:11" x14ac:dyDescent="0.15">
      <c r="B3646" s="1"/>
      <c r="C3646" s="1"/>
      <c r="D3646" s="1"/>
      <c r="E3646" s="1"/>
      <c r="F3646" s="1"/>
      <c r="G3646" s="161"/>
      <c r="H3646" s="172"/>
      <c r="I3646" s="172"/>
    </row>
    <row r="3647" spans="2:11" x14ac:dyDescent="0.15">
      <c r="B3647" s="1"/>
      <c r="C3647" s="1"/>
      <c r="D3647" s="1"/>
      <c r="E3647" s="1"/>
      <c r="F3647" s="1"/>
      <c r="G3647" s="161"/>
      <c r="H3647" s="172"/>
      <c r="I3647" s="172"/>
    </row>
    <row r="3648" spans="2:11" x14ac:dyDescent="0.15">
      <c r="B3648" s="1"/>
      <c r="C3648" s="1"/>
      <c r="D3648" s="1"/>
      <c r="E3648" s="1"/>
      <c r="F3648" s="1"/>
      <c r="G3648" s="161"/>
      <c r="H3648" s="172"/>
      <c r="I3648" s="172"/>
    </row>
    <row r="3649" spans="1:10" x14ac:dyDescent="0.15">
      <c r="B3649" s="1"/>
      <c r="C3649" s="1"/>
      <c r="D3649" s="1"/>
      <c r="E3649" s="1"/>
      <c r="F3649" s="1"/>
      <c r="G3649" s="1"/>
      <c r="H3649" s="37"/>
      <c r="I3649" s="172"/>
    </row>
    <row r="3650" spans="1:10" ht="14" x14ac:dyDescent="0.15">
      <c r="B3650" s="102"/>
      <c r="C3650" s="1"/>
      <c r="D3650" s="1"/>
      <c r="E3650" s="1"/>
      <c r="F3650" s="1"/>
      <c r="G3650" s="1"/>
      <c r="H3650" s="1"/>
      <c r="I3650" s="172"/>
    </row>
    <row r="3651" spans="1:10" ht="14" x14ac:dyDescent="0.15">
      <c r="B3651" s="83"/>
      <c r="C3651" s="11"/>
      <c r="D3651" s="1"/>
      <c r="E3651" s="916"/>
      <c r="F3651" s="916"/>
      <c r="G3651" s="916"/>
      <c r="H3651" s="916"/>
      <c r="I3651" s="171"/>
    </row>
    <row r="3652" spans="1:10" x14ac:dyDescent="0.15">
      <c r="B3652" s="11"/>
      <c r="C3652" s="11"/>
      <c r="D3652" s="1"/>
      <c r="E3652" s="155"/>
      <c r="F3652" s="155"/>
      <c r="G3652" s="155"/>
      <c r="H3652" s="155"/>
      <c r="I3652" s="171"/>
    </row>
    <row r="3653" spans="1:10" x14ac:dyDescent="0.15">
      <c r="B3653" s="11"/>
      <c r="C3653" s="11"/>
      <c r="D3653" s="1"/>
      <c r="E3653" s="155"/>
      <c r="F3653" s="155"/>
      <c r="G3653" s="155"/>
      <c r="H3653" s="155"/>
      <c r="I3653" s="171"/>
    </row>
    <row r="3654" spans="1:10" x14ac:dyDescent="0.15">
      <c r="B3654" s="11"/>
      <c r="C3654" s="11"/>
      <c r="D3654" s="1"/>
      <c r="E3654" s="155"/>
      <c r="F3654" s="155"/>
      <c r="G3654" s="155"/>
      <c r="H3654" s="155"/>
      <c r="I3654" s="171"/>
    </row>
    <row r="3655" spans="1:10" x14ac:dyDescent="0.15">
      <c r="B3655" s="11"/>
      <c r="C3655" s="11"/>
      <c r="D3655" s="1"/>
      <c r="E3655" s="155"/>
      <c r="F3655" s="155"/>
      <c r="G3655" s="155"/>
      <c r="H3655" s="155"/>
      <c r="I3655" s="171"/>
    </row>
    <row r="3656" spans="1:10" x14ac:dyDescent="0.15">
      <c r="B3656" s="11"/>
      <c r="C3656" s="11"/>
      <c r="D3656" s="1"/>
      <c r="E3656" s="155"/>
      <c r="F3656" s="155"/>
      <c r="G3656" s="155"/>
      <c r="H3656" s="155"/>
      <c r="I3656" s="171"/>
    </row>
    <row r="3657" spans="1:10" x14ac:dyDescent="0.15">
      <c r="B3657" s="11"/>
      <c r="C3657" s="11"/>
      <c r="D3657" s="1"/>
      <c r="E3657" s="155"/>
      <c r="F3657" s="155"/>
      <c r="G3657" s="155"/>
      <c r="H3657" s="155"/>
      <c r="I3657" s="171"/>
    </row>
    <row r="3658" spans="1:10" x14ac:dyDescent="0.15">
      <c r="B3658" s="11"/>
      <c r="C3658" s="11"/>
      <c r="D3658" s="1"/>
      <c r="E3658" s="155"/>
      <c r="F3658" s="155"/>
      <c r="G3658" s="155"/>
      <c r="H3658" s="155"/>
      <c r="I3658" s="171"/>
    </row>
    <row r="3659" spans="1:10" ht="14" x14ac:dyDescent="0.15">
      <c r="A3659" s="85"/>
      <c r="B3659" s="83"/>
      <c r="C3659" s="83"/>
      <c r="D3659" s="84"/>
      <c r="E3659" s="83"/>
      <c r="F3659" s="156"/>
      <c r="G3659" s="157"/>
      <c r="H3659" s="158"/>
      <c r="I3659" s="159"/>
      <c r="J3659" s="85"/>
    </row>
    <row r="3660" spans="1:10" ht="14" x14ac:dyDescent="0.15">
      <c r="B3660" s="83"/>
      <c r="C3660" s="11"/>
      <c r="D3660" s="11"/>
      <c r="E3660" s="11"/>
      <c r="F3660" s="938"/>
      <c r="G3660" s="938"/>
      <c r="H3660" s="938"/>
      <c r="I3660" s="938"/>
    </row>
    <row r="3661" spans="1:10" ht="14" x14ac:dyDescent="0.15">
      <c r="A3661" s="85"/>
      <c r="B3661" s="83"/>
      <c r="C3661" s="83"/>
      <c r="D3661" s="84"/>
      <c r="E3661" s="83"/>
      <c r="G3661" s="83"/>
      <c r="H3661" s="83"/>
      <c r="I3661" s="85"/>
      <c r="J3661" s="85"/>
    </row>
    <row r="3662" spans="1:10" x14ac:dyDescent="0.15">
      <c r="B3662" s="11"/>
      <c r="C3662" s="11"/>
      <c r="D3662" s="1"/>
      <c r="E3662" s="155"/>
      <c r="F3662" s="155"/>
      <c r="G3662" s="155"/>
      <c r="H3662" s="155"/>
      <c r="I3662" s="171"/>
    </row>
    <row r="3663" spans="1:10" ht="14" thickBot="1" x14ac:dyDescent="0.2">
      <c r="B3663" s="11"/>
      <c r="C3663" s="11"/>
      <c r="D3663" s="1"/>
      <c r="E3663" s="155"/>
      <c r="F3663" s="155"/>
      <c r="G3663" s="155"/>
      <c r="H3663" s="155"/>
      <c r="I3663" s="171"/>
    </row>
    <row r="3664" spans="1:10" ht="21" customHeight="1" x14ac:dyDescent="0.15">
      <c r="B3664" s="885" t="s">
        <v>874</v>
      </c>
      <c r="C3664" s="886"/>
      <c r="D3664" s="886"/>
      <c r="E3664" s="886"/>
      <c r="F3664" s="887"/>
      <c r="G3664" s="1"/>
      <c r="H3664" s="879" t="s">
        <v>20</v>
      </c>
      <c r="I3664" s="880"/>
    </row>
    <row r="3665" spans="2:9" ht="16.5" customHeight="1" x14ac:dyDescent="0.15">
      <c r="B3665" s="888" t="s">
        <v>875</v>
      </c>
      <c r="C3665" s="889"/>
      <c r="D3665" s="889"/>
      <c r="E3665" s="889"/>
      <c r="F3665" s="890"/>
      <c r="G3665" s="63"/>
      <c r="H3665" s="881"/>
      <c r="I3665" s="882"/>
    </row>
    <row r="3666" spans="2:9" ht="12.75" customHeight="1" x14ac:dyDescent="0.15">
      <c r="B3666" s="906" t="s">
        <v>876</v>
      </c>
      <c r="C3666" s="907"/>
      <c r="D3666" s="907"/>
      <c r="E3666" s="907"/>
      <c r="F3666" s="908"/>
      <c r="G3666" s="63"/>
      <c r="H3666" s="883"/>
      <c r="I3666" s="884"/>
    </row>
    <row r="3667" spans="2:9" ht="16.5" customHeight="1" thickBot="1" x14ac:dyDescent="0.2">
      <c r="B3667" s="909"/>
      <c r="C3667" s="910"/>
      <c r="D3667" s="910"/>
      <c r="E3667" s="910"/>
      <c r="F3667" s="911"/>
      <c r="G3667" s="1"/>
      <c r="H3667" s="891" t="s">
        <v>931</v>
      </c>
      <c r="I3667" s="892"/>
    </row>
    <row r="3668" spans="2:9" ht="14" thickBot="1" x14ac:dyDescent="0.2">
      <c r="B3668" s="15"/>
      <c r="C3668" s="16"/>
      <c r="D3668" s="1"/>
      <c r="E3668" s="1"/>
      <c r="F3668" s="1"/>
      <c r="G3668" s="1"/>
      <c r="H3668" s="893"/>
      <c r="I3668" s="894"/>
    </row>
    <row r="3669" spans="2:9" ht="12.75" customHeight="1" x14ac:dyDescent="0.15">
      <c r="B3669" s="922" t="s">
        <v>836</v>
      </c>
      <c r="C3669" s="923"/>
      <c r="D3669" s="923"/>
      <c r="E3669" s="923"/>
      <c r="F3669" s="924"/>
      <c r="G3669" s="1"/>
      <c r="H3669" s="893"/>
      <c r="I3669" s="894"/>
    </row>
    <row r="3670" spans="2:9" ht="12.75" customHeight="1" x14ac:dyDescent="0.15">
      <c r="B3670" s="925"/>
      <c r="C3670" s="926"/>
      <c r="D3670" s="926"/>
      <c r="E3670" s="926"/>
      <c r="F3670" s="927"/>
      <c r="H3670" s="893"/>
      <c r="I3670" s="894"/>
    </row>
    <row r="3671" spans="2:9" ht="13.5" customHeight="1" x14ac:dyDescent="0.15">
      <c r="B3671" s="925"/>
      <c r="C3671" s="926"/>
      <c r="D3671" s="926"/>
      <c r="E3671" s="926"/>
      <c r="F3671" s="927"/>
      <c r="G3671" s="11"/>
      <c r="H3671" s="895"/>
      <c r="I3671" s="896"/>
    </row>
    <row r="3672" spans="2:9" ht="21.75" customHeight="1" thickBot="1" x14ac:dyDescent="0.2">
      <c r="B3672" s="928"/>
      <c r="C3672" s="929"/>
      <c r="D3672" s="929"/>
      <c r="E3672" s="929"/>
      <c r="F3672" s="930"/>
      <c r="H3672" s="64" t="s">
        <v>45</v>
      </c>
      <c r="I3672" s="17" t="s">
        <v>319</v>
      </c>
    </row>
    <row r="3673" spans="2:9" x14ac:dyDescent="0.15">
      <c r="B3673" s="18"/>
      <c r="C3673" s="18"/>
      <c r="D3673" s="1"/>
      <c r="E3673" s="18"/>
      <c r="F3673" s="18"/>
      <c r="G3673" s="18"/>
      <c r="H3673" s="18"/>
      <c r="I3673" s="1"/>
    </row>
    <row r="3674" spans="2:9" ht="14" thickBot="1" x14ac:dyDescent="0.2">
      <c r="B3674" s="12" t="s">
        <v>21</v>
      </c>
      <c r="C3674" s="12"/>
      <c r="D3674" s="1"/>
      <c r="E3674" s="1"/>
      <c r="F3674" s="1"/>
      <c r="G3674" s="1"/>
      <c r="H3674" s="1"/>
      <c r="I3674" s="1"/>
    </row>
    <row r="3675" spans="2:9" x14ac:dyDescent="0.15">
      <c r="B3675" s="903" t="s">
        <v>22</v>
      </c>
      <c r="C3675" s="904"/>
      <c r="D3675" s="905"/>
      <c r="E3675" s="209" t="s">
        <v>23</v>
      </c>
      <c r="F3675" s="19" t="s">
        <v>47</v>
      </c>
      <c r="G3675" s="209" t="s">
        <v>24</v>
      </c>
      <c r="H3675" s="208" t="s">
        <v>25</v>
      </c>
      <c r="I3675" s="43"/>
    </row>
    <row r="3676" spans="2:9" x14ac:dyDescent="0.15">
      <c r="B3676" s="897" t="s">
        <v>56</v>
      </c>
      <c r="C3676" s="898"/>
      <c r="D3676" s="899"/>
      <c r="E3676" s="5"/>
      <c r="F3676" s="458"/>
      <c r="G3676" s="58"/>
      <c r="H3676" s="426">
        <f>I3700*0.05</f>
        <v>75356.60500000001</v>
      </c>
      <c r="I3676" s="44"/>
    </row>
    <row r="3677" spans="2:9" ht="14" thickBot="1" x14ac:dyDescent="0.2">
      <c r="B3677" s="900"/>
      <c r="C3677" s="901"/>
      <c r="D3677" s="902"/>
      <c r="E3677" s="21"/>
      <c r="F3677" s="22"/>
      <c r="G3677" s="23"/>
      <c r="H3677" s="47"/>
      <c r="I3677" s="48"/>
    </row>
    <row r="3678" spans="2:9" ht="14" thickBot="1" x14ac:dyDescent="0.2">
      <c r="B3678" s="1"/>
      <c r="C3678" s="1"/>
      <c r="D3678" s="1"/>
      <c r="E3678" s="1"/>
      <c r="F3678" s="1"/>
      <c r="G3678" s="1"/>
      <c r="H3678" s="37" t="s">
        <v>26</v>
      </c>
      <c r="I3678" s="448">
        <f>SUM(H3676:H3677)</f>
        <v>75356.60500000001</v>
      </c>
    </row>
    <row r="3679" spans="2:9" ht="14" thickBot="1" x14ac:dyDescent="0.2">
      <c r="B3679" s="12" t="s">
        <v>27</v>
      </c>
      <c r="C3679" s="12"/>
      <c r="D3679" s="1"/>
      <c r="E3679" s="1"/>
      <c r="F3679" s="1"/>
      <c r="G3679" s="1"/>
      <c r="H3679" s="1"/>
      <c r="I3679" s="1"/>
    </row>
    <row r="3680" spans="2:9" x14ac:dyDescent="0.15">
      <c r="B3680" s="903" t="s">
        <v>22</v>
      </c>
      <c r="C3680" s="904"/>
      <c r="D3680" s="905"/>
      <c r="E3680" s="209" t="s">
        <v>28</v>
      </c>
      <c r="F3680" s="209" t="s">
        <v>29</v>
      </c>
      <c r="G3680" s="209" t="s">
        <v>30</v>
      </c>
      <c r="H3680" s="208" t="s">
        <v>25</v>
      </c>
      <c r="I3680" s="43"/>
    </row>
    <row r="3681" spans="2:9" x14ac:dyDescent="0.15">
      <c r="B3681" s="80" t="s">
        <v>928</v>
      </c>
      <c r="C3681" s="24"/>
      <c r="D3681" s="6"/>
      <c r="E3681" s="3" t="s">
        <v>501</v>
      </c>
      <c r="F3681" s="667">
        <f>MATERIALES!C163</f>
        <v>6157970</v>
      </c>
      <c r="G3681" s="65">
        <v>1</v>
      </c>
      <c r="H3681" s="426">
        <f>G3681*F3681</f>
        <v>6157970</v>
      </c>
      <c r="I3681" s="44"/>
    </row>
    <row r="3682" spans="2:9" x14ac:dyDescent="0.15">
      <c r="B3682" s="4" t="s">
        <v>929</v>
      </c>
      <c r="C3682" s="24"/>
      <c r="D3682" s="6"/>
      <c r="E3682" s="3" t="s">
        <v>7</v>
      </c>
      <c r="F3682" s="419">
        <f>MATERIALES!C97</f>
        <v>27510</v>
      </c>
      <c r="G3682" s="73">
        <v>12</v>
      </c>
      <c r="H3682" s="426">
        <f>G3682*F3682</f>
        <v>330120</v>
      </c>
      <c r="I3682" s="44"/>
    </row>
    <row r="3683" spans="2:9" x14ac:dyDescent="0.15">
      <c r="B3683" s="80" t="s">
        <v>148</v>
      </c>
      <c r="C3683" s="81"/>
      <c r="D3683" s="668"/>
      <c r="E3683" s="74" t="s">
        <v>6</v>
      </c>
      <c r="F3683" s="667">
        <f>MATERIALES!C12</f>
        <v>150000</v>
      </c>
      <c r="G3683" s="73">
        <v>1.44</v>
      </c>
      <c r="H3683" s="426">
        <f>G3683*F3683</f>
        <v>216000</v>
      </c>
      <c r="I3683" s="44"/>
    </row>
    <row r="3684" spans="2:9" x14ac:dyDescent="0.15">
      <c r="B3684" s="80" t="s">
        <v>59</v>
      </c>
      <c r="C3684" s="81"/>
      <c r="D3684" s="668"/>
      <c r="E3684" s="74" t="s">
        <v>6</v>
      </c>
      <c r="F3684" s="667">
        <f>MATERIALES!C14</f>
        <v>72000</v>
      </c>
      <c r="G3684" s="73">
        <f>G3683*0.8</f>
        <v>1.1519999999999999</v>
      </c>
      <c r="H3684" s="426">
        <f>G3684*F3684</f>
        <v>82944</v>
      </c>
      <c r="I3684" s="44"/>
    </row>
    <row r="3685" spans="2:9" ht="14" thickBot="1" x14ac:dyDescent="0.2">
      <c r="B3685" s="25"/>
      <c r="C3685" s="26"/>
      <c r="D3685" s="27"/>
      <c r="E3685" s="21"/>
      <c r="F3685" s="22"/>
      <c r="G3685" s="425"/>
      <c r="H3685" s="47"/>
      <c r="I3685" s="48"/>
    </row>
    <row r="3686" spans="2:9" ht="14" thickBot="1" x14ac:dyDescent="0.2">
      <c r="B3686" s="1"/>
      <c r="C3686" s="1"/>
      <c r="D3686" s="1"/>
      <c r="E3686" s="1"/>
      <c r="F3686" s="1"/>
      <c r="G3686" s="1"/>
      <c r="H3686" s="37" t="s">
        <v>26</v>
      </c>
      <c r="I3686" s="448">
        <f>SUM(H3681:H3684)</f>
        <v>6787034</v>
      </c>
    </row>
    <row r="3687" spans="2:9" ht="14" thickBot="1" x14ac:dyDescent="0.2">
      <c r="B3687" s="28" t="s">
        <v>31</v>
      </c>
      <c r="C3687" s="28"/>
      <c r="D3687" s="26"/>
      <c r="E3687" s="1"/>
      <c r="F3687" s="1"/>
      <c r="G3687" s="1"/>
      <c r="H3687" s="1"/>
      <c r="I3687" s="1"/>
    </row>
    <row r="3688" spans="2:9" x14ac:dyDescent="0.15">
      <c r="B3688" s="51" t="s">
        <v>32</v>
      </c>
      <c r="C3688" s="52"/>
      <c r="D3688" s="378" t="s">
        <v>33</v>
      </c>
      <c r="E3688" s="209" t="s">
        <v>34</v>
      </c>
      <c r="F3688" s="209" t="s">
        <v>35</v>
      </c>
      <c r="G3688" s="209" t="s">
        <v>36</v>
      </c>
      <c r="H3688" s="59" t="s">
        <v>25</v>
      </c>
      <c r="I3688" s="43"/>
    </row>
    <row r="3689" spans="2:9" x14ac:dyDescent="0.15">
      <c r="B3689" s="4" t="s">
        <v>148</v>
      </c>
      <c r="C3689" s="24"/>
      <c r="D3689" s="60">
        <f>G3683</f>
        <v>1.44</v>
      </c>
      <c r="E3689" s="2">
        <v>15</v>
      </c>
      <c r="F3689" s="2">
        <f t="shared" ref="F3689:F3691" si="18">E3689*D3689</f>
        <v>21.599999999999998</v>
      </c>
      <c r="G3689" s="162">
        <v>1100</v>
      </c>
      <c r="H3689" s="55">
        <f t="shared" ref="H3689:H3691" si="19">G3689*F3689</f>
        <v>23759.999999999996</v>
      </c>
      <c r="I3689" s="44"/>
    </row>
    <row r="3690" spans="2:9" x14ac:dyDescent="0.15">
      <c r="B3690" s="4" t="s">
        <v>59</v>
      </c>
      <c r="C3690" s="24"/>
      <c r="D3690" s="60">
        <f>G3684</f>
        <v>1.1519999999999999</v>
      </c>
      <c r="E3690" s="2">
        <v>15</v>
      </c>
      <c r="F3690" s="2">
        <f t="shared" si="18"/>
        <v>17.279999999999998</v>
      </c>
      <c r="G3690" s="162">
        <v>1100</v>
      </c>
      <c r="H3690" s="55">
        <f t="shared" si="19"/>
        <v>19007.999999999996</v>
      </c>
      <c r="I3690" s="44"/>
    </row>
    <row r="3691" spans="2:9" x14ac:dyDescent="0.15">
      <c r="B3691" s="24" t="s">
        <v>79</v>
      </c>
      <c r="C3691" s="6"/>
      <c r="D3691" s="53">
        <v>5</v>
      </c>
      <c r="E3691" s="2">
        <v>43</v>
      </c>
      <c r="F3691" s="2">
        <f t="shared" si="18"/>
        <v>215</v>
      </c>
      <c r="G3691" s="162">
        <v>1100</v>
      </c>
      <c r="H3691" s="55">
        <f t="shared" si="19"/>
        <v>236500</v>
      </c>
      <c r="I3691" s="44"/>
    </row>
    <row r="3692" spans="2:9" ht="14" thickBot="1" x14ac:dyDescent="0.2">
      <c r="B3692" s="33"/>
      <c r="C3692" s="54"/>
      <c r="D3692" s="21"/>
      <c r="E3692" s="22"/>
      <c r="F3692" s="23"/>
      <c r="G3692" s="47"/>
      <c r="H3692" s="21"/>
      <c r="I3692" s="44"/>
    </row>
    <row r="3693" spans="2:9" ht="14" thickBot="1" x14ac:dyDescent="0.2">
      <c r="B3693" s="1"/>
      <c r="C3693" s="1"/>
      <c r="D3693" s="1"/>
      <c r="E3693" s="1"/>
      <c r="F3693" s="1"/>
      <c r="G3693" s="1"/>
      <c r="H3693" s="37" t="s">
        <v>26</v>
      </c>
      <c r="I3693" s="448">
        <f>SUM(H3689:H3691)</f>
        <v>279268</v>
      </c>
    </row>
    <row r="3694" spans="2:9" ht="14" thickBot="1" x14ac:dyDescent="0.2">
      <c r="B3694" s="28" t="s">
        <v>37</v>
      </c>
      <c r="C3694" s="28"/>
      <c r="D3694" s="1"/>
      <c r="E3694" s="1"/>
      <c r="F3694" s="1"/>
      <c r="G3694" s="1"/>
      <c r="H3694" s="1"/>
      <c r="I3694" s="1"/>
    </row>
    <row r="3695" spans="2:9" x14ac:dyDescent="0.15">
      <c r="B3695" s="51" t="s">
        <v>38</v>
      </c>
      <c r="C3695" s="86"/>
      <c r="D3695" s="31" t="s">
        <v>39</v>
      </c>
      <c r="E3695" s="209" t="s">
        <v>40</v>
      </c>
      <c r="F3695" s="19" t="s">
        <v>41</v>
      </c>
      <c r="G3695" s="31" t="s">
        <v>24</v>
      </c>
      <c r="H3695" s="208" t="s">
        <v>25</v>
      </c>
      <c r="I3695" s="43"/>
    </row>
    <row r="3696" spans="2:9" x14ac:dyDescent="0.15">
      <c r="B3696" s="4" t="s">
        <v>65</v>
      </c>
      <c r="C3696" s="24"/>
      <c r="D3696" s="32">
        <f>'MANO DE OBRA'!E15</f>
        <v>95333</v>
      </c>
      <c r="E3696" s="168">
        <v>1.85</v>
      </c>
      <c r="F3696" s="419">
        <f>+E3696*D3696</f>
        <v>176366.05000000002</v>
      </c>
      <c r="G3696" s="79">
        <v>0.5</v>
      </c>
      <c r="H3696" s="420">
        <f>+F3696/G3696</f>
        <v>352732.10000000003</v>
      </c>
      <c r="I3696" s="44"/>
    </row>
    <row r="3697" spans="2:9" x14ac:dyDescent="0.15">
      <c r="B3697" s="4" t="s">
        <v>94</v>
      </c>
      <c r="C3697" s="24"/>
      <c r="D3697" s="32">
        <f>'MANO DE OBRA'!E14*6</f>
        <v>312000</v>
      </c>
      <c r="E3697" s="168">
        <v>1.85</v>
      </c>
      <c r="F3697" s="419">
        <f>+E3697*D3697</f>
        <v>577200</v>
      </c>
      <c r="G3697" s="79">
        <v>0.5</v>
      </c>
      <c r="H3697" s="420">
        <f>+F3697/G3697</f>
        <v>1154400</v>
      </c>
      <c r="I3697" s="44"/>
    </row>
    <row r="3698" spans="2:9" x14ac:dyDescent="0.15">
      <c r="B3698" s="4"/>
      <c r="C3698" s="24"/>
      <c r="D3698" s="32"/>
      <c r="E3698" s="168"/>
      <c r="F3698" s="20"/>
      <c r="G3698" s="20"/>
      <c r="H3698" s="55"/>
      <c r="I3698" s="44"/>
    </row>
    <row r="3699" spans="2:9" ht="14" thickBot="1" x14ac:dyDescent="0.2">
      <c r="B3699" s="33"/>
      <c r="C3699" s="34"/>
      <c r="D3699" s="22"/>
      <c r="E3699" s="21"/>
      <c r="F3699" s="22"/>
      <c r="G3699" s="23"/>
      <c r="H3699" s="47"/>
      <c r="I3699" s="48"/>
    </row>
    <row r="3700" spans="2:9" ht="14" thickBot="1" x14ac:dyDescent="0.2">
      <c r="B3700" s="1"/>
      <c r="C3700" s="1"/>
      <c r="D3700" s="1"/>
      <c r="E3700" s="1"/>
      <c r="F3700" s="1"/>
      <c r="G3700" s="1"/>
      <c r="H3700" s="37" t="s">
        <v>26</v>
      </c>
      <c r="I3700" s="424">
        <f>SUM(H3696:H3699)</f>
        <v>1507132.1</v>
      </c>
    </row>
    <row r="3701" spans="2:9" ht="14" thickBot="1" x14ac:dyDescent="0.2">
      <c r="B3701" s="1"/>
      <c r="C3701" s="1"/>
      <c r="D3701" s="1"/>
      <c r="E3701" s="1"/>
      <c r="F3701" s="1"/>
      <c r="G3701" s="1"/>
      <c r="H3701" s="61"/>
      <c r="I3701" s="1"/>
    </row>
    <row r="3702" spans="2:9" ht="14" thickBot="1" x14ac:dyDescent="0.2">
      <c r="B3702" s="1"/>
      <c r="C3702" s="1"/>
      <c r="D3702" s="1"/>
      <c r="E3702" s="1"/>
      <c r="F3702" s="35" t="s">
        <v>43</v>
      </c>
      <c r="G3702" s="16"/>
      <c r="H3702" s="16"/>
      <c r="I3702" s="669">
        <f>ROUND((I3678+I3686+I3693+I3700),0)</f>
        <v>8648791</v>
      </c>
    </row>
    <row r="3703" spans="2:9" ht="14" x14ac:dyDescent="0.15">
      <c r="B3703" s="1"/>
      <c r="C3703" s="1"/>
      <c r="D3703" s="1"/>
      <c r="E3703" s="1"/>
      <c r="F3703" s="15"/>
      <c r="G3703" s="16"/>
      <c r="H3703" s="16"/>
      <c r="I3703" s="478"/>
    </row>
    <row r="3704" spans="2:9" ht="14" x14ac:dyDescent="0.15">
      <c r="B3704" s="1"/>
      <c r="C3704" s="1"/>
      <c r="D3704" s="1"/>
      <c r="E3704" s="1"/>
      <c r="F3704" s="15"/>
      <c r="G3704" s="16"/>
      <c r="H3704" s="16"/>
      <c r="I3704" s="478"/>
    </row>
    <row r="3705" spans="2:9" ht="14" x14ac:dyDescent="0.15">
      <c r="B3705" s="1"/>
      <c r="C3705" s="1"/>
      <c r="D3705" s="1"/>
      <c r="E3705" s="1"/>
      <c r="F3705" s="15"/>
      <c r="G3705" s="16"/>
      <c r="H3705" s="16"/>
      <c r="I3705" s="478"/>
    </row>
    <row r="3706" spans="2:9" ht="14" x14ac:dyDescent="0.15">
      <c r="B3706" s="1"/>
      <c r="C3706" s="1"/>
      <c r="D3706" s="1"/>
      <c r="E3706" s="1"/>
      <c r="F3706" s="15"/>
      <c r="G3706" s="16"/>
      <c r="H3706" s="16"/>
      <c r="I3706" s="478"/>
    </row>
    <row r="3707" spans="2:9" ht="14" x14ac:dyDescent="0.15">
      <c r="B3707" s="1"/>
      <c r="C3707" s="1"/>
      <c r="D3707" s="1"/>
      <c r="E3707" s="1"/>
      <c r="F3707" s="15"/>
      <c r="G3707" s="16"/>
      <c r="H3707" s="16"/>
      <c r="I3707" s="478"/>
    </row>
    <row r="3708" spans="2:9" ht="14" x14ac:dyDescent="0.15">
      <c r="B3708" s="1"/>
      <c r="C3708" s="1"/>
      <c r="D3708" s="1"/>
      <c r="E3708" s="1"/>
      <c r="F3708" s="15"/>
      <c r="G3708" s="16"/>
      <c r="H3708" s="16"/>
      <c r="I3708" s="478"/>
    </row>
    <row r="3709" spans="2:9" ht="14" x14ac:dyDescent="0.15">
      <c r="B3709" s="1"/>
      <c r="C3709" s="1"/>
      <c r="D3709" s="1"/>
      <c r="E3709" s="1"/>
      <c r="F3709" s="15"/>
      <c r="G3709" s="16"/>
      <c r="H3709" s="16"/>
      <c r="I3709" s="478"/>
    </row>
    <row r="3710" spans="2:9" ht="14" x14ac:dyDescent="0.15">
      <c r="B3710" s="1"/>
      <c r="C3710" s="1"/>
      <c r="D3710" s="1"/>
      <c r="E3710" s="1"/>
      <c r="F3710" s="15"/>
      <c r="G3710" s="16"/>
      <c r="H3710" s="16"/>
      <c r="I3710" s="478"/>
    </row>
    <row r="3711" spans="2:9" ht="14" x14ac:dyDescent="0.15">
      <c r="B3711" s="1"/>
      <c r="C3711" s="1"/>
      <c r="D3711" s="1"/>
      <c r="E3711" s="1"/>
      <c r="F3711" s="15"/>
      <c r="G3711" s="16"/>
      <c r="H3711" s="16"/>
      <c r="I3711" s="478"/>
    </row>
    <row r="3712" spans="2:9" x14ac:dyDescent="0.15">
      <c r="B3712" s="11"/>
      <c r="C3712" s="11"/>
      <c r="D3712" s="1"/>
      <c r="E3712" s="155"/>
      <c r="F3712" s="155"/>
      <c r="G3712" s="155"/>
      <c r="H3712" s="155"/>
      <c r="I3712" s="479"/>
    </row>
    <row r="3713" spans="2:9" x14ac:dyDescent="0.15">
      <c r="B3713" s="11"/>
      <c r="C3713" s="11"/>
      <c r="D3713" s="1"/>
      <c r="E3713" s="155"/>
      <c r="F3713" s="155"/>
      <c r="G3713" s="155"/>
      <c r="H3713" s="155"/>
      <c r="I3713" s="479"/>
    </row>
    <row r="3714" spans="2:9" x14ac:dyDescent="0.15">
      <c r="B3714" s="11"/>
      <c r="C3714" s="11"/>
      <c r="D3714" s="1"/>
      <c r="E3714" s="155"/>
      <c r="F3714" s="155"/>
      <c r="G3714" s="155"/>
      <c r="H3714" s="155"/>
      <c r="I3714" s="479"/>
    </row>
    <row r="3715" spans="2:9" x14ac:dyDescent="0.15">
      <c r="B3715" s="11"/>
      <c r="C3715" s="11"/>
      <c r="D3715" s="1"/>
      <c r="E3715" s="155"/>
      <c r="F3715" s="155"/>
      <c r="G3715" s="155"/>
      <c r="H3715" s="155"/>
      <c r="I3715" s="479"/>
    </row>
    <row r="3716" spans="2:9" x14ac:dyDescent="0.15">
      <c r="B3716" s="11"/>
      <c r="C3716" s="11"/>
      <c r="D3716" s="1"/>
      <c r="E3716" s="155"/>
      <c r="F3716" s="155"/>
      <c r="G3716" s="155"/>
      <c r="H3716" s="155"/>
      <c r="I3716" s="479"/>
    </row>
    <row r="3717" spans="2:9" x14ac:dyDescent="0.15">
      <c r="B3717" s="11"/>
      <c r="C3717" s="11"/>
      <c r="D3717" s="1"/>
      <c r="E3717" s="155"/>
      <c r="F3717" s="155"/>
      <c r="G3717" s="155"/>
      <c r="H3717" s="155"/>
      <c r="I3717" s="479"/>
    </row>
    <row r="3718" spans="2:9" x14ac:dyDescent="0.15">
      <c r="B3718" s="11"/>
      <c r="C3718" s="11"/>
      <c r="D3718" s="1"/>
      <c r="E3718" s="155"/>
      <c r="F3718" s="155"/>
      <c r="G3718" s="155"/>
      <c r="H3718" s="155"/>
      <c r="I3718" s="479"/>
    </row>
    <row r="3719" spans="2:9" ht="14" thickBot="1" x14ac:dyDescent="0.2">
      <c r="B3719" s="11"/>
      <c r="C3719" s="11"/>
      <c r="D3719" s="1"/>
      <c r="E3719" s="155"/>
      <c r="F3719" s="155"/>
      <c r="G3719" s="155"/>
      <c r="H3719" s="155"/>
      <c r="I3719" s="479"/>
    </row>
    <row r="3720" spans="2:9" ht="21" customHeight="1" x14ac:dyDescent="0.15">
      <c r="B3720" s="885" t="s">
        <v>874</v>
      </c>
      <c r="C3720" s="886"/>
      <c r="D3720" s="886"/>
      <c r="E3720" s="886"/>
      <c r="F3720" s="887"/>
      <c r="G3720" s="1"/>
      <c r="H3720" s="879" t="s">
        <v>20</v>
      </c>
      <c r="I3720" s="880"/>
    </row>
    <row r="3721" spans="2:9" ht="16.5" customHeight="1" x14ac:dyDescent="0.15">
      <c r="B3721" s="888" t="s">
        <v>875</v>
      </c>
      <c r="C3721" s="889"/>
      <c r="D3721" s="889"/>
      <c r="E3721" s="889"/>
      <c r="F3721" s="890"/>
      <c r="G3721" s="63"/>
      <c r="H3721" s="881"/>
      <c r="I3721" s="882"/>
    </row>
    <row r="3722" spans="2:9" ht="12.75" customHeight="1" x14ac:dyDescent="0.15">
      <c r="B3722" s="906" t="s">
        <v>876</v>
      </c>
      <c r="C3722" s="907"/>
      <c r="D3722" s="907"/>
      <c r="E3722" s="907"/>
      <c r="F3722" s="908"/>
      <c r="G3722" s="63"/>
      <c r="H3722" s="883"/>
      <c r="I3722" s="884"/>
    </row>
    <row r="3723" spans="2:9" ht="16.5" customHeight="1" thickBot="1" x14ac:dyDescent="0.2">
      <c r="B3723" s="909"/>
      <c r="C3723" s="910"/>
      <c r="D3723" s="910"/>
      <c r="E3723" s="910"/>
      <c r="F3723" s="911"/>
      <c r="G3723" s="1"/>
      <c r="H3723" s="987" t="s">
        <v>1154</v>
      </c>
      <c r="I3723" s="988"/>
    </row>
    <row r="3724" spans="2:9" ht="13.5" customHeight="1" thickBot="1" x14ac:dyDescent="0.2">
      <c r="B3724" s="15"/>
      <c r="C3724" s="16"/>
      <c r="D3724" s="1"/>
      <c r="E3724" s="1"/>
      <c r="F3724" s="1"/>
      <c r="G3724" s="1"/>
      <c r="H3724" s="989"/>
      <c r="I3724" s="990"/>
    </row>
    <row r="3725" spans="2:9" ht="12.75" customHeight="1" x14ac:dyDescent="0.15">
      <c r="B3725" s="922" t="s">
        <v>836</v>
      </c>
      <c r="C3725" s="923"/>
      <c r="D3725" s="923"/>
      <c r="E3725" s="923"/>
      <c r="F3725" s="924"/>
      <c r="G3725" s="1"/>
      <c r="H3725" s="989"/>
      <c r="I3725" s="990"/>
    </row>
    <row r="3726" spans="2:9" ht="12.75" customHeight="1" x14ac:dyDescent="0.15">
      <c r="B3726" s="925"/>
      <c r="C3726" s="926"/>
      <c r="D3726" s="926"/>
      <c r="E3726" s="926"/>
      <c r="F3726" s="927"/>
      <c r="H3726" s="989"/>
      <c r="I3726" s="990"/>
    </row>
    <row r="3727" spans="2:9" ht="13.5" customHeight="1" x14ac:dyDescent="0.15">
      <c r="B3727" s="925"/>
      <c r="C3727" s="926"/>
      <c r="D3727" s="926"/>
      <c r="E3727" s="926"/>
      <c r="F3727" s="927"/>
      <c r="G3727" s="11"/>
      <c r="H3727" s="991"/>
      <c r="I3727" s="992"/>
    </row>
    <row r="3728" spans="2:9" ht="21.75" customHeight="1" thickBot="1" x14ac:dyDescent="0.2">
      <c r="B3728" s="928"/>
      <c r="C3728" s="929"/>
      <c r="D3728" s="929"/>
      <c r="E3728" s="929"/>
      <c r="F3728" s="930"/>
      <c r="H3728" s="64" t="s">
        <v>45</v>
      </c>
      <c r="I3728" s="17" t="s">
        <v>319</v>
      </c>
    </row>
    <row r="3729" spans="2:9" x14ac:dyDescent="0.15">
      <c r="B3729" s="18"/>
      <c r="C3729" s="18"/>
      <c r="D3729" s="1"/>
      <c r="E3729" s="18"/>
      <c r="F3729" s="18"/>
      <c r="G3729" s="18"/>
      <c r="H3729" s="18"/>
      <c r="I3729" s="1"/>
    </row>
    <row r="3730" spans="2:9" ht="14" thickBot="1" x14ac:dyDescent="0.2">
      <c r="B3730" s="12" t="s">
        <v>21</v>
      </c>
      <c r="C3730" s="12"/>
      <c r="D3730" s="1"/>
      <c r="E3730" s="1"/>
      <c r="F3730" s="1"/>
      <c r="G3730" s="1"/>
      <c r="H3730" s="1"/>
      <c r="I3730" s="1"/>
    </row>
    <row r="3731" spans="2:9" x14ac:dyDescent="0.15">
      <c r="B3731" s="903" t="s">
        <v>22</v>
      </c>
      <c r="C3731" s="904"/>
      <c r="D3731" s="905"/>
      <c r="E3731" s="209" t="s">
        <v>23</v>
      </c>
      <c r="F3731" s="19" t="s">
        <v>47</v>
      </c>
      <c r="G3731" s="209" t="s">
        <v>24</v>
      </c>
      <c r="H3731" s="208" t="s">
        <v>25</v>
      </c>
      <c r="I3731" s="43"/>
    </row>
    <row r="3732" spans="2:9" x14ac:dyDescent="0.15">
      <c r="B3732" s="897" t="s">
        <v>56</v>
      </c>
      <c r="C3732" s="898"/>
      <c r="D3732" s="899"/>
      <c r="E3732" s="5"/>
      <c r="F3732" s="162"/>
      <c r="G3732" s="58"/>
      <c r="H3732" s="162">
        <f>I3751*0.05</f>
        <v>1466.1091666666669</v>
      </c>
      <c r="I3732" s="44"/>
    </row>
    <row r="3733" spans="2:9" ht="14" thickBot="1" x14ac:dyDescent="0.2">
      <c r="B3733" s="900"/>
      <c r="C3733" s="901"/>
      <c r="D3733" s="902"/>
      <c r="E3733" s="21"/>
      <c r="F3733" s="22"/>
      <c r="G3733" s="23"/>
      <c r="H3733" s="47"/>
      <c r="I3733" s="48"/>
    </row>
    <row r="3734" spans="2:9" ht="14" thickBot="1" x14ac:dyDescent="0.2">
      <c r="B3734" s="1"/>
      <c r="C3734" s="1"/>
      <c r="D3734" s="1"/>
      <c r="E3734" s="1"/>
      <c r="F3734" s="1"/>
      <c r="G3734" s="1"/>
      <c r="H3734" s="37" t="s">
        <v>26</v>
      </c>
      <c r="I3734" s="163">
        <f>SUM(H3732:H3733)</f>
        <v>1466.1091666666669</v>
      </c>
    </row>
    <row r="3735" spans="2:9" ht="14" thickBot="1" x14ac:dyDescent="0.2">
      <c r="B3735" s="12" t="s">
        <v>27</v>
      </c>
      <c r="C3735" s="12"/>
      <c r="D3735" s="1"/>
      <c r="E3735" s="1"/>
      <c r="F3735" s="1"/>
      <c r="G3735" s="1"/>
      <c r="H3735" s="1"/>
      <c r="I3735" s="1"/>
    </row>
    <row r="3736" spans="2:9" x14ac:dyDescent="0.15">
      <c r="B3736" s="903" t="s">
        <v>22</v>
      </c>
      <c r="C3736" s="904"/>
      <c r="D3736" s="905"/>
      <c r="E3736" s="209" t="s">
        <v>28</v>
      </c>
      <c r="F3736" s="209" t="s">
        <v>29</v>
      </c>
      <c r="G3736" s="209" t="s">
        <v>30</v>
      </c>
      <c r="H3736" s="208" t="s">
        <v>25</v>
      </c>
      <c r="I3736" s="43"/>
    </row>
    <row r="3737" spans="2:9" x14ac:dyDescent="0.15">
      <c r="B3737" s="4" t="s">
        <v>1155</v>
      </c>
      <c r="C3737" s="24"/>
      <c r="D3737" s="6"/>
      <c r="E3737" s="74" t="s">
        <v>319</v>
      </c>
      <c r="F3737" s="166">
        <f>MATERIALES!C187</f>
        <v>216000</v>
      </c>
      <c r="G3737" s="65">
        <v>1</v>
      </c>
      <c r="H3737" s="165">
        <f>G3737*F3737</f>
        <v>216000</v>
      </c>
      <c r="I3737" s="44"/>
    </row>
    <row r="3738" spans="2:9" x14ac:dyDescent="0.15">
      <c r="B3738" s="4"/>
      <c r="C3738" s="24"/>
      <c r="D3738" s="6"/>
      <c r="E3738" s="3"/>
      <c r="F3738" s="164"/>
      <c r="G3738" s="65"/>
      <c r="H3738" s="165"/>
      <c r="I3738" s="44"/>
    </row>
    <row r="3739" spans="2:9" ht="14" thickBot="1" x14ac:dyDescent="0.2">
      <c r="B3739" s="25"/>
      <c r="C3739" s="26"/>
      <c r="D3739" s="27"/>
      <c r="E3739" s="21"/>
      <c r="F3739" s="22"/>
      <c r="G3739" s="167"/>
      <c r="H3739" s="47"/>
      <c r="I3739" s="48"/>
    </row>
    <row r="3740" spans="2:9" ht="14" thickBot="1" x14ac:dyDescent="0.2">
      <c r="B3740" s="1"/>
      <c r="C3740" s="1"/>
      <c r="D3740" s="1"/>
      <c r="E3740" s="1"/>
      <c r="F3740" s="1"/>
      <c r="G3740" s="1"/>
      <c r="H3740" s="37" t="s">
        <v>26</v>
      </c>
      <c r="I3740" s="163">
        <f>SUM(H3737:H3738)</f>
        <v>216000</v>
      </c>
    </row>
    <row r="3741" spans="2:9" ht="14" thickBot="1" x14ac:dyDescent="0.2">
      <c r="B3741" s="28" t="s">
        <v>31</v>
      </c>
      <c r="C3741" s="28"/>
      <c r="D3741" s="26"/>
      <c r="E3741" s="1"/>
      <c r="F3741" s="1"/>
      <c r="G3741" s="1"/>
      <c r="H3741" s="1"/>
      <c r="I3741" s="1"/>
    </row>
    <row r="3742" spans="2:9" x14ac:dyDescent="0.15">
      <c r="B3742" s="51" t="s">
        <v>32</v>
      </c>
      <c r="C3742" s="52"/>
      <c r="D3742" s="97" t="s">
        <v>33</v>
      </c>
      <c r="E3742" s="209" t="s">
        <v>34</v>
      </c>
      <c r="F3742" s="209" t="s">
        <v>35</v>
      </c>
      <c r="G3742" s="209" t="s">
        <v>36</v>
      </c>
      <c r="H3742" s="59" t="s">
        <v>25</v>
      </c>
      <c r="I3742" s="43"/>
    </row>
    <row r="3743" spans="2:9" x14ac:dyDescent="0.15">
      <c r="B3743" s="4" t="s">
        <v>79</v>
      </c>
      <c r="C3743" s="6"/>
      <c r="D3743" s="53">
        <v>0.1</v>
      </c>
      <c r="E3743" s="2">
        <v>43</v>
      </c>
      <c r="F3743" s="2">
        <f>E3743*D3743</f>
        <v>4.3</v>
      </c>
      <c r="G3743" s="65">
        <v>1100</v>
      </c>
      <c r="H3743" s="20">
        <f>G3743*F3743</f>
        <v>4730</v>
      </c>
      <c r="I3743" s="44"/>
    </row>
    <row r="3744" spans="2:9" ht="14" thickBot="1" x14ac:dyDescent="0.2">
      <c r="B3744" s="33"/>
      <c r="C3744" s="54"/>
      <c r="D3744" s="21"/>
      <c r="E3744" s="22"/>
      <c r="F3744" s="23"/>
      <c r="G3744" s="47"/>
      <c r="H3744" s="21"/>
      <c r="I3744" s="48"/>
    </row>
    <row r="3745" spans="2:9" ht="14" thickBot="1" x14ac:dyDescent="0.2">
      <c r="B3745" s="1"/>
      <c r="C3745" s="1"/>
      <c r="D3745" s="1"/>
      <c r="E3745" s="1"/>
      <c r="F3745" s="1"/>
      <c r="G3745" s="1"/>
      <c r="H3745" s="37" t="s">
        <v>26</v>
      </c>
      <c r="I3745" s="163">
        <f>SUM(H3743:H3744)</f>
        <v>4730</v>
      </c>
    </row>
    <row r="3746" spans="2:9" ht="14" thickBot="1" x14ac:dyDescent="0.2">
      <c r="B3746" s="28" t="s">
        <v>37</v>
      </c>
      <c r="C3746" s="28"/>
      <c r="D3746" s="1"/>
      <c r="E3746" s="1"/>
      <c r="F3746" s="1"/>
      <c r="G3746" s="1"/>
      <c r="H3746" s="1"/>
      <c r="I3746" s="1"/>
    </row>
    <row r="3747" spans="2:9" x14ac:dyDescent="0.15">
      <c r="B3747" s="51" t="s">
        <v>38</v>
      </c>
      <c r="C3747" s="86"/>
      <c r="D3747" s="31" t="s">
        <v>39</v>
      </c>
      <c r="E3747" s="209" t="s">
        <v>40</v>
      </c>
      <c r="F3747" s="19" t="s">
        <v>41</v>
      </c>
      <c r="G3747" s="31" t="s">
        <v>24</v>
      </c>
      <c r="H3747" s="59" t="s">
        <v>25</v>
      </c>
      <c r="I3747" s="43"/>
    </row>
    <row r="3748" spans="2:9" x14ac:dyDescent="0.15">
      <c r="B3748" s="4" t="s">
        <v>65</v>
      </c>
      <c r="C3748" s="24"/>
      <c r="D3748" s="32">
        <f>'MANO DE OBRA'!E15</f>
        <v>95333</v>
      </c>
      <c r="E3748" s="88">
        <v>1.75</v>
      </c>
      <c r="F3748" s="164">
        <f>+E3748*D3748</f>
        <v>166832.75</v>
      </c>
      <c r="G3748" s="79">
        <v>15</v>
      </c>
      <c r="H3748" s="169">
        <f>+F3748/G3748</f>
        <v>11122.183333333332</v>
      </c>
      <c r="I3748" s="44"/>
    </row>
    <row r="3749" spans="2:9" x14ac:dyDescent="0.15">
      <c r="B3749" s="80" t="s">
        <v>64</v>
      </c>
      <c r="C3749" s="24"/>
      <c r="D3749" s="32">
        <f>'MANO DE OBRA'!E14*3</f>
        <v>156000</v>
      </c>
      <c r="E3749" s="88">
        <v>1.75</v>
      </c>
      <c r="F3749" s="164">
        <f>+E3749*D3749</f>
        <v>273000</v>
      </c>
      <c r="G3749" s="79">
        <v>15</v>
      </c>
      <c r="H3749" s="169">
        <f>+F3749/G3749</f>
        <v>18200</v>
      </c>
      <c r="I3749" s="44"/>
    </row>
    <row r="3750" spans="2:9" ht="14" thickBot="1" x14ac:dyDescent="0.2">
      <c r="B3750" s="33"/>
      <c r="C3750" s="34"/>
      <c r="D3750" s="22"/>
      <c r="E3750" s="21"/>
      <c r="F3750" s="22"/>
      <c r="G3750" s="23"/>
      <c r="H3750" s="87"/>
      <c r="I3750" s="44"/>
    </row>
    <row r="3751" spans="2:9" ht="14" thickBot="1" x14ac:dyDescent="0.2">
      <c r="B3751" s="1"/>
      <c r="C3751" s="1"/>
      <c r="D3751" s="1"/>
      <c r="E3751" s="1"/>
      <c r="F3751" s="1"/>
      <c r="G3751" s="1"/>
      <c r="H3751" s="37" t="s">
        <v>26</v>
      </c>
      <c r="I3751" s="163">
        <f>SUM(H3748:H3750)</f>
        <v>29322.183333333334</v>
      </c>
    </row>
    <row r="3752" spans="2:9" ht="14" thickBot="1" x14ac:dyDescent="0.2">
      <c r="B3752" s="1"/>
      <c r="C3752" s="1"/>
      <c r="D3752" s="1"/>
      <c r="E3752" s="1"/>
      <c r="F3752" s="1"/>
      <c r="G3752" s="1"/>
      <c r="H3752" s="61"/>
      <c r="I3752" s="1"/>
    </row>
    <row r="3753" spans="2:9" ht="15" thickBot="1" x14ac:dyDescent="0.2">
      <c r="B3753" s="1"/>
      <c r="C3753" s="1"/>
      <c r="D3753" s="1"/>
      <c r="E3753" s="1"/>
      <c r="F3753" s="35" t="s">
        <v>43</v>
      </c>
      <c r="G3753" s="16"/>
      <c r="H3753" s="16"/>
      <c r="I3753" s="477">
        <f>ROUND((I3734+I3740+I3745+I3751),0)</f>
        <v>251518</v>
      </c>
    </row>
    <row r="3754" spans="2:9" x14ac:dyDescent="0.15">
      <c r="B3754" s="12"/>
      <c r="C3754" s="12"/>
      <c r="D3754" s="1"/>
      <c r="E3754" s="1"/>
      <c r="F3754" s="1"/>
      <c r="G3754" s="1"/>
      <c r="H3754" s="172"/>
      <c r="I3754" s="172"/>
    </row>
    <row r="3755" spans="2:9" x14ac:dyDescent="0.15">
      <c r="B3755" s="16"/>
      <c r="C3755" s="16"/>
      <c r="D3755" s="16"/>
      <c r="E3755" s="16"/>
      <c r="F3755" s="16"/>
      <c r="G3755" s="61"/>
      <c r="H3755" s="173"/>
      <c r="I3755" s="172"/>
    </row>
    <row r="3756" spans="2:9" x14ac:dyDescent="0.15">
      <c r="B3756" s="1"/>
      <c r="C3756" s="1"/>
      <c r="D3756" s="1"/>
      <c r="E3756" s="1"/>
      <c r="F3756" s="1"/>
      <c r="G3756" s="161"/>
      <c r="H3756" s="172"/>
      <c r="I3756" s="172"/>
    </row>
    <row r="3757" spans="2:9" x14ac:dyDescent="0.15">
      <c r="B3757" s="1"/>
      <c r="C3757" s="1"/>
      <c r="D3757" s="1"/>
      <c r="E3757" s="1"/>
      <c r="F3757" s="1"/>
      <c r="G3757" s="161"/>
      <c r="H3757" s="172"/>
      <c r="I3757" s="172"/>
    </row>
    <row r="3758" spans="2:9" x14ac:dyDescent="0.15">
      <c r="B3758" s="1"/>
      <c r="C3758" s="1"/>
      <c r="D3758" s="1"/>
      <c r="E3758" s="1"/>
      <c r="F3758" s="1"/>
      <c r="G3758" s="161"/>
      <c r="H3758" s="172"/>
      <c r="I3758" s="172"/>
    </row>
    <row r="3759" spans="2:9" x14ac:dyDescent="0.15">
      <c r="B3759" s="1"/>
      <c r="C3759" s="1"/>
      <c r="D3759" s="1"/>
      <c r="E3759" s="1"/>
      <c r="F3759" s="1"/>
      <c r="G3759" s="1"/>
      <c r="H3759" s="37"/>
      <c r="I3759" s="172"/>
    </row>
    <row r="3760" spans="2:9" ht="14" x14ac:dyDescent="0.15">
      <c r="B3760" s="102"/>
      <c r="C3760" s="1"/>
      <c r="D3760" s="1"/>
      <c r="E3760" s="1"/>
      <c r="F3760" s="1"/>
      <c r="G3760" s="1"/>
      <c r="H3760" s="1"/>
      <c r="I3760" s="172"/>
    </row>
    <row r="3761" spans="1:10" ht="14" x14ac:dyDescent="0.15">
      <c r="B3761" s="83"/>
      <c r="C3761" s="11"/>
      <c r="D3761" s="1"/>
      <c r="E3761" s="916"/>
      <c r="F3761" s="916"/>
      <c r="G3761" s="916"/>
      <c r="H3761" s="916"/>
      <c r="I3761" s="171"/>
    </row>
    <row r="3762" spans="1:10" x14ac:dyDescent="0.15">
      <c r="B3762" s="11"/>
      <c r="C3762" s="11"/>
      <c r="D3762" s="1"/>
      <c r="E3762" s="155"/>
      <c r="F3762" s="155"/>
      <c r="G3762" s="155"/>
      <c r="H3762" s="155"/>
      <c r="I3762" s="171"/>
    </row>
    <row r="3763" spans="1:10" x14ac:dyDescent="0.15">
      <c r="B3763" s="11"/>
      <c r="C3763" s="11"/>
      <c r="D3763" s="1"/>
      <c r="E3763" s="155"/>
      <c r="F3763" s="155"/>
      <c r="G3763" s="155"/>
      <c r="H3763" s="155"/>
      <c r="I3763" s="171"/>
    </row>
    <row r="3764" spans="1:10" x14ac:dyDescent="0.15">
      <c r="B3764" s="11"/>
      <c r="C3764" s="11"/>
      <c r="D3764" s="1"/>
      <c r="E3764" s="155"/>
      <c r="F3764" s="155"/>
      <c r="G3764" s="155"/>
      <c r="H3764" s="155"/>
      <c r="I3764" s="171"/>
    </row>
    <row r="3765" spans="1:10" x14ac:dyDescent="0.15">
      <c r="B3765" s="11"/>
      <c r="C3765" s="11"/>
      <c r="D3765" s="1"/>
      <c r="E3765" s="155"/>
      <c r="F3765" s="155"/>
      <c r="G3765" s="155"/>
      <c r="H3765" s="155"/>
      <c r="I3765" s="171"/>
    </row>
    <row r="3766" spans="1:10" x14ac:dyDescent="0.15">
      <c r="B3766" s="11"/>
      <c r="C3766" s="11"/>
      <c r="D3766" s="1"/>
      <c r="E3766" s="155"/>
      <c r="F3766" s="155"/>
      <c r="G3766" s="155"/>
      <c r="H3766" s="155"/>
      <c r="I3766" s="171"/>
    </row>
    <row r="3767" spans="1:10" x14ac:dyDescent="0.15">
      <c r="B3767" s="11"/>
      <c r="C3767" s="11"/>
      <c r="D3767" s="1"/>
      <c r="E3767" s="155"/>
      <c r="F3767" s="155"/>
      <c r="G3767" s="155"/>
      <c r="H3767" s="155"/>
      <c r="I3767" s="171"/>
    </row>
    <row r="3768" spans="1:10" x14ac:dyDescent="0.15">
      <c r="B3768" s="11"/>
      <c r="C3768" s="11"/>
      <c r="D3768" s="1"/>
      <c r="E3768" s="155"/>
      <c r="F3768" s="155"/>
      <c r="G3768" s="155"/>
      <c r="H3768" s="155"/>
      <c r="I3768" s="171"/>
    </row>
    <row r="3769" spans="1:10" x14ac:dyDescent="0.15">
      <c r="B3769" s="11"/>
      <c r="C3769" s="11"/>
      <c r="D3769" s="1"/>
      <c r="E3769" s="155"/>
      <c r="F3769" s="155"/>
      <c r="G3769" s="155"/>
      <c r="H3769" s="155"/>
      <c r="I3769" s="171"/>
    </row>
    <row r="3770" spans="1:10" x14ac:dyDescent="0.15">
      <c r="B3770" s="11"/>
      <c r="C3770" s="11"/>
      <c r="D3770" s="1"/>
      <c r="E3770" s="155"/>
      <c r="F3770" s="155"/>
      <c r="G3770" s="155"/>
      <c r="H3770" s="155"/>
      <c r="I3770" s="171"/>
    </row>
    <row r="3771" spans="1:10" ht="14" x14ac:dyDescent="0.15">
      <c r="A3771" s="85"/>
      <c r="B3771" s="83"/>
      <c r="C3771" s="83"/>
      <c r="D3771" s="84"/>
      <c r="E3771" s="83"/>
      <c r="F3771" s="156"/>
      <c r="G3771" s="157"/>
      <c r="H3771" s="158"/>
      <c r="I3771" s="159"/>
      <c r="J3771" s="85"/>
    </row>
    <row r="3772" spans="1:10" ht="14" x14ac:dyDescent="0.15">
      <c r="B3772" s="83"/>
      <c r="C3772" s="11"/>
      <c r="D3772" s="11"/>
      <c r="E3772" s="11"/>
      <c r="F3772" s="938"/>
      <c r="G3772" s="938"/>
      <c r="H3772" s="938"/>
      <c r="I3772" s="938"/>
    </row>
    <row r="3773" spans="1:10" ht="14" x14ac:dyDescent="0.15">
      <c r="A3773" s="85"/>
      <c r="B3773" s="83"/>
      <c r="C3773" s="83"/>
      <c r="D3773" s="84"/>
      <c r="E3773" s="83"/>
      <c r="G3773" s="83"/>
      <c r="H3773" s="83"/>
      <c r="I3773" s="85"/>
      <c r="J3773" s="85"/>
    </row>
    <row r="3774" spans="1:10" x14ac:dyDescent="0.15">
      <c r="B3774" s="11"/>
      <c r="C3774" s="11"/>
      <c r="D3774" s="1"/>
      <c r="E3774" s="155"/>
      <c r="F3774" s="155"/>
      <c r="G3774" s="155"/>
      <c r="H3774" s="155"/>
      <c r="I3774" s="171"/>
    </row>
    <row r="3775" spans="1:10" ht="14" thickBot="1" x14ac:dyDescent="0.2">
      <c r="B3775" s="11"/>
      <c r="C3775" s="11"/>
      <c r="D3775" s="1"/>
      <c r="E3775" s="155"/>
      <c r="F3775" s="155"/>
      <c r="G3775" s="155"/>
      <c r="H3775" s="155"/>
      <c r="I3775" s="171"/>
    </row>
    <row r="3776" spans="1:10" ht="21" customHeight="1" x14ac:dyDescent="0.15">
      <c r="B3776" s="885" t="s">
        <v>874</v>
      </c>
      <c r="C3776" s="886"/>
      <c r="D3776" s="886"/>
      <c r="E3776" s="886"/>
      <c r="F3776" s="887"/>
      <c r="G3776" s="1"/>
      <c r="H3776" s="879" t="s">
        <v>20</v>
      </c>
      <c r="I3776" s="880"/>
    </row>
    <row r="3777" spans="2:9" ht="16.5" customHeight="1" x14ac:dyDescent="0.15">
      <c r="B3777" s="888" t="s">
        <v>875</v>
      </c>
      <c r="C3777" s="889"/>
      <c r="D3777" s="889"/>
      <c r="E3777" s="889"/>
      <c r="F3777" s="890"/>
      <c r="G3777" s="63"/>
      <c r="H3777" s="881"/>
      <c r="I3777" s="882"/>
    </row>
    <row r="3778" spans="2:9" ht="12.75" customHeight="1" x14ac:dyDescent="0.15">
      <c r="B3778" s="906" t="s">
        <v>876</v>
      </c>
      <c r="C3778" s="907"/>
      <c r="D3778" s="907"/>
      <c r="E3778" s="907"/>
      <c r="F3778" s="908"/>
      <c r="G3778" s="63"/>
      <c r="H3778" s="883"/>
      <c r="I3778" s="884"/>
    </row>
    <row r="3779" spans="2:9" ht="16.5" customHeight="1" thickBot="1" x14ac:dyDescent="0.2">
      <c r="B3779" s="909"/>
      <c r="C3779" s="910"/>
      <c r="D3779" s="910"/>
      <c r="E3779" s="910"/>
      <c r="F3779" s="911"/>
      <c r="G3779" s="1"/>
      <c r="H3779" s="987" t="s">
        <v>1325</v>
      </c>
      <c r="I3779" s="988"/>
    </row>
    <row r="3780" spans="2:9" ht="14" thickBot="1" x14ac:dyDescent="0.2">
      <c r="B3780" s="15"/>
      <c r="C3780" s="16"/>
      <c r="D3780" s="1"/>
      <c r="E3780" s="1"/>
      <c r="F3780" s="1"/>
      <c r="G3780" s="1"/>
      <c r="H3780" s="989"/>
      <c r="I3780" s="990"/>
    </row>
    <row r="3781" spans="2:9" ht="12.75" customHeight="1" x14ac:dyDescent="0.15">
      <c r="B3781" s="922" t="s">
        <v>836</v>
      </c>
      <c r="C3781" s="923"/>
      <c r="D3781" s="923"/>
      <c r="E3781" s="923"/>
      <c r="F3781" s="924"/>
      <c r="G3781" s="1"/>
      <c r="H3781" s="989"/>
      <c r="I3781" s="990"/>
    </row>
    <row r="3782" spans="2:9" ht="12.75" customHeight="1" x14ac:dyDescent="0.15">
      <c r="B3782" s="925"/>
      <c r="C3782" s="926"/>
      <c r="D3782" s="926"/>
      <c r="E3782" s="926"/>
      <c r="F3782" s="927"/>
      <c r="H3782" s="989"/>
      <c r="I3782" s="990"/>
    </row>
    <row r="3783" spans="2:9" ht="13.5" customHeight="1" x14ac:dyDescent="0.15">
      <c r="B3783" s="925"/>
      <c r="C3783" s="926"/>
      <c r="D3783" s="926"/>
      <c r="E3783" s="926"/>
      <c r="F3783" s="927"/>
      <c r="G3783" s="11"/>
      <c r="H3783" s="991"/>
      <c r="I3783" s="992"/>
    </row>
    <row r="3784" spans="2:9" ht="21.75" customHeight="1" thickBot="1" x14ac:dyDescent="0.2">
      <c r="B3784" s="928"/>
      <c r="C3784" s="929"/>
      <c r="D3784" s="929"/>
      <c r="E3784" s="929"/>
      <c r="F3784" s="930"/>
      <c r="H3784" s="64" t="s">
        <v>45</v>
      </c>
      <c r="I3784" s="17" t="s">
        <v>319</v>
      </c>
    </row>
    <row r="3785" spans="2:9" x14ac:dyDescent="0.15">
      <c r="B3785" s="18"/>
      <c r="C3785" s="18"/>
      <c r="D3785" s="1"/>
      <c r="E3785" s="18"/>
      <c r="F3785" s="18"/>
      <c r="G3785" s="18"/>
      <c r="H3785" s="18"/>
      <c r="I3785" s="1"/>
    </row>
    <row r="3786" spans="2:9" ht="14" thickBot="1" x14ac:dyDescent="0.2">
      <c r="B3786" s="12" t="s">
        <v>21</v>
      </c>
      <c r="C3786" s="12"/>
      <c r="D3786" s="1"/>
      <c r="E3786" s="1"/>
      <c r="F3786" s="1"/>
      <c r="G3786" s="1"/>
      <c r="H3786" s="1"/>
      <c r="I3786" s="1"/>
    </row>
    <row r="3787" spans="2:9" x14ac:dyDescent="0.15">
      <c r="B3787" s="903" t="s">
        <v>22</v>
      </c>
      <c r="C3787" s="904"/>
      <c r="D3787" s="905"/>
      <c r="E3787" s="209" t="s">
        <v>23</v>
      </c>
      <c r="F3787" s="19" t="s">
        <v>47</v>
      </c>
      <c r="G3787" s="209" t="s">
        <v>24</v>
      </c>
      <c r="H3787" s="208" t="s">
        <v>25</v>
      </c>
      <c r="I3787" s="43"/>
    </row>
    <row r="3788" spans="2:9" x14ac:dyDescent="0.15">
      <c r="B3788" s="897" t="s">
        <v>56</v>
      </c>
      <c r="C3788" s="898"/>
      <c r="D3788" s="899"/>
      <c r="E3788" s="5"/>
      <c r="F3788" s="162"/>
      <c r="G3788" s="58"/>
      <c r="H3788" s="162">
        <f>I3812*0.05</f>
        <v>1453.4697916666667</v>
      </c>
      <c r="I3788" s="44"/>
    </row>
    <row r="3789" spans="2:9" ht="14" thickBot="1" x14ac:dyDescent="0.2">
      <c r="B3789" s="900"/>
      <c r="C3789" s="901"/>
      <c r="D3789" s="902"/>
      <c r="E3789" s="21"/>
      <c r="F3789" s="22"/>
      <c r="G3789" s="23"/>
      <c r="H3789" s="47"/>
      <c r="I3789" s="48"/>
    </row>
    <row r="3790" spans="2:9" ht="14" thickBot="1" x14ac:dyDescent="0.2">
      <c r="B3790" s="1"/>
      <c r="C3790" s="1"/>
      <c r="D3790" s="1"/>
      <c r="E3790" s="1"/>
      <c r="F3790" s="1"/>
      <c r="G3790" s="1"/>
      <c r="H3790" s="37" t="s">
        <v>26</v>
      </c>
      <c r="I3790" s="163">
        <f>SUM(H3788:H3789)</f>
        <v>1453.4697916666667</v>
      </c>
    </row>
    <row r="3791" spans="2:9" ht="14" thickBot="1" x14ac:dyDescent="0.2">
      <c r="B3791" s="12" t="s">
        <v>27</v>
      </c>
      <c r="C3791" s="12"/>
      <c r="D3791" s="1"/>
      <c r="E3791" s="1"/>
      <c r="F3791" s="1"/>
      <c r="G3791" s="1"/>
      <c r="H3791" s="1"/>
      <c r="I3791" s="1"/>
    </row>
    <row r="3792" spans="2:9" x14ac:dyDescent="0.15">
      <c r="B3792" s="903" t="s">
        <v>22</v>
      </c>
      <c r="C3792" s="904"/>
      <c r="D3792" s="905"/>
      <c r="E3792" s="209" t="s">
        <v>28</v>
      </c>
      <c r="F3792" s="209" t="s">
        <v>29</v>
      </c>
      <c r="G3792" s="209" t="s">
        <v>30</v>
      </c>
      <c r="H3792" s="208" t="s">
        <v>25</v>
      </c>
      <c r="I3792" s="43"/>
    </row>
    <row r="3793" spans="2:9" x14ac:dyDescent="0.15">
      <c r="B3793" s="4" t="s">
        <v>292</v>
      </c>
      <c r="C3793" s="24"/>
      <c r="D3793" s="6"/>
      <c r="E3793" s="3" t="s">
        <v>193</v>
      </c>
      <c r="F3793" s="164">
        <f>MATERIALES!C85</f>
        <v>11650</v>
      </c>
      <c r="G3793" s="65">
        <v>2</v>
      </c>
      <c r="H3793" s="165">
        <f t="shared" ref="H3793:H3798" si="20">G3793*F3793</f>
        <v>23300</v>
      </c>
      <c r="I3793" s="44"/>
    </row>
    <row r="3794" spans="2:9" x14ac:dyDescent="0.15">
      <c r="B3794" s="4" t="s">
        <v>293</v>
      </c>
      <c r="C3794" s="24"/>
      <c r="D3794" s="6"/>
      <c r="E3794" s="3" t="s">
        <v>319</v>
      </c>
      <c r="F3794" s="164">
        <f>MATERIALES!C86</f>
        <v>4050</v>
      </c>
      <c r="G3794" s="65">
        <v>1</v>
      </c>
      <c r="H3794" s="165">
        <f t="shared" si="20"/>
        <v>4050</v>
      </c>
      <c r="I3794" s="44"/>
    </row>
    <row r="3795" spans="2:9" x14ac:dyDescent="0.15">
      <c r="B3795" s="4" t="s">
        <v>294</v>
      </c>
      <c r="C3795" s="24"/>
      <c r="D3795" s="6"/>
      <c r="E3795" s="3" t="s">
        <v>319</v>
      </c>
      <c r="F3795" s="164">
        <f>MATERIALES!C87</f>
        <v>3990</v>
      </c>
      <c r="G3795" s="65">
        <v>0.2</v>
      </c>
      <c r="H3795" s="165">
        <f t="shared" si="20"/>
        <v>798</v>
      </c>
      <c r="I3795" s="44"/>
    </row>
    <row r="3796" spans="2:9" x14ac:dyDescent="0.15">
      <c r="B3796" s="4" t="s">
        <v>295</v>
      </c>
      <c r="C3796" s="24"/>
      <c r="D3796" s="6"/>
      <c r="E3796" s="3" t="s">
        <v>319</v>
      </c>
      <c r="F3796" s="164">
        <f>MATERIALES!C88</f>
        <v>2086</v>
      </c>
      <c r="G3796" s="65">
        <v>0.2</v>
      </c>
      <c r="H3796" s="165">
        <f t="shared" si="20"/>
        <v>417.20000000000005</v>
      </c>
      <c r="I3796" s="44"/>
    </row>
    <row r="3797" spans="2:9" x14ac:dyDescent="0.15">
      <c r="B3797" s="4" t="s">
        <v>296</v>
      </c>
      <c r="C3797" s="24"/>
      <c r="D3797" s="6"/>
      <c r="E3797" s="3" t="s">
        <v>319</v>
      </c>
      <c r="F3797" s="164">
        <f>MATERIALES!C89</f>
        <v>12460</v>
      </c>
      <c r="G3797" s="65">
        <v>0.2</v>
      </c>
      <c r="H3797" s="165">
        <f t="shared" si="20"/>
        <v>2492</v>
      </c>
      <c r="I3797" s="44"/>
    </row>
    <row r="3798" spans="2:9" x14ac:dyDescent="0.15">
      <c r="B3798" s="4" t="s">
        <v>135</v>
      </c>
      <c r="C3798" s="24"/>
      <c r="D3798" s="6"/>
      <c r="E3798" s="3" t="s">
        <v>77</v>
      </c>
      <c r="F3798" s="164">
        <f>MATERIALES!C27</f>
        <v>286200</v>
      </c>
      <c r="G3798" s="65">
        <v>0.01</v>
      </c>
      <c r="H3798" s="165">
        <f t="shared" si="20"/>
        <v>2862</v>
      </c>
      <c r="I3798" s="44"/>
    </row>
    <row r="3799" spans="2:9" ht="14" thickBot="1" x14ac:dyDescent="0.2">
      <c r="B3799" s="25"/>
      <c r="C3799" s="26"/>
      <c r="D3799" s="27"/>
      <c r="E3799" s="21"/>
      <c r="F3799" s="22"/>
      <c r="G3799" s="167"/>
      <c r="H3799" s="47"/>
      <c r="I3799" s="48"/>
    </row>
    <row r="3800" spans="2:9" ht="14" thickBot="1" x14ac:dyDescent="0.2">
      <c r="B3800" s="1"/>
      <c r="C3800" s="1"/>
      <c r="D3800" s="1"/>
      <c r="E3800" s="1"/>
      <c r="F3800" s="1"/>
      <c r="G3800" s="1"/>
      <c r="H3800" s="37" t="s">
        <v>26</v>
      </c>
      <c r="I3800" s="163">
        <f>SUM(H3793:H3799)</f>
        <v>33919.199999999997</v>
      </c>
    </row>
    <row r="3801" spans="2:9" ht="14" thickBot="1" x14ac:dyDescent="0.2">
      <c r="B3801" s="28" t="s">
        <v>31</v>
      </c>
      <c r="C3801" s="28"/>
      <c r="D3801" s="26"/>
      <c r="E3801" s="1"/>
      <c r="F3801" s="1"/>
      <c r="G3801" s="1"/>
      <c r="H3801" s="1"/>
      <c r="I3801" s="1"/>
    </row>
    <row r="3802" spans="2:9" x14ac:dyDescent="0.15">
      <c r="B3802" s="51" t="s">
        <v>32</v>
      </c>
      <c r="C3802" s="52"/>
      <c r="D3802" s="97" t="s">
        <v>33</v>
      </c>
      <c r="E3802" s="209" t="s">
        <v>34</v>
      </c>
      <c r="F3802" s="209" t="s">
        <v>35</v>
      </c>
      <c r="G3802" s="209" t="s">
        <v>36</v>
      </c>
      <c r="H3802" s="59" t="s">
        <v>25</v>
      </c>
      <c r="I3802" s="43"/>
    </row>
    <row r="3803" spans="2:9" x14ac:dyDescent="0.15">
      <c r="B3803" s="4" t="s">
        <v>79</v>
      </c>
      <c r="C3803" s="6"/>
      <c r="D3803" s="53">
        <v>0.1</v>
      </c>
      <c r="E3803" s="2">
        <v>15</v>
      </c>
      <c r="F3803" s="2">
        <f>E3803*D3803</f>
        <v>1.5</v>
      </c>
      <c r="G3803" s="65">
        <v>1100</v>
      </c>
      <c r="H3803" s="20">
        <f>G3803*F3803</f>
        <v>1650</v>
      </c>
      <c r="I3803" s="44"/>
    </row>
    <row r="3804" spans="2:9" x14ac:dyDescent="0.15">
      <c r="B3804" s="107"/>
      <c r="C3804" s="66"/>
      <c r="D3804" s="67"/>
      <c r="E3804" s="68"/>
      <c r="F3804" s="68"/>
      <c r="G3804" s="69"/>
      <c r="H3804" s="65"/>
      <c r="I3804" s="44"/>
    </row>
    <row r="3805" spans="2:9" ht="14" thickBot="1" x14ac:dyDescent="0.2">
      <c r="B3805" s="33"/>
      <c r="C3805" s="54"/>
      <c r="D3805" s="21"/>
      <c r="E3805" s="22"/>
      <c r="F3805" s="23"/>
      <c r="G3805" s="47"/>
      <c r="H3805" s="21"/>
      <c r="I3805" s="48"/>
    </row>
    <row r="3806" spans="2:9" ht="14" thickBot="1" x14ac:dyDescent="0.2">
      <c r="B3806" s="1"/>
      <c r="C3806" s="1"/>
      <c r="D3806" s="1"/>
      <c r="E3806" s="1"/>
      <c r="F3806" s="1"/>
      <c r="G3806" s="1"/>
      <c r="H3806" s="37" t="s">
        <v>26</v>
      </c>
      <c r="I3806" s="163">
        <f>SUM(H3803:H3805)</f>
        <v>1650</v>
      </c>
    </row>
    <row r="3807" spans="2:9" ht="14" thickBot="1" x14ac:dyDescent="0.2">
      <c r="B3807" s="28" t="s">
        <v>37</v>
      </c>
      <c r="C3807" s="28"/>
      <c r="D3807" s="1"/>
      <c r="E3807" s="1"/>
      <c r="F3807" s="1"/>
      <c r="G3807" s="1"/>
      <c r="H3807" s="1"/>
      <c r="I3807" s="1"/>
    </row>
    <row r="3808" spans="2:9" x14ac:dyDescent="0.15">
      <c r="B3808" s="51" t="s">
        <v>38</v>
      </c>
      <c r="C3808" s="86"/>
      <c r="D3808" s="31" t="s">
        <v>39</v>
      </c>
      <c r="E3808" s="209" t="s">
        <v>40</v>
      </c>
      <c r="F3808" s="19" t="s">
        <v>41</v>
      </c>
      <c r="G3808" s="31" t="s">
        <v>24</v>
      </c>
      <c r="H3808" s="208" t="s">
        <v>25</v>
      </c>
      <c r="I3808" s="43"/>
    </row>
    <row r="3809" spans="2:9" x14ac:dyDescent="0.15">
      <c r="B3809" s="4" t="s">
        <v>65</v>
      </c>
      <c r="C3809" s="24"/>
      <c r="D3809" s="32">
        <f>'MANO DE OBRA'!E15</f>
        <v>95333</v>
      </c>
      <c r="E3809" s="88">
        <v>1.75</v>
      </c>
      <c r="F3809" s="164">
        <f>+E3809*D3809</f>
        <v>166832.75</v>
      </c>
      <c r="G3809" s="79">
        <v>12</v>
      </c>
      <c r="H3809" s="169">
        <f>+F3809/G3809</f>
        <v>13902.729166666666</v>
      </c>
      <c r="I3809" s="44"/>
    </row>
    <row r="3810" spans="2:9" x14ac:dyDescent="0.15">
      <c r="B3810" s="80" t="s">
        <v>55</v>
      </c>
      <c r="C3810" s="24"/>
      <c r="D3810" s="32">
        <f>'MANO DE OBRA'!E14*2</f>
        <v>104000</v>
      </c>
      <c r="E3810" s="88">
        <v>1.75</v>
      </c>
      <c r="F3810" s="164">
        <f>+E3810*D3810</f>
        <v>182000</v>
      </c>
      <c r="G3810" s="79">
        <v>12</v>
      </c>
      <c r="H3810" s="169">
        <f>+F3810/G3810</f>
        <v>15166.666666666666</v>
      </c>
      <c r="I3810" s="44"/>
    </row>
    <row r="3811" spans="2:9" ht="14" thickBot="1" x14ac:dyDescent="0.2">
      <c r="B3811" s="33"/>
      <c r="C3811" s="34"/>
      <c r="D3811" s="22"/>
      <c r="E3811" s="21"/>
      <c r="F3811" s="22"/>
      <c r="G3811" s="23"/>
      <c r="H3811" s="47"/>
      <c r="I3811" s="48"/>
    </row>
    <row r="3812" spans="2:9" ht="14" thickBot="1" x14ac:dyDescent="0.2">
      <c r="B3812" s="1"/>
      <c r="C3812" s="1"/>
      <c r="D3812" s="1"/>
      <c r="E3812" s="1"/>
      <c r="F3812" s="1"/>
      <c r="G3812" s="1"/>
      <c r="H3812" s="37" t="s">
        <v>26</v>
      </c>
      <c r="I3812" s="177">
        <f>SUM(H3809:H3811)</f>
        <v>29069.395833333332</v>
      </c>
    </row>
    <row r="3813" spans="2:9" ht="14" thickBot="1" x14ac:dyDescent="0.2">
      <c r="B3813" s="1"/>
      <c r="C3813" s="1"/>
      <c r="D3813" s="1"/>
      <c r="E3813" s="1"/>
      <c r="F3813" s="1"/>
      <c r="G3813" s="1"/>
      <c r="H3813" s="61"/>
      <c r="I3813" s="1"/>
    </row>
    <row r="3814" spans="2:9" ht="15" thickBot="1" x14ac:dyDescent="0.2">
      <c r="B3814" s="1"/>
      <c r="C3814" s="1"/>
      <c r="D3814" s="1"/>
      <c r="E3814" s="1"/>
      <c r="F3814" s="35" t="s">
        <v>43</v>
      </c>
      <c r="G3814" s="16"/>
      <c r="H3814" s="16"/>
      <c r="I3814" s="477">
        <f>ROUND((I3790+I3800+I3806+I3812),0)</f>
        <v>66092</v>
      </c>
    </row>
    <row r="3815" spans="2:9" x14ac:dyDescent="0.15">
      <c r="B3815" s="12"/>
      <c r="C3815" s="12"/>
      <c r="D3815" s="1"/>
      <c r="E3815" s="1"/>
      <c r="F3815" s="1"/>
      <c r="G3815" s="1"/>
      <c r="H3815" s="172"/>
      <c r="I3815" s="172"/>
    </row>
    <row r="3816" spans="2:9" x14ac:dyDescent="0.15">
      <c r="B3816" s="16"/>
      <c r="C3816" s="16"/>
      <c r="D3816" s="16"/>
      <c r="E3816" s="16"/>
      <c r="F3816" s="16"/>
      <c r="G3816" s="61"/>
      <c r="H3816" s="173"/>
      <c r="I3816" s="172"/>
    </row>
    <row r="3817" spans="2:9" x14ac:dyDescent="0.15">
      <c r="B3817" s="1"/>
      <c r="C3817" s="1"/>
      <c r="D3817" s="1"/>
      <c r="E3817" s="1"/>
      <c r="F3817" s="1"/>
      <c r="G3817" s="161"/>
      <c r="H3817" s="172"/>
      <c r="I3817" s="172"/>
    </row>
    <row r="3818" spans="2:9" x14ac:dyDescent="0.15">
      <c r="B3818" s="1"/>
      <c r="C3818" s="1"/>
      <c r="D3818" s="1"/>
      <c r="E3818" s="1"/>
      <c r="F3818" s="1"/>
      <c r="G3818" s="161"/>
      <c r="H3818" s="172"/>
      <c r="I3818" s="172"/>
    </row>
    <row r="3819" spans="2:9" x14ac:dyDescent="0.15">
      <c r="B3819" s="1"/>
      <c r="C3819" s="1"/>
      <c r="D3819" s="1"/>
      <c r="E3819" s="1"/>
      <c r="F3819" s="1"/>
      <c r="G3819" s="161"/>
      <c r="H3819" s="172"/>
      <c r="I3819" s="172"/>
    </row>
    <row r="3820" spans="2:9" x14ac:dyDescent="0.15">
      <c r="B3820" s="1"/>
      <c r="C3820" s="1"/>
      <c r="D3820" s="1"/>
      <c r="E3820" s="1"/>
      <c r="F3820" s="1"/>
      <c r="G3820" s="1"/>
      <c r="H3820" s="37"/>
      <c r="I3820" s="172"/>
    </row>
    <row r="3821" spans="2:9" ht="14" x14ac:dyDescent="0.15">
      <c r="B3821" s="102"/>
      <c r="C3821" s="1"/>
      <c r="D3821" s="1"/>
      <c r="E3821" s="1"/>
      <c r="F3821" s="1"/>
      <c r="G3821" s="1"/>
      <c r="H3821" s="1"/>
      <c r="I3821" s="172"/>
    </row>
    <row r="3822" spans="2:9" ht="14" x14ac:dyDescent="0.15">
      <c r="B3822" s="102"/>
      <c r="C3822" s="1"/>
      <c r="D3822" s="1"/>
      <c r="E3822" s="1"/>
      <c r="F3822" s="1"/>
      <c r="G3822" s="1"/>
      <c r="H3822" s="1"/>
      <c r="I3822" s="172"/>
    </row>
    <row r="3823" spans="2:9" ht="14" x14ac:dyDescent="0.15">
      <c r="B3823" s="102"/>
      <c r="C3823" s="1"/>
      <c r="D3823" s="1"/>
      <c r="E3823" s="1"/>
      <c r="F3823" s="1"/>
      <c r="G3823" s="1"/>
      <c r="H3823" s="1"/>
      <c r="I3823" s="172"/>
    </row>
    <row r="3824" spans="2:9" ht="14" x14ac:dyDescent="0.15">
      <c r="B3824" s="83"/>
      <c r="C3824" s="11"/>
      <c r="D3824" s="1"/>
      <c r="E3824" s="916"/>
      <c r="F3824" s="916"/>
      <c r="G3824" s="916"/>
      <c r="H3824" s="916"/>
      <c r="I3824" s="171"/>
    </row>
    <row r="3825" spans="1:10" x14ac:dyDescent="0.15">
      <c r="B3825" s="11"/>
      <c r="C3825" s="11"/>
      <c r="D3825" s="1"/>
      <c r="E3825" s="155"/>
      <c r="F3825" s="155"/>
      <c r="G3825" s="155"/>
      <c r="H3825" s="155"/>
      <c r="I3825" s="171"/>
    </row>
    <row r="3826" spans="1:10" x14ac:dyDescent="0.15">
      <c r="B3826" s="11"/>
      <c r="C3826" s="11"/>
      <c r="D3826" s="1"/>
      <c r="E3826" s="155"/>
      <c r="F3826" s="155"/>
      <c r="G3826" s="155"/>
      <c r="H3826" s="155"/>
      <c r="I3826" s="171"/>
    </row>
    <row r="3827" spans="1:10" x14ac:dyDescent="0.15">
      <c r="B3827" s="11"/>
      <c r="C3827" s="11"/>
      <c r="D3827" s="1"/>
      <c r="E3827" s="155"/>
      <c r="F3827" s="155"/>
      <c r="G3827" s="155"/>
      <c r="H3827" s="155"/>
      <c r="I3827" s="171"/>
    </row>
    <row r="3828" spans="1:10" ht="14" x14ac:dyDescent="0.15">
      <c r="A3828" s="85"/>
      <c r="B3828" s="102"/>
      <c r="C3828" s="83"/>
      <c r="D3828" s="84"/>
      <c r="E3828" s="83"/>
      <c r="F3828" s="160"/>
      <c r="G3828" s="157"/>
      <c r="H3828" s="83"/>
      <c r="I3828" s="83"/>
      <c r="J3828" s="85"/>
    </row>
    <row r="3829" spans="1:10" ht="14" x14ac:dyDescent="0.15">
      <c r="A3829" s="85"/>
      <c r="B3829" s="83"/>
      <c r="C3829" s="83"/>
      <c r="D3829" s="84"/>
      <c r="E3829" s="83"/>
      <c r="F3829" s="156"/>
      <c r="G3829" s="157"/>
      <c r="H3829" s="158"/>
      <c r="I3829" s="159"/>
      <c r="J3829" s="85"/>
    </row>
    <row r="3830" spans="1:10" ht="14" x14ac:dyDescent="0.15">
      <c r="B3830" s="83"/>
      <c r="C3830" s="11"/>
      <c r="D3830" s="11"/>
      <c r="E3830" s="11"/>
      <c r="F3830" s="938"/>
      <c r="G3830" s="938"/>
      <c r="H3830" s="938"/>
      <c r="I3830" s="938"/>
    </row>
    <row r="3831" spans="1:10" ht="14" thickBot="1" x14ac:dyDescent="0.2"/>
    <row r="3832" spans="1:10" ht="21" customHeight="1" x14ac:dyDescent="0.15">
      <c r="B3832" s="885" t="s">
        <v>874</v>
      </c>
      <c r="C3832" s="886"/>
      <c r="D3832" s="886"/>
      <c r="E3832" s="886"/>
      <c r="F3832" s="887"/>
      <c r="G3832" s="1"/>
      <c r="H3832" s="879" t="s">
        <v>20</v>
      </c>
      <c r="I3832" s="880"/>
    </row>
    <row r="3833" spans="1:10" ht="16.5" customHeight="1" x14ac:dyDescent="0.15">
      <c r="B3833" s="888" t="s">
        <v>875</v>
      </c>
      <c r="C3833" s="889"/>
      <c r="D3833" s="889"/>
      <c r="E3833" s="889"/>
      <c r="F3833" s="890"/>
      <c r="G3833" s="63"/>
      <c r="H3833" s="881"/>
      <c r="I3833" s="882"/>
    </row>
    <row r="3834" spans="1:10" ht="12.75" customHeight="1" x14ac:dyDescent="0.15">
      <c r="B3834" s="906" t="s">
        <v>876</v>
      </c>
      <c r="C3834" s="907"/>
      <c r="D3834" s="907"/>
      <c r="E3834" s="907"/>
      <c r="F3834" s="908"/>
      <c r="G3834" s="63"/>
      <c r="H3834" s="883"/>
      <c r="I3834" s="884"/>
    </row>
    <row r="3835" spans="1:10" ht="16.5" customHeight="1" thickBot="1" x14ac:dyDescent="0.2">
      <c r="B3835" s="909"/>
      <c r="C3835" s="910"/>
      <c r="D3835" s="910"/>
      <c r="E3835" s="910"/>
      <c r="F3835" s="911"/>
      <c r="G3835" s="1"/>
      <c r="H3835" s="987" t="s">
        <v>1335</v>
      </c>
      <c r="I3835" s="988"/>
    </row>
    <row r="3836" spans="1:10" ht="14" thickBot="1" x14ac:dyDescent="0.2">
      <c r="B3836" s="15"/>
      <c r="C3836" s="16"/>
      <c r="D3836" s="1"/>
      <c r="E3836" s="1"/>
      <c r="F3836" s="1"/>
      <c r="G3836" s="1"/>
      <c r="H3836" s="989"/>
      <c r="I3836" s="990"/>
    </row>
    <row r="3837" spans="1:10" ht="12.75" customHeight="1" x14ac:dyDescent="0.15">
      <c r="B3837" s="922" t="s">
        <v>836</v>
      </c>
      <c r="C3837" s="923"/>
      <c r="D3837" s="923"/>
      <c r="E3837" s="923"/>
      <c r="F3837" s="924"/>
      <c r="G3837" s="1"/>
      <c r="H3837" s="989"/>
      <c r="I3837" s="990"/>
    </row>
    <row r="3838" spans="1:10" ht="12.75" customHeight="1" x14ac:dyDescent="0.15">
      <c r="B3838" s="925"/>
      <c r="C3838" s="926"/>
      <c r="D3838" s="926"/>
      <c r="E3838" s="926"/>
      <c r="F3838" s="927"/>
      <c r="H3838" s="989"/>
      <c r="I3838" s="990"/>
    </row>
    <row r="3839" spans="1:10" ht="13.5" customHeight="1" x14ac:dyDescent="0.15">
      <c r="B3839" s="925"/>
      <c r="C3839" s="926"/>
      <c r="D3839" s="926"/>
      <c r="E3839" s="926"/>
      <c r="F3839" s="927"/>
      <c r="G3839" s="11"/>
      <c r="H3839" s="991"/>
      <c r="I3839" s="992"/>
    </row>
    <row r="3840" spans="1:10" ht="21.75" customHeight="1" thickBot="1" x14ac:dyDescent="0.2">
      <c r="B3840" s="928"/>
      <c r="C3840" s="929"/>
      <c r="D3840" s="929"/>
      <c r="E3840" s="929"/>
      <c r="F3840" s="930"/>
      <c r="H3840" s="64" t="s">
        <v>45</v>
      </c>
      <c r="I3840" s="17" t="s">
        <v>319</v>
      </c>
    </row>
    <row r="3841" spans="2:9" x14ac:dyDescent="0.15">
      <c r="B3841" s="18"/>
      <c r="C3841" s="18"/>
      <c r="D3841" s="1"/>
      <c r="E3841" s="18"/>
      <c r="F3841" s="18"/>
      <c r="G3841" s="18"/>
      <c r="H3841" s="18"/>
      <c r="I3841" s="1"/>
    </row>
    <row r="3842" spans="2:9" ht="14" thickBot="1" x14ac:dyDescent="0.2">
      <c r="B3842" s="12" t="s">
        <v>21</v>
      </c>
      <c r="C3842" s="12"/>
      <c r="D3842" s="1"/>
      <c r="E3842" s="1"/>
      <c r="F3842" s="1"/>
      <c r="G3842" s="1"/>
      <c r="H3842" s="1"/>
      <c r="I3842" s="1"/>
    </row>
    <row r="3843" spans="2:9" x14ac:dyDescent="0.15">
      <c r="B3843" s="903" t="s">
        <v>22</v>
      </c>
      <c r="C3843" s="904"/>
      <c r="D3843" s="905"/>
      <c r="E3843" s="209" t="s">
        <v>23</v>
      </c>
      <c r="F3843" s="19" t="s">
        <v>47</v>
      </c>
      <c r="G3843" s="209" t="s">
        <v>24</v>
      </c>
      <c r="H3843" s="208" t="s">
        <v>25</v>
      </c>
      <c r="I3843" s="43"/>
    </row>
    <row r="3844" spans="2:9" x14ac:dyDescent="0.15">
      <c r="B3844" s="897" t="s">
        <v>56</v>
      </c>
      <c r="C3844" s="898"/>
      <c r="D3844" s="899"/>
      <c r="E3844" s="5"/>
      <c r="F3844" s="162"/>
      <c r="G3844" s="58"/>
      <c r="H3844" s="162">
        <f>I3870*0.05</f>
        <v>1453.4697916666667</v>
      </c>
      <c r="I3844" s="44"/>
    </row>
    <row r="3845" spans="2:9" ht="14" thickBot="1" x14ac:dyDescent="0.2">
      <c r="B3845" s="900"/>
      <c r="C3845" s="901"/>
      <c r="D3845" s="902"/>
      <c r="E3845" s="21"/>
      <c r="F3845" s="22"/>
      <c r="G3845" s="23"/>
      <c r="H3845" s="47"/>
      <c r="I3845" s="48"/>
    </row>
    <row r="3846" spans="2:9" ht="14" thickBot="1" x14ac:dyDescent="0.2">
      <c r="B3846" s="1"/>
      <c r="C3846" s="1"/>
      <c r="D3846" s="1"/>
      <c r="E3846" s="1"/>
      <c r="F3846" s="1"/>
      <c r="G3846" s="1"/>
      <c r="H3846" s="37" t="s">
        <v>26</v>
      </c>
      <c r="I3846" s="163">
        <f>SUM(H3844:H3845)</f>
        <v>1453.4697916666667</v>
      </c>
    </row>
    <row r="3847" spans="2:9" ht="14" thickBot="1" x14ac:dyDescent="0.2">
      <c r="B3847" s="12" t="s">
        <v>27</v>
      </c>
      <c r="C3847" s="12"/>
      <c r="D3847" s="1"/>
      <c r="E3847" s="1"/>
      <c r="F3847" s="1"/>
      <c r="G3847" s="1"/>
      <c r="H3847" s="1"/>
      <c r="I3847" s="1"/>
    </row>
    <row r="3848" spans="2:9" x14ac:dyDescent="0.15">
      <c r="B3848" s="903" t="s">
        <v>22</v>
      </c>
      <c r="C3848" s="904"/>
      <c r="D3848" s="905"/>
      <c r="E3848" s="209" t="s">
        <v>28</v>
      </c>
      <c r="F3848" s="209" t="s">
        <v>29</v>
      </c>
      <c r="G3848" s="209" t="s">
        <v>30</v>
      </c>
      <c r="H3848" s="208" t="s">
        <v>25</v>
      </c>
      <c r="I3848" s="43"/>
    </row>
    <row r="3849" spans="2:9" x14ac:dyDescent="0.15">
      <c r="B3849" s="4" t="s">
        <v>297</v>
      </c>
      <c r="C3849" s="24"/>
      <c r="D3849" s="6"/>
      <c r="E3849" s="3" t="s">
        <v>193</v>
      </c>
      <c r="F3849" s="164">
        <f>MATERIALES!C90</f>
        <v>17500</v>
      </c>
      <c r="G3849" s="65">
        <v>2</v>
      </c>
      <c r="H3849" s="165">
        <f t="shared" ref="H3849:H3856" si="21">G3849*F3849</f>
        <v>35000</v>
      </c>
      <c r="I3849" s="44"/>
    </row>
    <row r="3850" spans="2:9" x14ac:dyDescent="0.15">
      <c r="B3850" s="4" t="s">
        <v>298</v>
      </c>
      <c r="C3850" s="24"/>
      <c r="D3850" s="6"/>
      <c r="E3850" s="3" t="s">
        <v>319</v>
      </c>
      <c r="F3850" s="164">
        <f>MATERIALES!C91</f>
        <v>8120</v>
      </c>
      <c r="G3850" s="65">
        <v>1</v>
      </c>
      <c r="H3850" s="165">
        <f t="shared" si="21"/>
        <v>8120</v>
      </c>
      <c r="I3850" s="44"/>
    </row>
    <row r="3851" spans="2:9" x14ac:dyDescent="0.15">
      <c r="B3851" s="4" t="s">
        <v>299</v>
      </c>
      <c r="C3851" s="24"/>
      <c r="D3851" s="6"/>
      <c r="E3851" s="3" t="s">
        <v>319</v>
      </c>
      <c r="F3851" s="164">
        <f>MATERIALES!C92</f>
        <v>13860</v>
      </c>
      <c r="G3851" s="65">
        <v>0.2</v>
      </c>
      <c r="H3851" s="165">
        <f t="shared" si="21"/>
        <v>2772</v>
      </c>
      <c r="I3851" s="44"/>
    </row>
    <row r="3852" spans="2:9" x14ac:dyDescent="0.15">
      <c r="B3852" s="4" t="s">
        <v>300</v>
      </c>
      <c r="C3852" s="24"/>
      <c r="D3852" s="6"/>
      <c r="E3852" s="3" t="s">
        <v>319</v>
      </c>
      <c r="F3852" s="164">
        <f>MATERIALES!C93</f>
        <v>12880</v>
      </c>
      <c r="G3852" s="65">
        <v>1</v>
      </c>
      <c r="H3852" s="165">
        <f t="shared" si="21"/>
        <v>12880</v>
      </c>
      <c r="I3852" s="44"/>
    </row>
    <row r="3853" spans="2:9" x14ac:dyDescent="0.15">
      <c r="B3853" s="4" t="s">
        <v>301</v>
      </c>
      <c r="C3853" s="24"/>
      <c r="D3853" s="6"/>
      <c r="E3853" s="3" t="s">
        <v>319</v>
      </c>
      <c r="F3853" s="164">
        <f>MATERIALES!C94</f>
        <v>2660</v>
      </c>
      <c r="G3853" s="65">
        <v>0.2</v>
      </c>
      <c r="H3853" s="165">
        <f t="shared" si="21"/>
        <v>532</v>
      </c>
      <c r="I3853" s="44"/>
    </row>
    <row r="3854" spans="2:9" x14ac:dyDescent="0.15">
      <c r="B3854" s="4" t="s">
        <v>302</v>
      </c>
      <c r="C3854" s="24"/>
      <c r="D3854" s="6"/>
      <c r="E3854" s="3" t="s">
        <v>319</v>
      </c>
      <c r="F3854" s="164">
        <f>MATERIALES!C95</f>
        <v>19460</v>
      </c>
      <c r="G3854" s="65">
        <v>0.2</v>
      </c>
      <c r="H3854" s="165">
        <f t="shared" si="21"/>
        <v>3892</v>
      </c>
      <c r="I3854" s="44"/>
    </row>
    <row r="3855" spans="2:9" x14ac:dyDescent="0.15">
      <c r="B3855" s="4" t="s">
        <v>303</v>
      </c>
      <c r="C3855" s="24"/>
      <c r="D3855" s="6"/>
      <c r="E3855" s="3" t="s">
        <v>319</v>
      </c>
      <c r="F3855" s="164">
        <f>MATERIALES!C96</f>
        <v>22260</v>
      </c>
      <c r="G3855" s="65">
        <v>0.2</v>
      </c>
      <c r="H3855" s="165">
        <f t="shared" si="21"/>
        <v>4452</v>
      </c>
      <c r="I3855" s="44"/>
    </row>
    <row r="3856" spans="2:9" x14ac:dyDescent="0.15">
      <c r="B3856" s="4" t="s">
        <v>135</v>
      </c>
      <c r="C3856" s="24"/>
      <c r="D3856" s="6"/>
      <c r="E3856" s="3" t="s">
        <v>77</v>
      </c>
      <c r="F3856" s="164">
        <f>MATERIALES!C27</f>
        <v>286200</v>
      </c>
      <c r="G3856" s="65">
        <v>0.01</v>
      </c>
      <c r="H3856" s="165">
        <f t="shared" si="21"/>
        <v>2862</v>
      </c>
      <c r="I3856" s="44"/>
    </row>
    <row r="3857" spans="2:9" ht="14" thickBot="1" x14ac:dyDescent="0.2">
      <c r="B3857" s="25"/>
      <c r="C3857" s="26"/>
      <c r="D3857" s="27"/>
      <c r="E3857" s="21"/>
      <c r="F3857" s="22"/>
      <c r="G3857" s="167"/>
      <c r="H3857" s="47"/>
      <c r="I3857" s="48"/>
    </row>
    <row r="3858" spans="2:9" ht="14" thickBot="1" x14ac:dyDescent="0.2">
      <c r="B3858" s="1"/>
      <c r="C3858" s="1"/>
      <c r="D3858" s="1"/>
      <c r="E3858" s="1"/>
      <c r="F3858" s="1"/>
      <c r="G3858" s="1"/>
      <c r="H3858" s="37" t="s">
        <v>26</v>
      </c>
      <c r="I3858" s="163">
        <f>SUM(H3849:H3856)</f>
        <v>70510</v>
      </c>
    </row>
    <row r="3859" spans="2:9" ht="14" thickBot="1" x14ac:dyDescent="0.2">
      <c r="B3859" s="28" t="s">
        <v>31</v>
      </c>
      <c r="C3859" s="28"/>
      <c r="D3859" s="26"/>
      <c r="E3859" s="1"/>
      <c r="F3859" s="1"/>
      <c r="G3859" s="1"/>
      <c r="H3859" s="1"/>
      <c r="I3859" s="1"/>
    </row>
    <row r="3860" spans="2:9" x14ac:dyDescent="0.15">
      <c r="B3860" s="51" t="s">
        <v>32</v>
      </c>
      <c r="C3860" s="52"/>
      <c r="D3860" s="97" t="s">
        <v>33</v>
      </c>
      <c r="E3860" s="209" t="s">
        <v>34</v>
      </c>
      <c r="F3860" s="209" t="s">
        <v>35</v>
      </c>
      <c r="G3860" s="209" t="s">
        <v>36</v>
      </c>
      <c r="H3860" s="59" t="s">
        <v>25</v>
      </c>
      <c r="I3860" s="43"/>
    </row>
    <row r="3861" spans="2:9" x14ac:dyDescent="0.15">
      <c r="B3861" s="4" t="s">
        <v>79</v>
      </c>
      <c r="C3861" s="6"/>
      <c r="D3861" s="53">
        <v>0.12</v>
      </c>
      <c r="E3861" s="2">
        <v>15</v>
      </c>
      <c r="F3861" s="2">
        <f>E3861*D3861</f>
        <v>1.7999999999999998</v>
      </c>
      <c r="G3861" s="65">
        <v>1100</v>
      </c>
      <c r="H3861" s="20">
        <f>G3861*F3861</f>
        <v>1979.9999999999998</v>
      </c>
      <c r="I3861" s="44"/>
    </row>
    <row r="3862" spans="2:9" x14ac:dyDescent="0.15">
      <c r="B3862" s="107"/>
      <c r="C3862" s="66"/>
      <c r="D3862" s="67"/>
      <c r="E3862" s="68"/>
      <c r="F3862" s="68"/>
      <c r="G3862" s="69"/>
      <c r="H3862" s="65"/>
      <c r="I3862" s="44"/>
    </row>
    <row r="3863" spans="2:9" ht="14" thickBot="1" x14ac:dyDescent="0.2">
      <c r="B3863" s="33"/>
      <c r="C3863" s="54"/>
      <c r="D3863" s="21"/>
      <c r="E3863" s="22"/>
      <c r="F3863" s="23"/>
      <c r="G3863" s="47"/>
      <c r="H3863" s="21"/>
      <c r="I3863" s="48"/>
    </row>
    <row r="3864" spans="2:9" ht="14" thickBot="1" x14ac:dyDescent="0.2">
      <c r="B3864" s="1"/>
      <c r="C3864" s="1"/>
      <c r="D3864" s="1"/>
      <c r="E3864" s="1"/>
      <c r="F3864" s="1"/>
      <c r="G3864" s="1"/>
      <c r="H3864" s="37" t="s">
        <v>26</v>
      </c>
      <c r="I3864" s="163">
        <f>SUM(H3861:H3863)</f>
        <v>1979.9999999999998</v>
      </c>
    </row>
    <row r="3865" spans="2:9" ht="14" thickBot="1" x14ac:dyDescent="0.2">
      <c r="B3865" s="28" t="s">
        <v>37</v>
      </c>
      <c r="C3865" s="28"/>
      <c r="D3865" s="1"/>
      <c r="E3865" s="1"/>
      <c r="F3865" s="1"/>
      <c r="G3865" s="1"/>
      <c r="H3865" s="1"/>
      <c r="I3865" s="1"/>
    </row>
    <row r="3866" spans="2:9" x14ac:dyDescent="0.15">
      <c r="B3866" s="51" t="s">
        <v>38</v>
      </c>
      <c r="C3866" s="86"/>
      <c r="D3866" s="31" t="s">
        <v>39</v>
      </c>
      <c r="E3866" s="209" t="s">
        <v>40</v>
      </c>
      <c r="F3866" s="19" t="s">
        <v>41</v>
      </c>
      <c r="G3866" s="31" t="s">
        <v>24</v>
      </c>
      <c r="H3866" s="208" t="s">
        <v>25</v>
      </c>
      <c r="I3866" s="43"/>
    </row>
    <row r="3867" spans="2:9" x14ac:dyDescent="0.15">
      <c r="B3867" s="4" t="s">
        <v>65</v>
      </c>
      <c r="C3867" s="24"/>
      <c r="D3867" s="32">
        <f>'MANO DE OBRA'!E15</f>
        <v>95333</v>
      </c>
      <c r="E3867" s="88">
        <v>1.75</v>
      </c>
      <c r="F3867" s="164">
        <f>+E3867*D3867</f>
        <v>166832.75</v>
      </c>
      <c r="G3867" s="79">
        <v>12</v>
      </c>
      <c r="H3867" s="169">
        <f>+F3867/G3867</f>
        <v>13902.729166666666</v>
      </c>
      <c r="I3867" s="44"/>
    </row>
    <row r="3868" spans="2:9" x14ac:dyDescent="0.15">
      <c r="B3868" s="80" t="s">
        <v>55</v>
      </c>
      <c r="C3868" s="24"/>
      <c r="D3868" s="32">
        <f>'MANO DE OBRA'!E14*2</f>
        <v>104000</v>
      </c>
      <c r="E3868" s="88">
        <v>1.75</v>
      </c>
      <c r="F3868" s="164">
        <f>+E3868*D3868</f>
        <v>182000</v>
      </c>
      <c r="G3868" s="79">
        <v>12</v>
      </c>
      <c r="H3868" s="169">
        <f>+F3868/G3868</f>
        <v>15166.666666666666</v>
      </c>
      <c r="I3868" s="44"/>
    </row>
    <row r="3869" spans="2:9" ht="14" thickBot="1" x14ac:dyDescent="0.2">
      <c r="B3869" s="33"/>
      <c r="C3869" s="34"/>
      <c r="D3869" s="22"/>
      <c r="E3869" s="21"/>
      <c r="F3869" s="22"/>
      <c r="G3869" s="23"/>
      <c r="H3869" s="47"/>
      <c r="I3869" s="48"/>
    </row>
    <row r="3870" spans="2:9" ht="14" thickBot="1" x14ac:dyDescent="0.2">
      <c r="B3870" s="1"/>
      <c r="C3870" s="1"/>
      <c r="D3870" s="1"/>
      <c r="E3870" s="1"/>
      <c r="F3870" s="1"/>
      <c r="G3870" s="1"/>
      <c r="H3870" s="37" t="s">
        <v>26</v>
      </c>
      <c r="I3870" s="177">
        <f>SUM(H3867:H3869)</f>
        <v>29069.395833333332</v>
      </c>
    </row>
    <row r="3871" spans="2:9" ht="14" thickBot="1" x14ac:dyDescent="0.2">
      <c r="B3871" s="1"/>
      <c r="C3871" s="1"/>
      <c r="D3871" s="1"/>
      <c r="E3871" s="1"/>
      <c r="F3871" s="1"/>
      <c r="G3871" s="1"/>
      <c r="H3871" s="61"/>
      <c r="I3871" s="1"/>
    </row>
    <row r="3872" spans="2:9" ht="15" thickBot="1" x14ac:dyDescent="0.2">
      <c r="B3872" s="1"/>
      <c r="C3872" s="1"/>
      <c r="D3872" s="1"/>
      <c r="E3872" s="1"/>
      <c r="F3872" s="35" t="s">
        <v>43</v>
      </c>
      <c r="G3872" s="16"/>
      <c r="H3872" s="16"/>
      <c r="I3872" s="477">
        <f>ROUND((I3846+I3858+I3864+I3870),0)</f>
        <v>103013</v>
      </c>
    </row>
    <row r="3873" spans="1:10" x14ac:dyDescent="0.15">
      <c r="B3873" s="12"/>
      <c r="C3873" s="12"/>
      <c r="D3873" s="1"/>
      <c r="E3873" s="1"/>
      <c r="F3873" s="1"/>
      <c r="G3873" s="1"/>
      <c r="H3873" s="172"/>
      <c r="I3873" s="172"/>
    </row>
    <row r="3874" spans="1:10" x14ac:dyDescent="0.15">
      <c r="B3874" s="16"/>
      <c r="C3874" s="16"/>
      <c r="D3874" s="16"/>
      <c r="E3874" s="16"/>
      <c r="F3874" s="16"/>
      <c r="G3874" s="61"/>
      <c r="H3874" s="173"/>
      <c r="I3874" s="172"/>
    </row>
    <row r="3875" spans="1:10" x14ac:dyDescent="0.15">
      <c r="B3875" s="1"/>
      <c r="C3875" s="1"/>
      <c r="D3875" s="1"/>
      <c r="E3875" s="1"/>
      <c r="F3875" s="1"/>
      <c r="G3875" s="161"/>
      <c r="H3875" s="172"/>
      <c r="I3875" s="172"/>
    </row>
    <row r="3876" spans="1:10" x14ac:dyDescent="0.15">
      <c r="B3876" s="1"/>
      <c r="C3876" s="1"/>
      <c r="D3876" s="1"/>
      <c r="E3876" s="1"/>
      <c r="F3876" s="1"/>
      <c r="G3876" s="161"/>
      <c r="H3876" s="172"/>
      <c r="I3876" s="172"/>
    </row>
    <row r="3877" spans="1:10" x14ac:dyDescent="0.15">
      <c r="B3877" s="1"/>
      <c r="C3877" s="1"/>
      <c r="D3877" s="1"/>
      <c r="E3877" s="1"/>
      <c r="F3877" s="1"/>
      <c r="G3877" s="161"/>
      <c r="H3877" s="172"/>
      <c r="I3877" s="172"/>
    </row>
    <row r="3878" spans="1:10" x14ac:dyDescent="0.15">
      <c r="B3878" s="1"/>
      <c r="C3878" s="1"/>
      <c r="D3878" s="1"/>
      <c r="E3878" s="1"/>
      <c r="F3878" s="1"/>
      <c r="G3878" s="1"/>
      <c r="H3878" s="37"/>
      <c r="I3878" s="172"/>
    </row>
    <row r="3879" spans="1:10" ht="14" x14ac:dyDescent="0.15">
      <c r="B3879" s="102"/>
      <c r="C3879" s="1"/>
      <c r="D3879" s="1"/>
      <c r="E3879" s="1"/>
      <c r="F3879" s="1"/>
      <c r="G3879" s="1"/>
      <c r="H3879" s="1"/>
      <c r="I3879" s="172"/>
    </row>
    <row r="3880" spans="1:10" ht="14" x14ac:dyDescent="0.15">
      <c r="B3880" s="83"/>
      <c r="C3880" s="11"/>
      <c r="D3880" s="1"/>
      <c r="E3880" s="916"/>
      <c r="F3880" s="916"/>
      <c r="G3880" s="916"/>
      <c r="H3880" s="916"/>
      <c r="I3880" s="171"/>
    </row>
    <row r="3881" spans="1:10" x14ac:dyDescent="0.15">
      <c r="B3881" s="11"/>
      <c r="C3881" s="11"/>
      <c r="D3881" s="1"/>
      <c r="E3881" s="155"/>
      <c r="F3881" s="155"/>
      <c r="G3881" s="155"/>
      <c r="H3881" s="155"/>
      <c r="I3881" s="171"/>
    </row>
    <row r="3882" spans="1:10" x14ac:dyDescent="0.15">
      <c r="B3882" s="11"/>
      <c r="C3882" s="11"/>
      <c r="D3882" s="1"/>
      <c r="E3882" s="155"/>
      <c r="F3882" s="155"/>
      <c r="G3882" s="155"/>
      <c r="H3882" s="155"/>
      <c r="I3882" s="171"/>
    </row>
    <row r="3883" spans="1:10" x14ac:dyDescent="0.15">
      <c r="B3883" s="11"/>
      <c r="C3883" s="11"/>
      <c r="D3883" s="1"/>
      <c r="E3883" s="155"/>
      <c r="F3883" s="155"/>
      <c r="G3883" s="155"/>
      <c r="H3883" s="155"/>
      <c r="I3883" s="171"/>
    </row>
    <row r="3884" spans="1:10" x14ac:dyDescent="0.15">
      <c r="B3884" s="11"/>
      <c r="C3884" s="11"/>
      <c r="D3884" s="1"/>
      <c r="E3884" s="155"/>
      <c r="F3884" s="155"/>
      <c r="G3884" s="155"/>
      <c r="H3884" s="155"/>
      <c r="I3884" s="171"/>
    </row>
    <row r="3885" spans="1:10" ht="14" x14ac:dyDescent="0.15">
      <c r="A3885" s="85"/>
      <c r="B3885" s="83"/>
      <c r="C3885" s="83"/>
      <c r="D3885" s="84"/>
      <c r="E3885" s="83"/>
      <c r="F3885" s="156"/>
      <c r="G3885" s="157"/>
      <c r="H3885" s="158"/>
      <c r="I3885" s="159"/>
      <c r="J3885" s="85"/>
    </row>
    <row r="3886" spans="1:10" ht="14" x14ac:dyDescent="0.15">
      <c r="B3886" s="83"/>
      <c r="C3886" s="11"/>
      <c r="D3886" s="11"/>
      <c r="E3886" s="11"/>
      <c r="F3886" s="938"/>
      <c r="G3886" s="938"/>
      <c r="H3886" s="938"/>
      <c r="I3886" s="938"/>
    </row>
    <row r="3887" spans="1:10" ht="14" thickBot="1" x14ac:dyDescent="0.2"/>
    <row r="3888" spans="1:10" ht="21" customHeight="1" x14ac:dyDescent="0.15">
      <c r="B3888" s="885" t="s">
        <v>874</v>
      </c>
      <c r="C3888" s="886"/>
      <c r="D3888" s="886"/>
      <c r="E3888" s="886"/>
      <c r="F3888" s="887"/>
      <c r="G3888" s="1"/>
      <c r="H3888" s="879" t="s">
        <v>20</v>
      </c>
      <c r="I3888" s="880"/>
    </row>
    <row r="3889" spans="2:9" ht="16.5" customHeight="1" x14ac:dyDescent="0.15">
      <c r="B3889" s="888" t="s">
        <v>875</v>
      </c>
      <c r="C3889" s="889"/>
      <c r="D3889" s="889"/>
      <c r="E3889" s="889"/>
      <c r="F3889" s="890"/>
      <c r="G3889" s="63"/>
      <c r="H3889" s="881"/>
      <c r="I3889" s="882"/>
    </row>
    <row r="3890" spans="2:9" ht="12.75" customHeight="1" x14ac:dyDescent="0.15">
      <c r="B3890" s="906" t="s">
        <v>876</v>
      </c>
      <c r="C3890" s="907"/>
      <c r="D3890" s="907"/>
      <c r="E3890" s="907"/>
      <c r="F3890" s="908"/>
      <c r="G3890" s="63"/>
      <c r="H3890" s="883"/>
      <c r="I3890" s="884"/>
    </row>
    <row r="3891" spans="2:9" ht="16.5" customHeight="1" thickBot="1" x14ac:dyDescent="0.2">
      <c r="B3891" s="909"/>
      <c r="C3891" s="910"/>
      <c r="D3891" s="910"/>
      <c r="E3891" s="910"/>
      <c r="F3891" s="911"/>
      <c r="G3891" s="1"/>
      <c r="H3891" s="987" t="s">
        <v>1336</v>
      </c>
      <c r="I3891" s="988"/>
    </row>
    <row r="3892" spans="2:9" ht="14" thickBot="1" x14ac:dyDescent="0.2">
      <c r="B3892" s="15"/>
      <c r="C3892" s="16"/>
      <c r="D3892" s="1"/>
      <c r="E3892" s="1"/>
      <c r="F3892" s="1"/>
      <c r="G3892" s="1"/>
      <c r="H3892" s="989"/>
      <c r="I3892" s="990"/>
    </row>
    <row r="3893" spans="2:9" ht="12.75" customHeight="1" x14ac:dyDescent="0.15">
      <c r="B3893" s="922" t="s">
        <v>836</v>
      </c>
      <c r="C3893" s="923"/>
      <c r="D3893" s="923"/>
      <c r="E3893" s="923"/>
      <c r="F3893" s="924"/>
      <c r="G3893" s="1"/>
      <c r="H3893" s="989"/>
      <c r="I3893" s="990"/>
    </row>
    <row r="3894" spans="2:9" ht="12.75" customHeight="1" x14ac:dyDescent="0.15">
      <c r="B3894" s="925"/>
      <c r="C3894" s="926"/>
      <c r="D3894" s="926"/>
      <c r="E3894" s="926"/>
      <c r="F3894" s="927"/>
      <c r="H3894" s="989"/>
      <c r="I3894" s="990"/>
    </row>
    <row r="3895" spans="2:9" ht="13.5" customHeight="1" x14ac:dyDescent="0.15">
      <c r="B3895" s="925"/>
      <c r="C3895" s="926"/>
      <c r="D3895" s="926"/>
      <c r="E3895" s="926"/>
      <c r="F3895" s="927"/>
      <c r="G3895" s="11"/>
      <c r="H3895" s="991"/>
      <c r="I3895" s="992"/>
    </row>
    <row r="3896" spans="2:9" ht="21.75" customHeight="1" thickBot="1" x14ac:dyDescent="0.2">
      <c r="B3896" s="928"/>
      <c r="C3896" s="929"/>
      <c r="D3896" s="929"/>
      <c r="E3896" s="929"/>
      <c r="F3896" s="930"/>
      <c r="H3896" s="64" t="s">
        <v>45</v>
      </c>
      <c r="I3896" s="17" t="s">
        <v>319</v>
      </c>
    </row>
    <row r="3897" spans="2:9" x14ac:dyDescent="0.15">
      <c r="B3897" s="18"/>
      <c r="C3897" s="18"/>
      <c r="D3897" s="1"/>
      <c r="E3897" s="18"/>
      <c r="F3897" s="18"/>
      <c r="G3897" s="18"/>
      <c r="H3897" s="18"/>
      <c r="I3897" s="1"/>
    </row>
    <row r="3898" spans="2:9" ht="14" thickBot="1" x14ac:dyDescent="0.2">
      <c r="B3898" s="12" t="s">
        <v>21</v>
      </c>
      <c r="C3898" s="12"/>
      <c r="D3898" s="1"/>
      <c r="E3898" s="1"/>
      <c r="F3898" s="1"/>
      <c r="G3898" s="1"/>
      <c r="H3898" s="1"/>
      <c r="I3898" s="1"/>
    </row>
    <row r="3899" spans="2:9" x14ac:dyDescent="0.15">
      <c r="B3899" s="903" t="s">
        <v>22</v>
      </c>
      <c r="C3899" s="904"/>
      <c r="D3899" s="905"/>
      <c r="E3899" s="209" t="s">
        <v>23</v>
      </c>
      <c r="F3899" s="19" t="s">
        <v>47</v>
      </c>
      <c r="G3899" s="209" t="s">
        <v>24</v>
      </c>
      <c r="H3899" s="208" t="s">
        <v>25</v>
      </c>
      <c r="I3899" s="43"/>
    </row>
    <row r="3900" spans="2:9" x14ac:dyDescent="0.15">
      <c r="B3900" s="897" t="s">
        <v>56</v>
      </c>
      <c r="C3900" s="898"/>
      <c r="D3900" s="899"/>
      <c r="E3900" s="5"/>
      <c r="F3900" s="162"/>
      <c r="G3900" s="58"/>
      <c r="H3900" s="162">
        <f>I3924*0.05</f>
        <v>1744.1637500000002</v>
      </c>
      <c r="I3900" s="44"/>
    </row>
    <row r="3901" spans="2:9" ht="14" thickBot="1" x14ac:dyDescent="0.2">
      <c r="B3901" s="900"/>
      <c r="C3901" s="901"/>
      <c r="D3901" s="902"/>
      <c r="E3901" s="21"/>
      <c r="F3901" s="22"/>
      <c r="G3901" s="23"/>
      <c r="H3901" s="47"/>
      <c r="I3901" s="48"/>
    </row>
    <row r="3902" spans="2:9" ht="14" thickBot="1" x14ac:dyDescent="0.2">
      <c r="B3902" s="1"/>
      <c r="C3902" s="1"/>
      <c r="D3902" s="1"/>
      <c r="E3902" s="1"/>
      <c r="F3902" s="1"/>
      <c r="G3902" s="1"/>
      <c r="H3902" s="37" t="s">
        <v>26</v>
      </c>
      <c r="I3902" s="163">
        <f>SUM(H3900)</f>
        <v>1744.1637500000002</v>
      </c>
    </row>
    <row r="3903" spans="2:9" ht="14" thickBot="1" x14ac:dyDescent="0.2">
      <c r="B3903" s="12" t="s">
        <v>27</v>
      </c>
      <c r="C3903" s="12"/>
      <c r="D3903" s="1"/>
      <c r="E3903" s="1"/>
      <c r="F3903" s="1"/>
      <c r="G3903" s="1"/>
      <c r="H3903" s="1"/>
      <c r="I3903" s="1"/>
    </row>
    <row r="3904" spans="2:9" x14ac:dyDescent="0.15">
      <c r="B3904" s="903" t="s">
        <v>22</v>
      </c>
      <c r="C3904" s="904"/>
      <c r="D3904" s="905"/>
      <c r="E3904" s="209" t="s">
        <v>28</v>
      </c>
      <c r="F3904" s="209" t="s">
        <v>29</v>
      </c>
      <c r="G3904" s="209" t="s">
        <v>30</v>
      </c>
      <c r="H3904" s="208" t="s">
        <v>25</v>
      </c>
      <c r="I3904" s="43"/>
    </row>
    <row r="3905" spans="2:9" x14ac:dyDescent="0.15">
      <c r="B3905" s="4" t="s">
        <v>78</v>
      </c>
      <c r="C3905" s="24"/>
      <c r="D3905" s="6"/>
      <c r="E3905" s="3" t="s">
        <v>193</v>
      </c>
      <c r="F3905" s="164">
        <f>MATERIALES!C97</f>
        <v>27510</v>
      </c>
      <c r="G3905" s="65">
        <v>3</v>
      </c>
      <c r="H3905" s="165">
        <f t="shared" ref="H3905:H3910" si="22">G3905*F3905</f>
        <v>82530</v>
      </c>
      <c r="I3905" s="44"/>
    </row>
    <row r="3906" spans="2:9" x14ac:dyDescent="0.15">
      <c r="B3906" s="4" t="s">
        <v>173</v>
      </c>
      <c r="C3906" s="24"/>
      <c r="D3906" s="6"/>
      <c r="E3906" s="3" t="s">
        <v>319</v>
      </c>
      <c r="F3906" s="164">
        <f>MATERIALES!C98</f>
        <v>14280</v>
      </c>
      <c r="G3906" s="65">
        <v>0.2</v>
      </c>
      <c r="H3906" s="165">
        <f t="shared" si="22"/>
        <v>2856</v>
      </c>
      <c r="I3906" s="44"/>
    </row>
    <row r="3907" spans="2:9" x14ac:dyDescent="0.15">
      <c r="B3907" s="4" t="s">
        <v>174</v>
      </c>
      <c r="C3907" s="24"/>
      <c r="D3907" s="6"/>
      <c r="E3907" s="3" t="s">
        <v>319</v>
      </c>
      <c r="F3907" s="164">
        <f>MATERIALES!C99</f>
        <v>22260</v>
      </c>
      <c r="G3907" s="65">
        <v>0.2</v>
      </c>
      <c r="H3907" s="165">
        <f t="shared" si="22"/>
        <v>4452</v>
      </c>
      <c r="I3907" s="44"/>
    </row>
    <row r="3908" spans="2:9" x14ac:dyDescent="0.15">
      <c r="B3908" s="4" t="s">
        <v>175</v>
      </c>
      <c r="C3908" s="24"/>
      <c r="D3908" s="6"/>
      <c r="E3908" s="3" t="s">
        <v>319</v>
      </c>
      <c r="F3908" s="164">
        <f>MATERIALES!C100</f>
        <v>39060</v>
      </c>
      <c r="G3908" s="65">
        <v>0.2</v>
      </c>
      <c r="H3908" s="165">
        <f t="shared" si="22"/>
        <v>7812</v>
      </c>
      <c r="I3908" s="44"/>
    </row>
    <row r="3909" spans="2:9" x14ac:dyDescent="0.15">
      <c r="B3909" s="4" t="s">
        <v>304</v>
      </c>
      <c r="C3909" s="24"/>
      <c r="D3909" s="6"/>
      <c r="E3909" s="3" t="s">
        <v>319</v>
      </c>
      <c r="F3909" s="164">
        <f>MATERIALES!C101</f>
        <v>4480</v>
      </c>
      <c r="G3909" s="65">
        <v>0.1</v>
      </c>
      <c r="H3909" s="165">
        <f t="shared" si="22"/>
        <v>448</v>
      </c>
      <c r="I3909" s="44"/>
    </row>
    <row r="3910" spans="2:9" x14ac:dyDescent="0.15">
      <c r="B3910" s="4" t="s">
        <v>135</v>
      </c>
      <c r="C3910" s="24"/>
      <c r="D3910" s="6"/>
      <c r="E3910" s="3" t="s">
        <v>77</v>
      </c>
      <c r="F3910" s="164">
        <f>MATERIALES!C27</f>
        <v>286200</v>
      </c>
      <c r="G3910" s="65">
        <v>0.02</v>
      </c>
      <c r="H3910" s="165">
        <f t="shared" si="22"/>
        <v>5724</v>
      </c>
      <c r="I3910" s="44"/>
    </row>
    <row r="3911" spans="2:9" ht="14" thickBot="1" x14ac:dyDescent="0.2">
      <c r="B3911" s="25"/>
      <c r="C3911" s="26"/>
      <c r="D3911" s="27"/>
      <c r="E3911" s="21"/>
      <c r="F3911" s="22"/>
      <c r="G3911" s="167"/>
      <c r="H3911" s="47"/>
      <c r="I3911" s="48"/>
    </row>
    <row r="3912" spans="2:9" ht="14" thickBot="1" x14ac:dyDescent="0.2">
      <c r="B3912" s="1"/>
      <c r="C3912" s="1"/>
      <c r="D3912" s="1"/>
      <c r="E3912" s="1"/>
      <c r="F3912" s="1"/>
      <c r="G3912" s="1"/>
      <c r="H3912" s="37" t="s">
        <v>26</v>
      </c>
      <c r="I3912" s="163">
        <f>SUM(H3905:H3910)</f>
        <v>103822</v>
      </c>
    </row>
    <row r="3913" spans="2:9" ht="14" thickBot="1" x14ac:dyDescent="0.2">
      <c r="B3913" s="28" t="s">
        <v>31</v>
      </c>
      <c r="C3913" s="28"/>
      <c r="D3913" s="26"/>
      <c r="E3913" s="1"/>
      <c r="F3913" s="1"/>
      <c r="G3913" s="1"/>
      <c r="H3913" s="1"/>
      <c r="I3913" s="1"/>
    </row>
    <row r="3914" spans="2:9" x14ac:dyDescent="0.15">
      <c r="B3914" s="51" t="s">
        <v>32</v>
      </c>
      <c r="C3914" s="52"/>
      <c r="D3914" s="97" t="s">
        <v>33</v>
      </c>
      <c r="E3914" s="209" t="s">
        <v>34</v>
      </c>
      <c r="F3914" s="209" t="s">
        <v>35</v>
      </c>
      <c r="G3914" s="209" t="s">
        <v>36</v>
      </c>
      <c r="H3914" s="59" t="s">
        <v>25</v>
      </c>
      <c r="I3914" s="43"/>
    </row>
    <row r="3915" spans="2:9" x14ac:dyDescent="0.15">
      <c r="B3915" s="4" t="s">
        <v>79</v>
      </c>
      <c r="C3915" s="6"/>
      <c r="D3915" s="53">
        <v>0.2</v>
      </c>
      <c r="E3915" s="2">
        <v>15</v>
      </c>
      <c r="F3915" s="2">
        <f>E3915*D3915</f>
        <v>3</v>
      </c>
      <c r="G3915" s="65">
        <v>1100</v>
      </c>
      <c r="H3915" s="20">
        <f>G3915*F3915</f>
        <v>3300</v>
      </c>
      <c r="I3915" s="44"/>
    </row>
    <row r="3916" spans="2:9" x14ac:dyDescent="0.15">
      <c r="B3916" s="107"/>
      <c r="C3916" s="66"/>
      <c r="D3916" s="67"/>
      <c r="E3916" s="68"/>
      <c r="F3916" s="68"/>
      <c r="G3916" s="69"/>
      <c r="H3916" s="65"/>
      <c r="I3916" s="44"/>
    </row>
    <row r="3917" spans="2:9" ht="14" thickBot="1" x14ac:dyDescent="0.2">
      <c r="B3917" s="33"/>
      <c r="C3917" s="54"/>
      <c r="D3917" s="21"/>
      <c r="E3917" s="22"/>
      <c r="F3917" s="23"/>
      <c r="G3917" s="47"/>
      <c r="H3917" s="21"/>
      <c r="I3917" s="48"/>
    </row>
    <row r="3918" spans="2:9" ht="14" thickBot="1" x14ac:dyDescent="0.2">
      <c r="B3918" s="1"/>
      <c r="C3918" s="1"/>
      <c r="D3918" s="1"/>
      <c r="E3918" s="1"/>
      <c r="F3918" s="1"/>
      <c r="G3918" s="1"/>
      <c r="H3918" s="37" t="s">
        <v>26</v>
      </c>
      <c r="I3918" s="163">
        <f>SUM(H3915:H3917)</f>
        <v>3300</v>
      </c>
    </row>
    <row r="3919" spans="2:9" ht="14" thickBot="1" x14ac:dyDescent="0.2">
      <c r="B3919" s="28" t="s">
        <v>37</v>
      </c>
      <c r="C3919" s="28"/>
      <c r="D3919" s="1"/>
      <c r="E3919" s="1"/>
      <c r="F3919" s="1"/>
      <c r="G3919" s="1"/>
      <c r="H3919" s="1"/>
      <c r="I3919" s="1"/>
    </row>
    <row r="3920" spans="2:9" x14ac:dyDescent="0.15">
      <c r="B3920" s="51" t="s">
        <v>38</v>
      </c>
      <c r="C3920" s="86"/>
      <c r="D3920" s="31" t="s">
        <v>39</v>
      </c>
      <c r="E3920" s="209" t="s">
        <v>40</v>
      </c>
      <c r="F3920" s="19" t="s">
        <v>41</v>
      </c>
      <c r="G3920" s="31" t="s">
        <v>24</v>
      </c>
      <c r="H3920" s="208" t="s">
        <v>25</v>
      </c>
      <c r="I3920" s="43"/>
    </row>
    <row r="3921" spans="2:9" x14ac:dyDescent="0.15">
      <c r="B3921" s="4" t="s">
        <v>65</v>
      </c>
      <c r="C3921" s="24"/>
      <c r="D3921" s="32">
        <f>'MANO DE OBRA'!E15</f>
        <v>95333</v>
      </c>
      <c r="E3921" s="88">
        <v>1.75</v>
      </c>
      <c r="F3921" s="164">
        <f>+E3921*D3921</f>
        <v>166832.75</v>
      </c>
      <c r="G3921" s="79">
        <v>10</v>
      </c>
      <c r="H3921" s="169">
        <f>+F3921/G3921</f>
        <v>16683.275000000001</v>
      </c>
      <c r="I3921" s="44"/>
    </row>
    <row r="3922" spans="2:9" x14ac:dyDescent="0.15">
      <c r="B3922" s="80" t="s">
        <v>55</v>
      </c>
      <c r="C3922" s="24"/>
      <c r="D3922" s="32">
        <f>'MANO DE OBRA'!E14*2</f>
        <v>104000</v>
      </c>
      <c r="E3922" s="88">
        <v>1.75</v>
      </c>
      <c r="F3922" s="164">
        <f>+E3922*D3922</f>
        <v>182000</v>
      </c>
      <c r="G3922" s="79">
        <v>10</v>
      </c>
      <c r="H3922" s="169">
        <f>+F3922/G3922</f>
        <v>18200</v>
      </c>
      <c r="I3922" s="44"/>
    </row>
    <row r="3923" spans="2:9" ht="14" thickBot="1" x14ac:dyDescent="0.2">
      <c r="B3923" s="33"/>
      <c r="C3923" s="34"/>
      <c r="D3923" s="22"/>
      <c r="E3923" s="21"/>
      <c r="F3923" s="22"/>
      <c r="G3923" s="23"/>
      <c r="H3923" s="47"/>
      <c r="I3923" s="48"/>
    </row>
    <row r="3924" spans="2:9" ht="14" thickBot="1" x14ac:dyDescent="0.2">
      <c r="B3924" s="1"/>
      <c r="C3924" s="1"/>
      <c r="D3924" s="1"/>
      <c r="E3924" s="1"/>
      <c r="F3924" s="1"/>
      <c r="G3924" s="1"/>
      <c r="H3924" s="37" t="s">
        <v>26</v>
      </c>
      <c r="I3924" s="177">
        <f>SUM(H3921:H3923)</f>
        <v>34883.275000000001</v>
      </c>
    </row>
    <row r="3925" spans="2:9" ht="14" thickBot="1" x14ac:dyDescent="0.2">
      <c r="B3925" s="1"/>
      <c r="C3925" s="1"/>
      <c r="D3925" s="1"/>
      <c r="E3925" s="1"/>
      <c r="F3925" s="1"/>
      <c r="G3925" s="1"/>
      <c r="H3925" s="61"/>
      <c r="I3925" s="1"/>
    </row>
    <row r="3926" spans="2:9" ht="15" thickBot="1" x14ac:dyDescent="0.2">
      <c r="B3926" s="1"/>
      <c r="C3926" s="1"/>
      <c r="D3926" s="1"/>
      <c r="E3926" s="1"/>
      <c r="F3926" s="35" t="s">
        <v>43</v>
      </c>
      <c r="G3926" s="16"/>
      <c r="H3926" s="16"/>
      <c r="I3926" s="477">
        <f>ROUND((I3902+I3912+I3918+I3924),0)</f>
        <v>143749</v>
      </c>
    </row>
    <row r="3927" spans="2:9" x14ac:dyDescent="0.15">
      <c r="B3927" s="12"/>
      <c r="C3927" s="12"/>
      <c r="D3927" s="1"/>
      <c r="E3927" s="1"/>
      <c r="F3927" s="1"/>
      <c r="G3927" s="1"/>
      <c r="H3927" s="172"/>
      <c r="I3927" s="172"/>
    </row>
    <row r="3928" spans="2:9" x14ac:dyDescent="0.15">
      <c r="B3928" s="16"/>
      <c r="C3928" s="16"/>
      <c r="D3928" s="16"/>
      <c r="E3928" s="16"/>
      <c r="F3928" s="16"/>
      <c r="G3928" s="61"/>
      <c r="H3928" s="173"/>
      <c r="I3928" s="172"/>
    </row>
    <row r="3929" spans="2:9" x14ac:dyDescent="0.15">
      <c r="B3929" s="1"/>
      <c r="C3929" s="1"/>
      <c r="D3929" s="1"/>
      <c r="E3929" s="1"/>
      <c r="F3929" s="1"/>
      <c r="G3929" s="161"/>
      <c r="H3929" s="172"/>
      <c r="I3929" s="172"/>
    </row>
    <row r="3930" spans="2:9" x14ac:dyDescent="0.15">
      <c r="B3930" s="1"/>
      <c r="C3930" s="1"/>
      <c r="D3930" s="1"/>
      <c r="E3930" s="1"/>
      <c r="F3930" s="1"/>
      <c r="G3930" s="161"/>
      <c r="H3930" s="172"/>
      <c r="I3930" s="172"/>
    </row>
    <row r="3931" spans="2:9" x14ac:dyDescent="0.15">
      <c r="B3931" s="1"/>
      <c r="C3931" s="1"/>
      <c r="D3931" s="1"/>
      <c r="E3931" s="1"/>
      <c r="F3931" s="1"/>
      <c r="G3931" s="161"/>
      <c r="H3931" s="172"/>
      <c r="I3931" s="172"/>
    </row>
    <row r="3932" spans="2:9" x14ac:dyDescent="0.15">
      <c r="B3932" s="1"/>
      <c r="C3932" s="1"/>
      <c r="D3932" s="1"/>
      <c r="E3932" s="1"/>
      <c r="F3932" s="1"/>
      <c r="G3932" s="1"/>
      <c r="H3932" s="37"/>
      <c r="I3932" s="172"/>
    </row>
    <row r="3933" spans="2:9" ht="14" x14ac:dyDescent="0.15">
      <c r="B3933" s="102"/>
      <c r="C3933" s="1"/>
      <c r="D3933" s="1"/>
      <c r="E3933" s="1"/>
      <c r="F3933" s="1"/>
      <c r="G3933" s="1"/>
      <c r="H3933" s="1"/>
      <c r="I3933" s="172"/>
    </row>
    <row r="3934" spans="2:9" ht="14" x14ac:dyDescent="0.15">
      <c r="B3934" s="83"/>
      <c r="C3934" s="11"/>
      <c r="D3934" s="1"/>
      <c r="E3934" s="916"/>
      <c r="F3934" s="916"/>
      <c r="G3934" s="916"/>
      <c r="H3934" s="916"/>
      <c r="I3934" s="171"/>
    </row>
    <row r="3935" spans="2:9" x14ac:dyDescent="0.15">
      <c r="B3935" s="11"/>
      <c r="C3935" s="11"/>
      <c r="D3935" s="1"/>
      <c r="E3935" s="155"/>
      <c r="F3935" s="155"/>
      <c r="G3935" s="155"/>
      <c r="H3935" s="155"/>
      <c r="I3935" s="171"/>
    </row>
    <row r="3936" spans="2:9" x14ac:dyDescent="0.15">
      <c r="B3936" s="11"/>
      <c r="C3936" s="11"/>
      <c r="D3936" s="1"/>
      <c r="E3936" s="155"/>
      <c r="F3936" s="155"/>
      <c r="G3936" s="155"/>
      <c r="H3936" s="155"/>
      <c r="I3936" s="171"/>
    </row>
    <row r="3937" spans="1:10" x14ac:dyDescent="0.15">
      <c r="B3937" s="11"/>
      <c r="C3937" s="11"/>
      <c r="D3937" s="1"/>
      <c r="E3937" s="155"/>
      <c r="F3937" s="155"/>
      <c r="G3937" s="155"/>
      <c r="H3937" s="155"/>
      <c r="I3937" s="171"/>
    </row>
    <row r="3938" spans="1:10" x14ac:dyDescent="0.15">
      <c r="B3938" s="11"/>
      <c r="C3938" s="11"/>
      <c r="D3938" s="1"/>
      <c r="E3938" s="155"/>
      <c r="F3938" s="155"/>
      <c r="G3938" s="155"/>
      <c r="H3938" s="155"/>
      <c r="I3938" s="171"/>
    </row>
    <row r="3939" spans="1:10" x14ac:dyDescent="0.15">
      <c r="B3939" s="11"/>
      <c r="C3939" s="11"/>
      <c r="D3939" s="1"/>
      <c r="E3939" s="155"/>
      <c r="F3939" s="155"/>
      <c r="G3939" s="155"/>
      <c r="H3939" s="155"/>
      <c r="I3939" s="171"/>
    </row>
    <row r="3940" spans="1:10" x14ac:dyDescent="0.15">
      <c r="B3940" s="11"/>
      <c r="C3940" s="11"/>
      <c r="D3940" s="1"/>
      <c r="E3940" s="155"/>
      <c r="F3940" s="155"/>
      <c r="G3940" s="155"/>
      <c r="H3940" s="155"/>
      <c r="I3940" s="171"/>
    </row>
    <row r="3941" spans="1:10" ht="14" x14ac:dyDescent="0.15">
      <c r="A3941" s="85"/>
      <c r="B3941" s="83"/>
      <c r="C3941" s="83"/>
      <c r="D3941" s="84"/>
      <c r="E3941" s="83"/>
      <c r="F3941" s="156"/>
      <c r="G3941" s="157"/>
      <c r="H3941" s="158"/>
      <c r="I3941" s="159"/>
      <c r="J3941" s="85"/>
    </row>
    <row r="3943" spans="1:10" ht="15" thickBot="1" x14ac:dyDescent="0.2">
      <c r="B3943" s="83"/>
      <c r="C3943" s="11"/>
      <c r="D3943" s="11"/>
      <c r="E3943" s="11"/>
      <c r="F3943" s="938"/>
      <c r="G3943" s="938"/>
      <c r="H3943" s="938"/>
      <c r="I3943" s="938"/>
    </row>
    <row r="3944" spans="1:10" ht="21" customHeight="1" x14ac:dyDescent="0.15">
      <c r="B3944" s="885" t="s">
        <v>874</v>
      </c>
      <c r="C3944" s="886"/>
      <c r="D3944" s="886"/>
      <c r="E3944" s="886"/>
      <c r="F3944" s="887"/>
      <c r="G3944" s="1"/>
      <c r="H3944" s="879" t="s">
        <v>20</v>
      </c>
      <c r="I3944" s="880"/>
    </row>
    <row r="3945" spans="1:10" ht="16.5" customHeight="1" x14ac:dyDescent="0.15">
      <c r="B3945" s="888" t="s">
        <v>875</v>
      </c>
      <c r="C3945" s="889"/>
      <c r="D3945" s="889"/>
      <c r="E3945" s="889"/>
      <c r="F3945" s="890"/>
      <c r="G3945" s="63"/>
      <c r="H3945" s="881"/>
      <c r="I3945" s="882"/>
    </row>
    <row r="3946" spans="1:10" ht="12.75" customHeight="1" x14ac:dyDescent="0.15">
      <c r="B3946" s="906" t="s">
        <v>876</v>
      </c>
      <c r="C3946" s="907"/>
      <c r="D3946" s="907"/>
      <c r="E3946" s="907"/>
      <c r="F3946" s="908"/>
      <c r="G3946" s="63"/>
      <c r="H3946" s="883"/>
      <c r="I3946" s="884"/>
    </row>
    <row r="3947" spans="1:10" ht="16.5" customHeight="1" thickBot="1" x14ac:dyDescent="0.2">
      <c r="B3947" s="909"/>
      <c r="C3947" s="910"/>
      <c r="D3947" s="910"/>
      <c r="E3947" s="910"/>
      <c r="F3947" s="911"/>
      <c r="G3947" s="1"/>
      <c r="H3947" s="987" t="s">
        <v>1337</v>
      </c>
      <c r="I3947" s="988"/>
    </row>
    <row r="3948" spans="1:10" ht="14" thickBot="1" x14ac:dyDescent="0.2">
      <c r="B3948" s="15"/>
      <c r="C3948" s="16"/>
      <c r="D3948" s="1"/>
      <c r="E3948" s="1"/>
      <c r="F3948" s="1"/>
      <c r="G3948" s="1"/>
      <c r="H3948" s="989"/>
      <c r="I3948" s="990"/>
    </row>
    <row r="3949" spans="1:10" ht="12.75" customHeight="1" x14ac:dyDescent="0.15">
      <c r="B3949" s="922" t="s">
        <v>836</v>
      </c>
      <c r="C3949" s="923"/>
      <c r="D3949" s="923"/>
      <c r="E3949" s="923"/>
      <c r="F3949" s="924"/>
      <c r="G3949" s="1"/>
      <c r="H3949" s="989"/>
      <c r="I3949" s="990"/>
    </row>
    <row r="3950" spans="1:10" ht="12.75" customHeight="1" x14ac:dyDescent="0.15">
      <c r="B3950" s="925"/>
      <c r="C3950" s="926"/>
      <c r="D3950" s="926"/>
      <c r="E3950" s="926"/>
      <c r="F3950" s="927"/>
      <c r="H3950" s="989"/>
      <c r="I3950" s="990"/>
    </row>
    <row r="3951" spans="1:10" ht="13.5" customHeight="1" x14ac:dyDescent="0.15">
      <c r="B3951" s="925"/>
      <c r="C3951" s="926"/>
      <c r="D3951" s="926"/>
      <c r="E3951" s="926"/>
      <c r="F3951" s="927"/>
      <c r="G3951" s="11"/>
      <c r="H3951" s="991"/>
      <c r="I3951" s="992"/>
    </row>
    <row r="3952" spans="1:10" ht="21.75" customHeight="1" thickBot="1" x14ac:dyDescent="0.2">
      <c r="B3952" s="928"/>
      <c r="C3952" s="929"/>
      <c r="D3952" s="929"/>
      <c r="E3952" s="929"/>
      <c r="F3952" s="930"/>
      <c r="H3952" s="64" t="s">
        <v>45</v>
      </c>
      <c r="I3952" s="17" t="s">
        <v>319</v>
      </c>
    </row>
    <row r="3953" spans="2:9" x14ac:dyDescent="0.15">
      <c r="B3953" s="18"/>
      <c r="C3953" s="18"/>
      <c r="D3953" s="1"/>
      <c r="E3953" s="18"/>
      <c r="F3953" s="18"/>
      <c r="G3953" s="18"/>
      <c r="H3953" s="18"/>
      <c r="I3953" s="1"/>
    </row>
    <row r="3954" spans="2:9" ht="14" thickBot="1" x14ac:dyDescent="0.2">
      <c r="B3954" s="12" t="s">
        <v>21</v>
      </c>
      <c r="C3954" s="12"/>
      <c r="D3954" s="1"/>
      <c r="E3954" s="1"/>
      <c r="F3954" s="1"/>
      <c r="G3954" s="1"/>
      <c r="H3954" s="1"/>
      <c r="I3954" s="1"/>
    </row>
    <row r="3955" spans="2:9" x14ac:dyDescent="0.15">
      <c r="B3955" s="903" t="s">
        <v>22</v>
      </c>
      <c r="C3955" s="904"/>
      <c r="D3955" s="905"/>
      <c r="E3955" s="209" t="s">
        <v>23</v>
      </c>
      <c r="F3955" s="19" t="s">
        <v>47</v>
      </c>
      <c r="G3955" s="209" t="s">
        <v>24</v>
      </c>
      <c r="H3955" s="208" t="s">
        <v>25</v>
      </c>
      <c r="I3955" s="43"/>
    </row>
    <row r="3956" spans="2:9" x14ac:dyDescent="0.15">
      <c r="B3956" s="897" t="s">
        <v>56</v>
      </c>
      <c r="C3956" s="898"/>
      <c r="D3956" s="899"/>
      <c r="E3956" s="5"/>
      <c r="F3956" s="162"/>
      <c r="G3956" s="58"/>
      <c r="H3956" s="162">
        <f>I3980*0.05</f>
        <v>1744.1637500000002</v>
      </c>
      <c r="I3956" s="44"/>
    </row>
    <row r="3957" spans="2:9" ht="14" thickBot="1" x14ac:dyDescent="0.2">
      <c r="B3957" s="900"/>
      <c r="C3957" s="901"/>
      <c r="D3957" s="902"/>
      <c r="E3957" s="21"/>
      <c r="F3957" s="22"/>
      <c r="G3957" s="23"/>
      <c r="H3957" s="47"/>
      <c r="I3957" s="48"/>
    </row>
    <row r="3958" spans="2:9" ht="14" thickBot="1" x14ac:dyDescent="0.2">
      <c r="B3958" s="1"/>
      <c r="C3958" s="1"/>
      <c r="D3958" s="1"/>
      <c r="E3958" s="1"/>
      <c r="F3958" s="1"/>
      <c r="G3958" s="1"/>
      <c r="H3958" s="37" t="s">
        <v>26</v>
      </c>
      <c r="I3958" s="163">
        <f>SUM(H3956)</f>
        <v>1744.1637500000002</v>
      </c>
    </row>
    <row r="3959" spans="2:9" ht="14" thickBot="1" x14ac:dyDescent="0.2">
      <c r="B3959" s="12" t="s">
        <v>27</v>
      </c>
      <c r="C3959" s="12"/>
      <c r="D3959" s="1"/>
      <c r="E3959" s="1"/>
      <c r="F3959" s="1"/>
      <c r="G3959" s="1"/>
      <c r="H3959" s="1"/>
      <c r="I3959" s="1"/>
    </row>
    <row r="3960" spans="2:9" x14ac:dyDescent="0.15">
      <c r="B3960" s="903" t="s">
        <v>22</v>
      </c>
      <c r="C3960" s="904"/>
      <c r="D3960" s="905"/>
      <c r="E3960" s="209" t="s">
        <v>28</v>
      </c>
      <c r="F3960" s="209" t="s">
        <v>29</v>
      </c>
      <c r="G3960" s="209" t="s">
        <v>30</v>
      </c>
      <c r="H3960" s="208" t="s">
        <v>25</v>
      </c>
      <c r="I3960" s="43"/>
    </row>
    <row r="3961" spans="2:9" x14ac:dyDescent="0.15">
      <c r="B3961" s="4" t="s">
        <v>78</v>
      </c>
      <c r="C3961" s="24"/>
      <c r="D3961" s="6"/>
      <c r="E3961" s="3" t="s">
        <v>193</v>
      </c>
      <c r="F3961" s="164">
        <f>MATERIALES!C97</f>
        <v>27510</v>
      </c>
      <c r="G3961" s="65">
        <v>3</v>
      </c>
      <c r="H3961" s="165">
        <f t="shared" ref="H3961:H3966" si="23">G3961*F3961</f>
        <v>82530</v>
      </c>
      <c r="I3961" s="44"/>
    </row>
    <row r="3962" spans="2:9" x14ac:dyDescent="0.15">
      <c r="B3962" s="4" t="s">
        <v>173</v>
      </c>
      <c r="C3962" s="24"/>
      <c r="D3962" s="6"/>
      <c r="E3962" s="3" t="s">
        <v>319</v>
      </c>
      <c r="F3962" s="164">
        <f>MATERIALES!C98</f>
        <v>14280</v>
      </c>
      <c r="G3962" s="65">
        <v>0.2</v>
      </c>
      <c r="H3962" s="165">
        <f t="shared" si="23"/>
        <v>2856</v>
      </c>
      <c r="I3962" s="44"/>
    </row>
    <row r="3963" spans="2:9" x14ac:dyDescent="0.15">
      <c r="B3963" s="4" t="s">
        <v>174</v>
      </c>
      <c r="C3963" s="24"/>
      <c r="D3963" s="6"/>
      <c r="E3963" s="3" t="s">
        <v>319</v>
      </c>
      <c r="F3963" s="164">
        <f>MATERIALES!C99</f>
        <v>22260</v>
      </c>
      <c r="G3963" s="65">
        <v>0.2</v>
      </c>
      <c r="H3963" s="165">
        <f t="shared" si="23"/>
        <v>4452</v>
      </c>
      <c r="I3963" s="44"/>
    </row>
    <row r="3964" spans="2:9" x14ac:dyDescent="0.15">
      <c r="B3964" s="4" t="s">
        <v>175</v>
      </c>
      <c r="C3964" s="24"/>
      <c r="D3964" s="6"/>
      <c r="E3964" s="3" t="s">
        <v>319</v>
      </c>
      <c r="F3964" s="164">
        <f>MATERIALES!C100</f>
        <v>39060</v>
      </c>
      <c r="G3964" s="65">
        <v>0.2</v>
      </c>
      <c r="H3964" s="165">
        <f t="shared" si="23"/>
        <v>7812</v>
      </c>
      <c r="I3964" s="44"/>
    </row>
    <row r="3965" spans="2:9" x14ac:dyDescent="0.15">
      <c r="B3965" s="4" t="s">
        <v>304</v>
      </c>
      <c r="C3965" s="24"/>
      <c r="D3965" s="6"/>
      <c r="E3965" s="3" t="s">
        <v>319</v>
      </c>
      <c r="F3965" s="164">
        <f>MATERIALES!C101</f>
        <v>4480</v>
      </c>
      <c r="G3965" s="65">
        <v>0.1</v>
      </c>
      <c r="H3965" s="165">
        <f t="shared" si="23"/>
        <v>448</v>
      </c>
      <c r="I3965" s="44"/>
    </row>
    <row r="3966" spans="2:9" x14ac:dyDescent="0.15">
      <c r="B3966" s="4" t="s">
        <v>135</v>
      </c>
      <c r="C3966" s="24"/>
      <c r="D3966" s="6"/>
      <c r="E3966" s="3" t="s">
        <v>77</v>
      </c>
      <c r="F3966" s="164">
        <f>MATERIALES!C27</f>
        <v>286200</v>
      </c>
      <c r="G3966" s="65">
        <v>0.02</v>
      </c>
      <c r="H3966" s="165">
        <f t="shared" si="23"/>
        <v>5724</v>
      </c>
      <c r="I3966" s="44"/>
    </row>
    <row r="3967" spans="2:9" ht="14" thickBot="1" x14ac:dyDescent="0.2">
      <c r="B3967" s="25"/>
      <c r="C3967" s="26"/>
      <c r="D3967" s="27"/>
      <c r="E3967" s="21"/>
      <c r="F3967" s="22"/>
      <c r="G3967" s="167"/>
      <c r="H3967" s="47"/>
      <c r="I3967" s="48"/>
    </row>
    <row r="3968" spans="2:9" ht="14" thickBot="1" x14ac:dyDescent="0.2">
      <c r="B3968" s="1"/>
      <c r="C3968" s="1"/>
      <c r="D3968" s="1"/>
      <c r="E3968" s="1"/>
      <c r="F3968" s="1"/>
      <c r="G3968" s="1"/>
      <c r="H3968" s="37" t="s">
        <v>26</v>
      </c>
      <c r="I3968" s="163">
        <f>SUM(H3961:H3966)</f>
        <v>103822</v>
      </c>
    </row>
    <row r="3969" spans="2:9" ht="14" thickBot="1" x14ac:dyDescent="0.2">
      <c r="B3969" s="28" t="s">
        <v>31</v>
      </c>
      <c r="C3969" s="28"/>
      <c r="D3969" s="26"/>
      <c r="E3969" s="1"/>
      <c r="F3969" s="1"/>
      <c r="G3969" s="1"/>
      <c r="H3969" s="1"/>
      <c r="I3969" s="1"/>
    </row>
    <row r="3970" spans="2:9" x14ac:dyDescent="0.15">
      <c r="B3970" s="51" t="s">
        <v>32</v>
      </c>
      <c r="C3970" s="52"/>
      <c r="D3970" s="97" t="s">
        <v>33</v>
      </c>
      <c r="E3970" s="209" t="s">
        <v>34</v>
      </c>
      <c r="F3970" s="209" t="s">
        <v>35</v>
      </c>
      <c r="G3970" s="209" t="s">
        <v>36</v>
      </c>
      <c r="H3970" s="59" t="s">
        <v>25</v>
      </c>
      <c r="I3970" s="43"/>
    </row>
    <row r="3971" spans="2:9" x14ac:dyDescent="0.15">
      <c r="B3971" s="4" t="s">
        <v>79</v>
      </c>
      <c r="C3971" s="6"/>
      <c r="D3971" s="53">
        <v>0.2</v>
      </c>
      <c r="E3971" s="2">
        <v>15</v>
      </c>
      <c r="F3971" s="2">
        <f>E3971*D3971</f>
        <v>3</v>
      </c>
      <c r="G3971" s="65">
        <v>1100</v>
      </c>
      <c r="H3971" s="20">
        <f>G3971*F3971</f>
        <v>3300</v>
      </c>
      <c r="I3971" s="44"/>
    </row>
    <row r="3972" spans="2:9" x14ac:dyDescent="0.15">
      <c r="B3972" s="107"/>
      <c r="C3972" s="66"/>
      <c r="D3972" s="67"/>
      <c r="E3972" s="68"/>
      <c r="F3972" s="68"/>
      <c r="G3972" s="69"/>
      <c r="H3972" s="65"/>
      <c r="I3972" s="44"/>
    </row>
    <row r="3973" spans="2:9" ht="14" thickBot="1" x14ac:dyDescent="0.2">
      <c r="B3973" s="33"/>
      <c r="C3973" s="54"/>
      <c r="D3973" s="21"/>
      <c r="E3973" s="22"/>
      <c r="F3973" s="23"/>
      <c r="G3973" s="47"/>
      <c r="H3973" s="21"/>
      <c r="I3973" s="48"/>
    </row>
    <row r="3974" spans="2:9" ht="14" thickBot="1" x14ac:dyDescent="0.2">
      <c r="B3974" s="1"/>
      <c r="C3974" s="1"/>
      <c r="D3974" s="1"/>
      <c r="E3974" s="1"/>
      <c r="F3974" s="1"/>
      <c r="G3974" s="1"/>
      <c r="H3974" s="37" t="s">
        <v>26</v>
      </c>
      <c r="I3974" s="163">
        <f>SUM(H3971:H3973)</f>
        <v>3300</v>
      </c>
    </row>
    <row r="3975" spans="2:9" ht="14" thickBot="1" x14ac:dyDescent="0.2">
      <c r="B3975" s="28" t="s">
        <v>37</v>
      </c>
      <c r="C3975" s="28"/>
      <c r="D3975" s="1"/>
      <c r="E3975" s="1"/>
      <c r="F3975" s="1"/>
      <c r="G3975" s="1"/>
      <c r="H3975" s="1"/>
      <c r="I3975" s="1"/>
    </row>
    <row r="3976" spans="2:9" x14ac:dyDescent="0.15">
      <c r="B3976" s="51" t="s">
        <v>38</v>
      </c>
      <c r="C3976" s="86"/>
      <c r="D3976" s="31" t="s">
        <v>39</v>
      </c>
      <c r="E3976" s="209" t="s">
        <v>40</v>
      </c>
      <c r="F3976" s="19" t="s">
        <v>41</v>
      </c>
      <c r="G3976" s="31" t="s">
        <v>24</v>
      </c>
      <c r="H3976" s="208" t="s">
        <v>25</v>
      </c>
      <c r="I3976" s="43"/>
    </row>
    <row r="3977" spans="2:9" x14ac:dyDescent="0.15">
      <c r="B3977" s="4" t="s">
        <v>65</v>
      </c>
      <c r="C3977" s="24"/>
      <c r="D3977" s="32">
        <f>'MANO DE OBRA'!E15</f>
        <v>95333</v>
      </c>
      <c r="E3977" s="88">
        <v>1.75</v>
      </c>
      <c r="F3977" s="164">
        <f>+E3977*D3977</f>
        <v>166832.75</v>
      </c>
      <c r="G3977" s="79">
        <v>10</v>
      </c>
      <c r="H3977" s="169">
        <f>+F3977/G3977</f>
        <v>16683.275000000001</v>
      </c>
      <c r="I3977" s="44"/>
    </row>
    <row r="3978" spans="2:9" x14ac:dyDescent="0.15">
      <c r="B3978" s="80" t="s">
        <v>55</v>
      </c>
      <c r="C3978" s="24"/>
      <c r="D3978" s="32">
        <f>'MANO DE OBRA'!E14*2</f>
        <v>104000</v>
      </c>
      <c r="E3978" s="88">
        <v>1.75</v>
      </c>
      <c r="F3978" s="164">
        <f>+E3978*D3978</f>
        <v>182000</v>
      </c>
      <c r="G3978" s="79">
        <v>10</v>
      </c>
      <c r="H3978" s="169">
        <f>+F3978/G3978</f>
        <v>18200</v>
      </c>
      <c r="I3978" s="44"/>
    </row>
    <row r="3979" spans="2:9" ht="14" thickBot="1" x14ac:dyDescent="0.2">
      <c r="B3979" s="33"/>
      <c r="C3979" s="34"/>
      <c r="D3979" s="22"/>
      <c r="E3979" s="21"/>
      <c r="F3979" s="22"/>
      <c r="G3979" s="23"/>
      <c r="H3979" s="47"/>
      <c r="I3979" s="48"/>
    </row>
    <row r="3980" spans="2:9" ht="14" thickBot="1" x14ac:dyDescent="0.2">
      <c r="B3980" s="1"/>
      <c r="C3980" s="1"/>
      <c r="D3980" s="1"/>
      <c r="E3980" s="1"/>
      <c r="F3980" s="1"/>
      <c r="G3980" s="1"/>
      <c r="H3980" s="37" t="s">
        <v>26</v>
      </c>
      <c r="I3980" s="177">
        <f>SUM(H3977:H3979)</f>
        <v>34883.275000000001</v>
      </c>
    </row>
    <row r="3981" spans="2:9" ht="14" thickBot="1" x14ac:dyDescent="0.2">
      <c r="B3981" s="1"/>
      <c r="C3981" s="1"/>
      <c r="D3981" s="1"/>
      <c r="E3981" s="1"/>
      <c r="F3981" s="1"/>
      <c r="G3981" s="1"/>
      <c r="H3981" s="61"/>
      <c r="I3981" s="1"/>
    </row>
    <row r="3982" spans="2:9" ht="15" thickBot="1" x14ac:dyDescent="0.2">
      <c r="B3982" s="1"/>
      <c r="C3982" s="1"/>
      <c r="D3982" s="1"/>
      <c r="E3982" s="1"/>
      <c r="F3982" s="35" t="s">
        <v>43</v>
      </c>
      <c r="G3982" s="16"/>
      <c r="H3982" s="16"/>
      <c r="I3982" s="477">
        <f>ROUND((I3958+I3968+I3974+I3980),0)</f>
        <v>143749</v>
      </c>
    </row>
    <row r="3983" spans="2:9" x14ac:dyDescent="0.15">
      <c r="B3983" s="12"/>
      <c r="C3983" s="12"/>
      <c r="D3983" s="1"/>
      <c r="E3983" s="1"/>
      <c r="F3983" s="1"/>
      <c r="G3983" s="1"/>
      <c r="H3983" s="172"/>
      <c r="I3983" s="172"/>
    </row>
    <row r="3984" spans="2:9" x14ac:dyDescent="0.15">
      <c r="B3984" s="16"/>
      <c r="C3984" s="16"/>
      <c r="D3984" s="16"/>
      <c r="E3984" s="16"/>
      <c r="F3984" s="16"/>
      <c r="G3984" s="61"/>
      <c r="H3984" s="173"/>
      <c r="I3984" s="172"/>
    </row>
    <row r="3985" spans="1:10" x14ac:dyDescent="0.15">
      <c r="B3985" s="1"/>
      <c r="C3985" s="1"/>
      <c r="D3985" s="1"/>
      <c r="E3985" s="1"/>
      <c r="F3985" s="1"/>
      <c r="G3985" s="161"/>
      <c r="H3985" s="172"/>
      <c r="I3985" s="172"/>
    </row>
    <row r="3986" spans="1:10" x14ac:dyDescent="0.15">
      <c r="B3986" s="1"/>
      <c r="C3986" s="1"/>
      <c r="D3986" s="1"/>
      <c r="E3986" s="1"/>
      <c r="F3986" s="1"/>
      <c r="G3986" s="161"/>
      <c r="H3986" s="172"/>
      <c r="I3986" s="172"/>
    </row>
    <row r="3987" spans="1:10" x14ac:dyDescent="0.15">
      <c r="B3987" s="1"/>
      <c r="C3987" s="1"/>
      <c r="D3987" s="1"/>
      <c r="E3987" s="1"/>
      <c r="F3987" s="1"/>
      <c r="G3987" s="161"/>
      <c r="H3987" s="172"/>
      <c r="I3987" s="172"/>
    </row>
    <row r="3988" spans="1:10" x14ac:dyDescent="0.15">
      <c r="B3988" s="1"/>
      <c r="C3988" s="1"/>
      <c r="D3988" s="1"/>
      <c r="E3988" s="1"/>
      <c r="F3988" s="1"/>
      <c r="G3988" s="1"/>
      <c r="H3988" s="37"/>
      <c r="I3988" s="172"/>
    </row>
    <row r="3989" spans="1:10" ht="14" x14ac:dyDescent="0.15">
      <c r="B3989" s="102"/>
      <c r="C3989" s="1"/>
      <c r="D3989" s="1"/>
      <c r="E3989" s="1"/>
      <c r="F3989" s="1"/>
      <c r="G3989" s="1"/>
      <c r="H3989" s="1"/>
      <c r="I3989" s="172"/>
    </row>
    <row r="3990" spans="1:10" ht="14" x14ac:dyDescent="0.15">
      <c r="B3990" s="83"/>
      <c r="C3990" s="11"/>
      <c r="D3990" s="1"/>
      <c r="E3990" s="916"/>
      <c r="F3990" s="916"/>
      <c r="G3990" s="916"/>
      <c r="H3990" s="916"/>
      <c r="I3990" s="171"/>
    </row>
    <row r="3991" spans="1:10" x14ac:dyDescent="0.15">
      <c r="B3991" s="11"/>
      <c r="C3991" s="11"/>
      <c r="D3991" s="1"/>
      <c r="E3991" s="155"/>
      <c r="F3991" s="155"/>
      <c r="G3991" s="155"/>
      <c r="H3991" s="155"/>
      <c r="I3991" s="171"/>
    </row>
    <row r="3992" spans="1:10" x14ac:dyDescent="0.15">
      <c r="B3992" s="11"/>
      <c r="C3992" s="11"/>
      <c r="D3992" s="1"/>
      <c r="E3992" s="155"/>
      <c r="F3992" s="155"/>
      <c r="G3992" s="155"/>
      <c r="H3992" s="155"/>
      <c r="I3992" s="171"/>
    </row>
    <row r="3993" spans="1:10" x14ac:dyDescent="0.15">
      <c r="B3993" s="11"/>
      <c r="C3993" s="11"/>
      <c r="D3993" s="1"/>
      <c r="E3993" s="155"/>
      <c r="F3993" s="155"/>
      <c r="G3993" s="155"/>
      <c r="H3993" s="155"/>
      <c r="I3993" s="171"/>
    </row>
    <row r="3994" spans="1:10" x14ac:dyDescent="0.15">
      <c r="B3994" s="11"/>
      <c r="C3994" s="11"/>
      <c r="D3994" s="1"/>
      <c r="E3994" s="155"/>
      <c r="F3994" s="155"/>
      <c r="G3994" s="155"/>
      <c r="H3994" s="155"/>
      <c r="I3994" s="171"/>
    </row>
    <row r="3995" spans="1:10" x14ac:dyDescent="0.15">
      <c r="B3995" s="11"/>
      <c r="C3995" s="11"/>
      <c r="D3995" s="1"/>
      <c r="E3995" s="155"/>
      <c r="F3995" s="155"/>
      <c r="G3995" s="155"/>
      <c r="H3995" s="155"/>
      <c r="I3995" s="171"/>
    </row>
    <row r="3996" spans="1:10" x14ac:dyDescent="0.15">
      <c r="B3996" s="11"/>
      <c r="C3996" s="11"/>
      <c r="D3996" s="1"/>
      <c r="E3996" s="155"/>
      <c r="F3996" s="155"/>
      <c r="G3996" s="155"/>
      <c r="H3996" s="155"/>
      <c r="I3996" s="171"/>
    </row>
    <row r="3997" spans="1:10" ht="14" x14ac:dyDescent="0.15">
      <c r="A3997" s="85"/>
      <c r="B3997" s="83"/>
      <c r="C3997" s="83"/>
      <c r="D3997" s="84"/>
      <c r="E3997" s="83"/>
      <c r="F3997" s="156"/>
      <c r="G3997" s="157"/>
      <c r="H3997" s="158"/>
      <c r="I3997" s="159"/>
      <c r="J3997" s="85"/>
    </row>
    <row r="3999" spans="1:10" ht="15" thickBot="1" x14ac:dyDescent="0.2">
      <c r="B3999" s="83"/>
      <c r="C3999" s="11"/>
      <c r="D3999" s="11"/>
      <c r="E3999" s="11"/>
      <c r="F3999" s="938"/>
      <c r="G3999" s="938"/>
      <c r="H3999" s="938"/>
      <c r="I3999" s="938"/>
    </row>
    <row r="4000" spans="1:10" ht="21" customHeight="1" x14ac:dyDescent="0.15">
      <c r="B4000" s="885" t="s">
        <v>874</v>
      </c>
      <c r="C4000" s="886"/>
      <c r="D4000" s="886"/>
      <c r="E4000" s="886"/>
      <c r="F4000" s="887"/>
      <c r="G4000" s="1"/>
      <c r="H4000" s="879" t="s">
        <v>20</v>
      </c>
      <c r="I4000" s="880"/>
    </row>
    <row r="4001" spans="2:9" ht="16.5" customHeight="1" x14ac:dyDescent="0.15">
      <c r="B4001" s="888" t="s">
        <v>875</v>
      </c>
      <c r="C4001" s="889"/>
      <c r="D4001" s="889"/>
      <c r="E4001" s="889"/>
      <c r="F4001" s="890"/>
      <c r="G4001" s="63"/>
      <c r="H4001" s="881"/>
      <c r="I4001" s="882"/>
    </row>
    <row r="4002" spans="2:9" ht="12.75" customHeight="1" x14ac:dyDescent="0.15">
      <c r="B4002" s="906" t="s">
        <v>876</v>
      </c>
      <c r="C4002" s="907"/>
      <c r="D4002" s="907"/>
      <c r="E4002" s="907"/>
      <c r="F4002" s="908"/>
      <c r="G4002" s="63"/>
      <c r="H4002" s="883"/>
      <c r="I4002" s="884"/>
    </row>
    <row r="4003" spans="2:9" ht="16.5" customHeight="1" thickBot="1" x14ac:dyDescent="0.2">
      <c r="B4003" s="909"/>
      <c r="C4003" s="910"/>
      <c r="D4003" s="910"/>
      <c r="E4003" s="910"/>
      <c r="F4003" s="911"/>
      <c r="G4003" s="1"/>
      <c r="H4003" s="987" t="s">
        <v>1338</v>
      </c>
      <c r="I4003" s="988"/>
    </row>
    <row r="4004" spans="2:9" ht="14" thickBot="1" x14ac:dyDescent="0.2">
      <c r="B4004" s="15"/>
      <c r="C4004" s="16"/>
      <c r="D4004" s="1"/>
      <c r="E4004" s="1"/>
      <c r="F4004" s="1"/>
      <c r="G4004" s="1"/>
      <c r="H4004" s="989"/>
      <c r="I4004" s="990"/>
    </row>
    <row r="4005" spans="2:9" ht="12.75" customHeight="1" x14ac:dyDescent="0.15">
      <c r="B4005" s="922" t="s">
        <v>836</v>
      </c>
      <c r="C4005" s="923"/>
      <c r="D4005" s="923"/>
      <c r="E4005" s="923"/>
      <c r="F4005" s="924"/>
      <c r="G4005" s="1"/>
      <c r="H4005" s="989"/>
      <c r="I4005" s="990"/>
    </row>
    <row r="4006" spans="2:9" ht="12.75" customHeight="1" x14ac:dyDescent="0.15">
      <c r="B4006" s="925"/>
      <c r="C4006" s="926"/>
      <c r="D4006" s="926"/>
      <c r="E4006" s="926"/>
      <c r="F4006" s="927"/>
      <c r="H4006" s="989"/>
      <c r="I4006" s="990"/>
    </row>
    <row r="4007" spans="2:9" ht="13.5" customHeight="1" x14ac:dyDescent="0.15">
      <c r="B4007" s="925"/>
      <c r="C4007" s="926"/>
      <c r="D4007" s="926"/>
      <c r="E4007" s="926"/>
      <c r="F4007" s="927"/>
      <c r="G4007" s="11"/>
      <c r="H4007" s="991"/>
      <c r="I4007" s="992"/>
    </row>
    <row r="4008" spans="2:9" ht="21.75" customHeight="1" thickBot="1" x14ac:dyDescent="0.2">
      <c r="B4008" s="928"/>
      <c r="C4008" s="929"/>
      <c r="D4008" s="929"/>
      <c r="E4008" s="929"/>
      <c r="F4008" s="930"/>
      <c r="H4008" s="64" t="s">
        <v>45</v>
      </c>
      <c r="I4008" s="17" t="s">
        <v>7</v>
      </c>
    </row>
    <row r="4009" spans="2:9" x14ac:dyDescent="0.15">
      <c r="B4009" s="18"/>
      <c r="C4009" s="18"/>
      <c r="D4009" s="1"/>
      <c r="E4009" s="18"/>
      <c r="F4009" s="18"/>
      <c r="G4009" s="18"/>
      <c r="H4009" s="18"/>
      <c r="I4009" s="1"/>
    </row>
    <row r="4010" spans="2:9" ht="14" thickBot="1" x14ac:dyDescent="0.2">
      <c r="B4010" s="12" t="s">
        <v>21</v>
      </c>
      <c r="C4010" s="12"/>
      <c r="D4010" s="1"/>
      <c r="E4010" s="1"/>
      <c r="F4010" s="1"/>
      <c r="G4010" s="1"/>
      <c r="H4010" s="1"/>
      <c r="I4010" s="1"/>
    </row>
    <row r="4011" spans="2:9" x14ac:dyDescent="0.15">
      <c r="B4011" s="903" t="s">
        <v>22</v>
      </c>
      <c r="C4011" s="904"/>
      <c r="D4011" s="905"/>
      <c r="E4011" s="209" t="s">
        <v>23</v>
      </c>
      <c r="F4011" s="19" t="s">
        <v>47</v>
      </c>
      <c r="G4011" s="209" t="s">
        <v>24</v>
      </c>
      <c r="H4011" s="208" t="s">
        <v>25</v>
      </c>
      <c r="I4011" s="43"/>
    </row>
    <row r="4012" spans="2:9" x14ac:dyDescent="0.15">
      <c r="B4012" s="897" t="s">
        <v>56</v>
      </c>
      <c r="C4012" s="898"/>
      <c r="D4012" s="899"/>
      <c r="E4012" s="5"/>
      <c r="F4012" s="162"/>
      <c r="G4012" s="58"/>
      <c r="H4012" s="162">
        <f>I4036*0.05</f>
        <v>697.66550000000007</v>
      </c>
      <c r="I4012" s="44"/>
    </row>
    <row r="4013" spans="2:9" ht="14" thickBot="1" x14ac:dyDescent="0.2">
      <c r="B4013" s="900"/>
      <c r="C4013" s="901"/>
      <c r="D4013" s="902"/>
      <c r="E4013" s="21"/>
      <c r="F4013" s="22"/>
      <c r="G4013" s="23"/>
      <c r="H4013" s="47"/>
      <c r="I4013" s="48"/>
    </row>
    <row r="4014" spans="2:9" ht="14" thickBot="1" x14ac:dyDescent="0.2">
      <c r="B4014" s="1"/>
      <c r="C4014" s="1"/>
      <c r="D4014" s="1"/>
      <c r="E4014" s="1"/>
      <c r="F4014" s="1"/>
      <c r="G4014" s="1"/>
      <c r="H4014" s="37" t="s">
        <v>26</v>
      </c>
      <c r="I4014" s="163">
        <f>SUM(H4012:H4013)</f>
        <v>697.66550000000007</v>
      </c>
    </row>
    <row r="4015" spans="2:9" ht="14" thickBot="1" x14ac:dyDescent="0.2">
      <c r="B4015" s="12" t="s">
        <v>27</v>
      </c>
      <c r="C4015" s="12"/>
      <c r="D4015" s="1"/>
      <c r="E4015" s="1"/>
      <c r="F4015" s="1"/>
      <c r="G4015" s="1"/>
      <c r="H4015" s="1"/>
      <c r="I4015" s="1"/>
    </row>
    <row r="4016" spans="2:9" x14ac:dyDescent="0.15">
      <c r="B4016" s="903" t="s">
        <v>22</v>
      </c>
      <c r="C4016" s="904"/>
      <c r="D4016" s="905"/>
      <c r="E4016" s="209" t="s">
        <v>28</v>
      </c>
      <c r="F4016" s="209" t="s">
        <v>29</v>
      </c>
      <c r="G4016" s="209" t="s">
        <v>30</v>
      </c>
      <c r="H4016" s="208" t="s">
        <v>25</v>
      </c>
      <c r="I4016" s="43"/>
    </row>
    <row r="4017" spans="2:9" x14ac:dyDescent="0.15">
      <c r="B4017" s="4" t="s">
        <v>292</v>
      </c>
      <c r="C4017" s="24"/>
      <c r="D4017" s="6"/>
      <c r="E4017" s="3" t="s">
        <v>193</v>
      </c>
      <c r="F4017" s="164">
        <f>MATERIALES!C85</f>
        <v>11650</v>
      </c>
      <c r="G4017" s="65">
        <v>1</v>
      </c>
      <c r="H4017" s="165">
        <f t="shared" ref="H4017:H4022" si="24">G4017*F4017</f>
        <v>11650</v>
      </c>
      <c r="I4017" s="44"/>
    </row>
    <row r="4018" spans="2:9" x14ac:dyDescent="0.15">
      <c r="B4018" s="4" t="s">
        <v>293</v>
      </c>
      <c r="C4018" s="24"/>
      <c r="D4018" s="6"/>
      <c r="E4018" s="3" t="s">
        <v>319</v>
      </c>
      <c r="F4018" s="164">
        <f>MATERIALES!C86</f>
        <v>4050</v>
      </c>
      <c r="G4018" s="65">
        <v>7.4999999999999997E-2</v>
      </c>
      <c r="H4018" s="165">
        <f t="shared" si="24"/>
        <v>303.75</v>
      </c>
      <c r="I4018" s="44"/>
    </row>
    <row r="4019" spans="2:9" x14ac:dyDescent="0.15">
      <c r="B4019" s="4" t="s">
        <v>294</v>
      </c>
      <c r="C4019" s="24"/>
      <c r="D4019" s="6"/>
      <c r="E4019" s="3" t="s">
        <v>319</v>
      </c>
      <c r="F4019" s="164">
        <f>MATERIALES!C87</f>
        <v>3990</v>
      </c>
      <c r="G4019" s="65">
        <v>7.4999999999999997E-2</v>
      </c>
      <c r="H4019" s="165">
        <f t="shared" si="24"/>
        <v>299.25</v>
      </c>
      <c r="I4019" s="44"/>
    </row>
    <row r="4020" spans="2:9" x14ac:dyDescent="0.15">
      <c r="B4020" s="4" t="s">
        <v>1323</v>
      </c>
      <c r="C4020" s="24"/>
      <c r="D4020" s="6"/>
      <c r="E4020" s="3" t="s">
        <v>319</v>
      </c>
      <c r="F4020" s="164">
        <f>MATERIALES!C88</f>
        <v>2086</v>
      </c>
      <c r="G4020" s="65">
        <v>7.4999999999999997E-2</v>
      </c>
      <c r="H4020" s="165">
        <f t="shared" si="24"/>
        <v>156.44999999999999</v>
      </c>
      <c r="I4020" s="44"/>
    </row>
    <row r="4021" spans="2:9" x14ac:dyDescent="0.15">
      <c r="B4021" s="4" t="s">
        <v>1324</v>
      </c>
      <c r="C4021" s="24"/>
      <c r="D4021" s="6"/>
      <c r="E4021" s="3" t="s">
        <v>319</v>
      </c>
      <c r="F4021" s="164">
        <f>MATERIALES!C89</f>
        <v>12460</v>
      </c>
      <c r="G4021" s="65">
        <v>7.4999999999999997E-2</v>
      </c>
      <c r="H4021" s="165">
        <f t="shared" si="24"/>
        <v>934.5</v>
      </c>
      <c r="I4021" s="44"/>
    </row>
    <row r="4022" spans="2:9" x14ac:dyDescent="0.15">
      <c r="B4022" s="4" t="s">
        <v>135</v>
      </c>
      <c r="C4022" s="24"/>
      <c r="D4022" s="6"/>
      <c r="E4022" s="3" t="s">
        <v>77</v>
      </c>
      <c r="F4022" s="164">
        <f>MATERIALES!C27</f>
        <v>286200</v>
      </c>
      <c r="G4022" s="65">
        <v>0.01</v>
      </c>
      <c r="H4022" s="165">
        <f t="shared" si="24"/>
        <v>2862</v>
      </c>
      <c r="I4022" s="44"/>
    </row>
    <row r="4023" spans="2:9" ht="14" thickBot="1" x14ac:dyDescent="0.2">
      <c r="B4023" s="25"/>
      <c r="C4023" s="26"/>
      <c r="D4023" s="27"/>
      <c r="E4023" s="21"/>
      <c r="F4023" s="22"/>
      <c r="G4023" s="167"/>
      <c r="H4023" s="47"/>
      <c r="I4023" s="48"/>
    </row>
    <row r="4024" spans="2:9" ht="14" thickBot="1" x14ac:dyDescent="0.2">
      <c r="B4024" s="1"/>
      <c r="C4024" s="1"/>
      <c r="D4024" s="1"/>
      <c r="E4024" s="1"/>
      <c r="F4024" s="1"/>
      <c r="G4024" s="1"/>
      <c r="H4024" s="37" t="s">
        <v>26</v>
      </c>
      <c r="I4024" s="163">
        <f>SUM(H4017:H4023)</f>
        <v>16205.95</v>
      </c>
    </row>
    <row r="4025" spans="2:9" ht="14" thickBot="1" x14ac:dyDescent="0.2">
      <c r="B4025" s="28" t="s">
        <v>31</v>
      </c>
      <c r="C4025" s="28"/>
      <c r="D4025" s="26"/>
      <c r="E4025" s="1"/>
      <c r="F4025" s="1"/>
      <c r="G4025" s="1"/>
      <c r="H4025" s="1"/>
      <c r="I4025" s="1"/>
    </row>
    <row r="4026" spans="2:9" x14ac:dyDescent="0.15">
      <c r="B4026" s="51" t="s">
        <v>32</v>
      </c>
      <c r="C4026" s="52"/>
      <c r="D4026" s="97" t="s">
        <v>33</v>
      </c>
      <c r="E4026" s="209" t="s">
        <v>34</v>
      </c>
      <c r="F4026" s="209" t="s">
        <v>35</v>
      </c>
      <c r="G4026" s="209" t="s">
        <v>36</v>
      </c>
      <c r="H4026" s="59" t="s">
        <v>25</v>
      </c>
      <c r="I4026" s="43"/>
    </row>
    <row r="4027" spans="2:9" x14ac:dyDescent="0.15">
      <c r="B4027" s="4" t="s">
        <v>79</v>
      </c>
      <c r="C4027" s="6"/>
      <c r="D4027" s="53">
        <v>0.1</v>
      </c>
      <c r="E4027" s="2">
        <v>15</v>
      </c>
      <c r="F4027" s="2">
        <f>E4027*D4027</f>
        <v>1.5</v>
      </c>
      <c r="G4027" s="65">
        <v>1100</v>
      </c>
      <c r="H4027" s="20">
        <f>G4027*F4027</f>
        <v>1650</v>
      </c>
      <c r="I4027" s="44"/>
    </row>
    <row r="4028" spans="2:9" x14ac:dyDescent="0.15">
      <c r="B4028" s="107"/>
      <c r="C4028" s="66"/>
      <c r="D4028" s="67"/>
      <c r="E4028" s="68"/>
      <c r="F4028" s="68"/>
      <c r="G4028" s="69"/>
      <c r="H4028" s="65"/>
      <c r="I4028" s="44"/>
    </row>
    <row r="4029" spans="2:9" ht="14" thickBot="1" x14ac:dyDescent="0.2">
      <c r="B4029" s="33"/>
      <c r="C4029" s="54"/>
      <c r="D4029" s="21"/>
      <c r="E4029" s="22"/>
      <c r="F4029" s="23"/>
      <c r="G4029" s="47"/>
      <c r="H4029" s="21"/>
      <c r="I4029" s="48"/>
    </row>
    <row r="4030" spans="2:9" ht="14" thickBot="1" x14ac:dyDescent="0.2">
      <c r="B4030" s="1"/>
      <c r="C4030" s="1"/>
      <c r="D4030" s="1"/>
      <c r="E4030" s="1"/>
      <c r="F4030" s="1"/>
      <c r="G4030" s="1"/>
      <c r="H4030" s="37" t="s">
        <v>26</v>
      </c>
      <c r="I4030" s="163">
        <f>SUM(H4027:H4029)</f>
        <v>1650</v>
      </c>
    </row>
    <row r="4031" spans="2:9" ht="14" thickBot="1" x14ac:dyDescent="0.2">
      <c r="B4031" s="28" t="s">
        <v>37</v>
      </c>
      <c r="C4031" s="28"/>
      <c r="D4031" s="1"/>
      <c r="E4031" s="1"/>
      <c r="F4031" s="1"/>
      <c r="G4031" s="1"/>
      <c r="H4031" s="1"/>
      <c r="I4031" s="1"/>
    </row>
    <row r="4032" spans="2:9" x14ac:dyDescent="0.15">
      <c r="B4032" s="51" t="s">
        <v>38</v>
      </c>
      <c r="C4032" s="86"/>
      <c r="D4032" s="31" t="s">
        <v>39</v>
      </c>
      <c r="E4032" s="209" t="s">
        <v>40</v>
      </c>
      <c r="F4032" s="19" t="s">
        <v>41</v>
      </c>
      <c r="G4032" s="31" t="s">
        <v>24</v>
      </c>
      <c r="H4032" s="208" t="s">
        <v>25</v>
      </c>
      <c r="I4032" s="43"/>
    </row>
    <row r="4033" spans="2:9" x14ac:dyDescent="0.15">
      <c r="B4033" s="4" t="s">
        <v>65</v>
      </c>
      <c r="C4033" s="24"/>
      <c r="D4033" s="32">
        <f>'MANO DE OBRA'!E15</f>
        <v>95333</v>
      </c>
      <c r="E4033" s="88">
        <v>1.75</v>
      </c>
      <c r="F4033" s="164">
        <f>+E4033*D4033</f>
        <v>166832.75</v>
      </c>
      <c r="G4033" s="79">
        <v>25</v>
      </c>
      <c r="H4033" s="169">
        <f>+F4033/G4033</f>
        <v>6673.31</v>
      </c>
      <c r="I4033" s="44"/>
    </row>
    <row r="4034" spans="2:9" x14ac:dyDescent="0.15">
      <c r="B4034" s="80" t="s">
        <v>55</v>
      </c>
      <c r="C4034" s="24"/>
      <c r="D4034" s="32">
        <f>'MANO DE OBRA'!E14*2</f>
        <v>104000</v>
      </c>
      <c r="E4034" s="88">
        <v>1.75</v>
      </c>
      <c r="F4034" s="164">
        <f>+E4034*D4034</f>
        <v>182000</v>
      </c>
      <c r="G4034" s="79">
        <v>25</v>
      </c>
      <c r="H4034" s="169">
        <f>+F4034/G4034</f>
        <v>7280</v>
      </c>
      <c r="I4034" s="44"/>
    </row>
    <row r="4035" spans="2:9" ht="14" thickBot="1" x14ac:dyDescent="0.2">
      <c r="B4035" s="33"/>
      <c r="C4035" s="34"/>
      <c r="D4035" s="22"/>
      <c r="E4035" s="21"/>
      <c r="F4035" s="22"/>
      <c r="G4035" s="23"/>
      <c r="H4035" s="47"/>
      <c r="I4035" s="48"/>
    </row>
    <row r="4036" spans="2:9" ht="14" thickBot="1" x14ac:dyDescent="0.2">
      <c r="B4036" s="1"/>
      <c r="C4036" s="1"/>
      <c r="D4036" s="1"/>
      <c r="E4036" s="1"/>
      <c r="F4036" s="1"/>
      <c r="G4036" s="1"/>
      <c r="H4036" s="37" t="s">
        <v>26</v>
      </c>
      <c r="I4036" s="177">
        <f>SUM(H4033:H4035)</f>
        <v>13953.310000000001</v>
      </c>
    </row>
    <row r="4037" spans="2:9" ht="14" thickBot="1" x14ac:dyDescent="0.2">
      <c r="B4037" s="1"/>
      <c r="C4037" s="1"/>
      <c r="D4037" s="1"/>
      <c r="E4037" s="1"/>
      <c r="F4037" s="1"/>
      <c r="G4037" s="1"/>
      <c r="H4037" s="61"/>
      <c r="I4037" s="1"/>
    </row>
    <row r="4038" spans="2:9" ht="15" thickBot="1" x14ac:dyDescent="0.2">
      <c r="B4038" s="1"/>
      <c r="C4038" s="1"/>
      <c r="D4038" s="1"/>
      <c r="E4038" s="1"/>
      <c r="F4038" s="35" t="s">
        <v>43</v>
      </c>
      <c r="G4038" s="16"/>
      <c r="H4038" s="16"/>
      <c r="I4038" s="477">
        <f>ROUND((I4014+I4024+I4030+I4036),0)</f>
        <v>32507</v>
      </c>
    </row>
    <row r="4039" spans="2:9" x14ac:dyDescent="0.15">
      <c r="B4039" s="12"/>
      <c r="C4039" s="12"/>
      <c r="D4039" s="1"/>
      <c r="E4039" s="1"/>
      <c r="F4039" s="1"/>
      <c r="G4039" s="1"/>
      <c r="H4039" s="172"/>
      <c r="I4039" s="172"/>
    </row>
    <row r="4040" spans="2:9" x14ac:dyDescent="0.15">
      <c r="B4040" s="16"/>
      <c r="C4040" s="16"/>
      <c r="D4040" s="16"/>
      <c r="E4040" s="16"/>
      <c r="F4040" s="16"/>
      <c r="G4040" s="61"/>
      <c r="H4040" s="173"/>
      <c r="I4040" s="172"/>
    </row>
    <row r="4041" spans="2:9" x14ac:dyDescent="0.15">
      <c r="B4041" s="1"/>
      <c r="C4041" s="1"/>
      <c r="D4041" s="1"/>
      <c r="E4041" s="1"/>
      <c r="F4041" s="1"/>
      <c r="G4041" s="161"/>
      <c r="H4041" s="172"/>
      <c r="I4041" s="172"/>
    </row>
    <row r="4042" spans="2:9" x14ac:dyDescent="0.15">
      <c r="B4042" s="1"/>
      <c r="C4042" s="1"/>
      <c r="D4042" s="1"/>
      <c r="E4042" s="1"/>
      <c r="F4042" s="1"/>
      <c r="G4042" s="161"/>
      <c r="H4042" s="172"/>
      <c r="I4042" s="172"/>
    </row>
    <row r="4043" spans="2:9" x14ac:dyDescent="0.15">
      <c r="B4043" s="1"/>
      <c r="C4043" s="1"/>
      <c r="D4043" s="1"/>
      <c r="E4043" s="1"/>
      <c r="F4043" s="1"/>
      <c r="G4043" s="161"/>
      <c r="H4043" s="172"/>
      <c r="I4043" s="172"/>
    </row>
    <row r="4044" spans="2:9" x14ac:dyDescent="0.15">
      <c r="B4044" s="1"/>
      <c r="C4044" s="1"/>
      <c r="D4044" s="1"/>
      <c r="E4044" s="1"/>
      <c r="F4044" s="1"/>
      <c r="G4044" s="1"/>
      <c r="H4044" s="37"/>
      <c r="I4044" s="172"/>
    </row>
    <row r="4045" spans="2:9" ht="14" x14ac:dyDescent="0.15">
      <c r="B4045" s="102"/>
      <c r="C4045" s="1"/>
      <c r="D4045" s="1"/>
      <c r="E4045" s="1"/>
      <c r="F4045" s="1"/>
      <c r="G4045" s="1"/>
      <c r="H4045" s="1"/>
      <c r="I4045" s="172"/>
    </row>
    <row r="4046" spans="2:9" ht="14" x14ac:dyDescent="0.15">
      <c r="B4046" s="83"/>
      <c r="C4046" s="11"/>
      <c r="D4046" s="1"/>
      <c r="E4046" s="916"/>
      <c r="F4046" s="916"/>
      <c r="G4046" s="916"/>
      <c r="H4046" s="916"/>
      <c r="I4046" s="171"/>
    </row>
    <row r="4047" spans="2:9" x14ac:dyDescent="0.15">
      <c r="B4047" s="11"/>
      <c r="C4047" s="11"/>
      <c r="D4047" s="1"/>
      <c r="E4047" s="155"/>
      <c r="F4047" s="155"/>
      <c r="G4047" s="155"/>
      <c r="H4047" s="155"/>
      <c r="I4047" s="171"/>
    </row>
    <row r="4048" spans="2:9" x14ac:dyDescent="0.15">
      <c r="B4048" s="11"/>
      <c r="C4048" s="11"/>
      <c r="D4048" s="1"/>
      <c r="E4048" s="155"/>
      <c r="F4048" s="155"/>
      <c r="G4048" s="155"/>
      <c r="H4048" s="155"/>
      <c r="I4048" s="171"/>
    </row>
    <row r="4049" spans="1:10" x14ac:dyDescent="0.15">
      <c r="B4049" s="11"/>
      <c r="C4049" s="11"/>
      <c r="D4049" s="1"/>
      <c r="E4049" s="155"/>
      <c r="F4049" s="155"/>
      <c r="G4049" s="155"/>
      <c r="H4049" s="155"/>
      <c r="I4049" s="171"/>
    </row>
    <row r="4050" spans="1:10" ht="14" x14ac:dyDescent="0.15">
      <c r="A4050" s="85"/>
      <c r="B4050" s="102"/>
      <c r="C4050" s="83"/>
      <c r="D4050" s="84"/>
      <c r="E4050" s="83"/>
      <c r="F4050" s="160"/>
      <c r="G4050" s="157"/>
      <c r="H4050" s="83"/>
      <c r="I4050" s="83"/>
      <c r="J4050" s="85"/>
    </row>
    <row r="4051" spans="1:10" ht="14" x14ac:dyDescent="0.15">
      <c r="A4051" s="85"/>
      <c r="B4051" s="102"/>
      <c r="C4051" s="83"/>
      <c r="D4051" s="84"/>
      <c r="E4051" s="83"/>
      <c r="F4051" s="160"/>
      <c r="G4051" s="157"/>
      <c r="H4051" s="83"/>
      <c r="I4051" s="83"/>
      <c r="J4051" s="85"/>
    </row>
    <row r="4052" spans="1:10" ht="14" x14ac:dyDescent="0.15">
      <c r="A4052" s="85"/>
      <c r="B4052" s="102"/>
      <c r="C4052" s="83"/>
      <c r="D4052" s="84"/>
      <c r="E4052" s="83"/>
      <c r="F4052" s="160"/>
      <c r="G4052" s="157"/>
      <c r="H4052" s="83"/>
      <c r="I4052" s="83"/>
      <c r="J4052" s="85"/>
    </row>
    <row r="4053" spans="1:10" ht="14" x14ac:dyDescent="0.15">
      <c r="A4053" s="85"/>
      <c r="B4053" s="83"/>
      <c r="C4053" s="83"/>
      <c r="D4053" s="84"/>
      <c r="E4053" s="83"/>
      <c r="F4053" s="156"/>
      <c r="G4053" s="157"/>
      <c r="H4053" s="158"/>
      <c r="I4053" s="159"/>
      <c r="J4053" s="85"/>
    </row>
    <row r="4054" spans="1:10" ht="14" x14ac:dyDescent="0.15">
      <c r="B4054" s="83"/>
      <c r="C4054" s="11"/>
      <c r="D4054" s="11"/>
      <c r="E4054" s="11"/>
      <c r="F4054" s="938"/>
      <c r="G4054" s="938"/>
      <c r="H4054" s="938"/>
      <c r="I4054" s="938"/>
    </row>
    <row r="4055" spans="1:10" ht="14" thickBot="1" x14ac:dyDescent="0.2"/>
    <row r="4056" spans="1:10" ht="21" customHeight="1" x14ac:dyDescent="0.15">
      <c r="B4056" s="885" t="s">
        <v>874</v>
      </c>
      <c r="C4056" s="886"/>
      <c r="D4056" s="886"/>
      <c r="E4056" s="886"/>
      <c r="F4056" s="887"/>
      <c r="G4056" s="1"/>
      <c r="H4056" s="879" t="s">
        <v>20</v>
      </c>
      <c r="I4056" s="880"/>
    </row>
    <row r="4057" spans="1:10" ht="16.5" customHeight="1" x14ac:dyDescent="0.15">
      <c r="B4057" s="888" t="s">
        <v>875</v>
      </c>
      <c r="C4057" s="889"/>
      <c r="D4057" s="889"/>
      <c r="E4057" s="889"/>
      <c r="F4057" s="890"/>
      <c r="G4057" s="63"/>
      <c r="H4057" s="881"/>
      <c r="I4057" s="882"/>
    </row>
    <row r="4058" spans="1:10" ht="12.75" customHeight="1" x14ac:dyDescent="0.15">
      <c r="B4058" s="906" t="s">
        <v>876</v>
      </c>
      <c r="C4058" s="907"/>
      <c r="D4058" s="907"/>
      <c r="E4058" s="907"/>
      <c r="F4058" s="908"/>
      <c r="G4058" s="63"/>
      <c r="H4058" s="883"/>
      <c r="I4058" s="884"/>
    </row>
    <row r="4059" spans="1:10" ht="16.5" customHeight="1" thickBot="1" x14ac:dyDescent="0.2">
      <c r="B4059" s="909"/>
      <c r="C4059" s="910"/>
      <c r="D4059" s="910"/>
      <c r="E4059" s="910"/>
      <c r="F4059" s="911"/>
      <c r="G4059" s="1"/>
      <c r="H4059" s="987" t="s">
        <v>1339</v>
      </c>
      <c r="I4059" s="988"/>
    </row>
    <row r="4060" spans="1:10" ht="13.5" customHeight="1" thickBot="1" x14ac:dyDescent="0.2">
      <c r="B4060" s="15"/>
      <c r="C4060" s="16"/>
      <c r="D4060" s="1"/>
      <c r="E4060" s="1"/>
      <c r="F4060" s="1"/>
      <c r="G4060" s="1"/>
      <c r="H4060" s="989"/>
      <c r="I4060" s="990"/>
    </row>
    <row r="4061" spans="1:10" ht="12.75" customHeight="1" x14ac:dyDescent="0.15">
      <c r="B4061" s="922" t="s">
        <v>836</v>
      </c>
      <c r="C4061" s="923"/>
      <c r="D4061" s="923"/>
      <c r="E4061" s="923"/>
      <c r="F4061" s="924"/>
      <c r="G4061" s="1"/>
      <c r="H4061" s="989"/>
      <c r="I4061" s="990"/>
    </row>
    <row r="4062" spans="1:10" ht="12.75" customHeight="1" x14ac:dyDescent="0.15">
      <c r="B4062" s="925"/>
      <c r="C4062" s="926"/>
      <c r="D4062" s="926"/>
      <c r="E4062" s="926"/>
      <c r="F4062" s="927"/>
      <c r="H4062" s="989"/>
      <c r="I4062" s="990"/>
    </row>
    <row r="4063" spans="1:10" ht="13.5" customHeight="1" x14ac:dyDescent="0.15">
      <c r="B4063" s="925"/>
      <c r="C4063" s="926"/>
      <c r="D4063" s="926"/>
      <c r="E4063" s="926"/>
      <c r="F4063" s="927"/>
      <c r="G4063" s="11"/>
      <c r="H4063" s="991"/>
      <c r="I4063" s="992"/>
    </row>
    <row r="4064" spans="1:10" ht="21.75" customHeight="1" thickBot="1" x14ac:dyDescent="0.2">
      <c r="B4064" s="928"/>
      <c r="C4064" s="929"/>
      <c r="D4064" s="929"/>
      <c r="E4064" s="929"/>
      <c r="F4064" s="930"/>
      <c r="H4064" s="64" t="s">
        <v>45</v>
      </c>
      <c r="I4064" s="17" t="s">
        <v>7</v>
      </c>
    </row>
    <row r="4065" spans="2:9" x14ac:dyDescent="0.15">
      <c r="B4065" s="18"/>
      <c r="C4065" s="18"/>
      <c r="D4065" s="1"/>
      <c r="E4065" s="18"/>
      <c r="F4065" s="18"/>
      <c r="G4065" s="18"/>
      <c r="H4065" s="18"/>
      <c r="I4065" s="1"/>
    </row>
    <row r="4066" spans="2:9" ht="14" thickBot="1" x14ac:dyDescent="0.2">
      <c r="B4066" s="12" t="s">
        <v>21</v>
      </c>
      <c r="C4066" s="12"/>
      <c r="D4066" s="1"/>
      <c r="E4066" s="1"/>
      <c r="F4066" s="1"/>
      <c r="G4066" s="1"/>
      <c r="H4066" s="1"/>
      <c r="I4066" s="1"/>
    </row>
    <row r="4067" spans="2:9" x14ac:dyDescent="0.15">
      <c r="B4067" s="903" t="s">
        <v>22</v>
      </c>
      <c r="C4067" s="904"/>
      <c r="D4067" s="905"/>
      <c r="E4067" s="209" t="s">
        <v>23</v>
      </c>
      <c r="F4067" s="19" t="s">
        <v>47</v>
      </c>
      <c r="G4067" s="209" t="s">
        <v>24</v>
      </c>
      <c r="H4067" s="208" t="s">
        <v>25</v>
      </c>
      <c r="I4067" s="43"/>
    </row>
    <row r="4068" spans="2:9" x14ac:dyDescent="0.15">
      <c r="B4068" s="897" t="s">
        <v>56</v>
      </c>
      <c r="C4068" s="898"/>
      <c r="D4068" s="899"/>
      <c r="E4068" s="5"/>
      <c r="F4068" s="162"/>
      <c r="G4068" s="58"/>
      <c r="H4068" s="162">
        <f>I4092*0.05</f>
        <v>697.66550000000007</v>
      </c>
      <c r="I4068" s="44"/>
    </row>
    <row r="4069" spans="2:9" ht="14" thickBot="1" x14ac:dyDescent="0.2">
      <c r="B4069" s="900"/>
      <c r="C4069" s="901"/>
      <c r="D4069" s="902"/>
      <c r="E4069" s="21"/>
      <c r="F4069" s="22"/>
      <c r="G4069" s="23"/>
      <c r="H4069" s="47"/>
      <c r="I4069" s="48"/>
    </row>
    <row r="4070" spans="2:9" ht="14" thickBot="1" x14ac:dyDescent="0.2">
      <c r="B4070" s="1"/>
      <c r="C4070" s="1"/>
      <c r="D4070" s="1"/>
      <c r="E4070" s="1"/>
      <c r="F4070" s="1"/>
      <c r="G4070" s="1"/>
      <c r="H4070" s="37" t="s">
        <v>26</v>
      </c>
      <c r="I4070" s="163">
        <f>SUM(H4068:H4069)</f>
        <v>697.66550000000007</v>
      </c>
    </row>
    <row r="4071" spans="2:9" ht="14" thickBot="1" x14ac:dyDescent="0.2">
      <c r="B4071" s="12" t="s">
        <v>27</v>
      </c>
      <c r="C4071" s="12"/>
      <c r="D4071" s="1"/>
      <c r="E4071" s="1"/>
      <c r="F4071" s="1"/>
      <c r="G4071" s="1"/>
      <c r="H4071" s="1"/>
      <c r="I4071" s="1"/>
    </row>
    <row r="4072" spans="2:9" x14ac:dyDescent="0.15">
      <c r="B4072" s="903" t="s">
        <v>22</v>
      </c>
      <c r="C4072" s="904"/>
      <c r="D4072" s="905"/>
      <c r="E4072" s="209" t="s">
        <v>28</v>
      </c>
      <c r="F4072" s="209" t="s">
        <v>29</v>
      </c>
      <c r="G4072" s="209" t="s">
        <v>30</v>
      </c>
      <c r="H4072" s="208" t="s">
        <v>25</v>
      </c>
      <c r="I4072" s="43"/>
    </row>
    <row r="4073" spans="2:9" x14ac:dyDescent="0.15">
      <c r="B4073" s="4" t="s">
        <v>297</v>
      </c>
      <c r="C4073" s="24"/>
      <c r="D4073" s="6"/>
      <c r="E4073" s="3" t="s">
        <v>193</v>
      </c>
      <c r="F4073" s="164">
        <f>MATERIALES!C90</f>
        <v>17500</v>
      </c>
      <c r="G4073" s="65">
        <v>1</v>
      </c>
      <c r="H4073" s="165">
        <f t="shared" ref="H4073:H4078" si="25">G4073*F4073</f>
        <v>17500</v>
      </c>
      <c r="I4073" s="44"/>
    </row>
    <row r="4074" spans="2:9" x14ac:dyDescent="0.15">
      <c r="B4074" s="4" t="s">
        <v>298</v>
      </c>
      <c r="C4074" s="24"/>
      <c r="D4074" s="6"/>
      <c r="E4074" s="3" t="s">
        <v>319</v>
      </c>
      <c r="F4074" s="164">
        <f>MATERIALES!C91</f>
        <v>8120</v>
      </c>
      <c r="G4074" s="65">
        <v>7.4999999999999997E-2</v>
      </c>
      <c r="H4074" s="165">
        <f t="shared" si="25"/>
        <v>609</v>
      </c>
      <c r="I4074" s="44"/>
    </row>
    <row r="4075" spans="2:9" x14ac:dyDescent="0.15">
      <c r="B4075" s="4" t="s">
        <v>299</v>
      </c>
      <c r="C4075" s="24"/>
      <c r="D4075" s="6"/>
      <c r="E4075" s="3" t="s">
        <v>319</v>
      </c>
      <c r="F4075" s="164">
        <f>MATERIALES!C92</f>
        <v>13860</v>
      </c>
      <c r="G4075" s="65">
        <v>7.4999999999999997E-2</v>
      </c>
      <c r="H4075" s="165">
        <f t="shared" si="25"/>
        <v>1039.5</v>
      </c>
      <c r="I4075" s="44"/>
    </row>
    <row r="4076" spans="2:9" x14ac:dyDescent="0.15">
      <c r="B4076" s="4" t="s">
        <v>301</v>
      </c>
      <c r="C4076" s="24"/>
      <c r="D4076" s="6"/>
      <c r="E4076" s="3" t="s">
        <v>319</v>
      </c>
      <c r="F4076" s="164">
        <f>MATERIALES!C94</f>
        <v>2660</v>
      </c>
      <c r="G4076" s="65">
        <v>7.4999999999999997E-2</v>
      </c>
      <c r="H4076" s="165">
        <f t="shared" si="25"/>
        <v>199.5</v>
      </c>
      <c r="I4076" s="44"/>
    </row>
    <row r="4077" spans="2:9" x14ac:dyDescent="0.15">
      <c r="B4077" s="4" t="s">
        <v>302</v>
      </c>
      <c r="C4077" s="24"/>
      <c r="D4077" s="6"/>
      <c r="E4077" s="3" t="s">
        <v>319</v>
      </c>
      <c r="F4077" s="164">
        <f>MATERIALES!C95</f>
        <v>19460</v>
      </c>
      <c r="G4077" s="65">
        <v>7.4999999999999997E-2</v>
      </c>
      <c r="H4077" s="165">
        <f t="shared" si="25"/>
        <v>1459.5</v>
      </c>
      <c r="I4077" s="44"/>
    </row>
    <row r="4078" spans="2:9" x14ac:dyDescent="0.15">
      <c r="B4078" s="4" t="s">
        <v>135</v>
      </c>
      <c r="C4078" s="24"/>
      <c r="D4078" s="6"/>
      <c r="E4078" s="3" t="s">
        <v>77</v>
      </c>
      <c r="F4078" s="164">
        <f>MATERIALES!C27</f>
        <v>286200</v>
      </c>
      <c r="G4078" s="65">
        <v>0.01</v>
      </c>
      <c r="H4078" s="165">
        <f t="shared" si="25"/>
        <v>2862</v>
      </c>
      <c r="I4078" s="44"/>
    </row>
    <row r="4079" spans="2:9" ht="14" thickBot="1" x14ac:dyDescent="0.2">
      <c r="B4079" s="25"/>
      <c r="C4079" s="26"/>
      <c r="D4079" s="27"/>
      <c r="E4079" s="21"/>
      <c r="F4079" s="22"/>
      <c r="G4079" s="167"/>
      <c r="H4079" s="47"/>
      <c r="I4079" s="48"/>
    </row>
    <row r="4080" spans="2:9" ht="14" thickBot="1" x14ac:dyDescent="0.2">
      <c r="B4080" s="1"/>
      <c r="C4080" s="1"/>
      <c r="D4080" s="1"/>
      <c r="E4080" s="1"/>
      <c r="F4080" s="1"/>
      <c r="G4080" s="1"/>
      <c r="H4080" s="37" t="s">
        <v>26</v>
      </c>
      <c r="I4080" s="163">
        <f>SUM(H4073:H4078)</f>
        <v>23669.5</v>
      </c>
    </row>
    <row r="4081" spans="2:9" ht="14" thickBot="1" x14ac:dyDescent="0.2">
      <c r="B4081" s="28" t="s">
        <v>31</v>
      </c>
      <c r="C4081" s="28"/>
      <c r="D4081" s="26"/>
      <c r="E4081" s="1"/>
      <c r="F4081" s="1"/>
      <c r="G4081" s="1"/>
      <c r="H4081" s="1"/>
      <c r="I4081" s="1"/>
    </row>
    <row r="4082" spans="2:9" x14ac:dyDescent="0.15">
      <c r="B4082" s="51" t="s">
        <v>32</v>
      </c>
      <c r="C4082" s="52"/>
      <c r="D4082" s="97" t="s">
        <v>33</v>
      </c>
      <c r="E4082" s="209" t="s">
        <v>34</v>
      </c>
      <c r="F4082" s="209" t="s">
        <v>35</v>
      </c>
      <c r="G4082" s="209" t="s">
        <v>36</v>
      </c>
      <c r="H4082" s="59" t="s">
        <v>25</v>
      </c>
      <c r="I4082" s="43"/>
    </row>
    <row r="4083" spans="2:9" x14ac:dyDescent="0.15">
      <c r="B4083" s="4" t="s">
        <v>79</v>
      </c>
      <c r="C4083" s="6"/>
      <c r="D4083" s="53">
        <v>0.12</v>
      </c>
      <c r="E4083" s="2">
        <v>15</v>
      </c>
      <c r="F4083" s="2">
        <f>E4083*D4083</f>
        <v>1.7999999999999998</v>
      </c>
      <c r="G4083" s="65">
        <v>1100</v>
      </c>
      <c r="H4083" s="20">
        <f>G4083*F4083</f>
        <v>1979.9999999999998</v>
      </c>
      <c r="I4083" s="44"/>
    </row>
    <row r="4084" spans="2:9" x14ac:dyDescent="0.15">
      <c r="B4084" s="107"/>
      <c r="C4084" s="66"/>
      <c r="D4084" s="67"/>
      <c r="E4084" s="68"/>
      <c r="F4084" s="68"/>
      <c r="G4084" s="69"/>
      <c r="H4084" s="65"/>
      <c r="I4084" s="44"/>
    </row>
    <row r="4085" spans="2:9" ht="14" thickBot="1" x14ac:dyDescent="0.2">
      <c r="B4085" s="33"/>
      <c r="C4085" s="54"/>
      <c r="D4085" s="21"/>
      <c r="E4085" s="22"/>
      <c r="F4085" s="23"/>
      <c r="G4085" s="47"/>
      <c r="H4085" s="21"/>
      <c r="I4085" s="48"/>
    </row>
    <row r="4086" spans="2:9" ht="14" thickBot="1" x14ac:dyDescent="0.2">
      <c r="B4086" s="1"/>
      <c r="C4086" s="1"/>
      <c r="D4086" s="1"/>
      <c r="E4086" s="1"/>
      <c r="F4086" s="1"/>
      <c r="G4086" s="1"/>
      <c r="H4086" s="37" t="s">
        <v>26</v>
      </c>
      <c r="I4086" s="163">
        <f>SUM(H4083:H4085)</f>
        <v>1979.9999999999998</v>
      </c>
    </row>
    <row r="4087" spans="2:9" ht="14" thickBot="1" x14ac:dyDescent="0.2">
      <c r="B4087" s="28" t="s">
        <v>37</v>
      </c>
      <c r="C4087" s="28"/>
      <c r="D4087" s="1"/>
      <c r="E4087" s="1"/>
      <c r="F4087" s="1"/>
      <c r="G4087" s="1"/>
      <c r="H4087" s="1"/>
      <c r="I4087" s="1"/>
    </row>
    <row r="4088" spans="2:9" x14ac:dyDescent="0.15">
      <c r="B4088" s="51" t="s">
        <v>38</v>
      </c>
      <c r="C4088" s="86"/>
      <c r="D4088" s="31" t="s">
        <v>39</v>
      </c>
      <c r="E4088" s="209" t="s">
        <v>40</v>
      </c>
      <c r="F4088" s="19" t="s">
        <v>41</v>
      </c>
      <c r="G4088" s="31" t="s">
        <v>24</v>
      </c>
      <c r="H4088" s="208" t="s">
        <v>25</v>
      </c>
      <c r="I4088" s="43"/>
    </row>
    <row r="4089" spans="2:9" x14ac:dyDescent="0.15">
      <c r="B4089" s="4" t="s">
        <v>65</v>
      </c>
      <c r="C4089" s="24"/>
      <c r="D4089" s="32">
        <f>'MANO DE OBRA'!E15</f>
        <v>95333</v>
      </c>
      <c r="E4089" s="88">
        <v>1.75</v>
      </c>
      <c r="F4089" s="164">
        <f>+E4089*D4089</f>
        <v>166832.75</v>
      </c>
      <c r="G4089" s="79">
        <v>25</v>
      </c>
      <c r="H4089" s="169">
        <f>+F4089/G4089</f>
        <v>6673.31</v>
      </c>
      <c r="I4089" s="44"/>
    </row>
    <row r="4090" spans="2:9" x14ac:dyDescent="0.15">
      <c r="B4090" s="80" t="s">
        <v>55</v>
      </c>
      <c r="C4090" s="24"/>
      <c r="D4090" s="32">
        <f>'MANO DE OBRA'!E14*2</f>
        <v>104000</v>
      </c>
      <c r="E4090" s="88">
        <v>1.75</v>
      </c>
      <c r="F4090" s="164">
        <f>+E4090*D4090</f>
        <v>182000</v>
      </c>
      <c r="G4090" s="79">
        <v>25</v>
      </c>
      <c r="H4090" s="169">
        <f>+F4090/G4090</f>
        <v>7280</v>
      </c>
      <c r="I4090" s="44"/>
    </row>
    <row r="4091" spans="2:9" ht="14" thickBot="1" x14ac:dyDescent="0.2">
      <c r="B4091" s="33"/>
      <c r="C4091" s="34"/>
      <c r="D4091" s="22"/>
      <c r="E4091" s="21"/>
      <c r="F4091" s="22"/>
      <c r="G4091" s="23"/>
      <c r="H4091" s="47"/>
      <c r="I4091" s="48"/>
    </row>
    <row r="4092" spans="2:9" ht="14" thickBot="1" x14ac:dyDescent="0.2">
      <c r="B4092" s="1"/>
      <c r="C4092" s="1"/>
      <c r="D4092" s="1"/>
      <c r="E4092" s="1"/>
      <c r="F4092" s="1"/>
      <c r="G4092" s="1"/>
      <c r="H4092" s="37" t="s">
        <v>26</v>
      </c>
      <c r="I4092" s="177">
        <f>SUM(H4089:H4091)</f>
        <v>13953.310000000001</v>
      </c>
    </row>
    <row r="4093" spans="2:9" ht="14" thickBot="1" x14ac:dyDescent="0.2">
      <c r="B4093" s="1"/>
      <c r="C4093" s="1"/>
      <c r="D4093" s="1"/>
      <c r="E4093" s="1"/>
      <c r="F4093" s="1"/>
      <c r="G4093" s="1"/>
      <c r="H4093" s="61"/>
      <c r="I4093" s="1"/>
    </row>
    <row r="4094" spans="2:9" ht="15" thickBot="1" x14ac:dyDescent="0.2">
      <c r="B4094" s="1"/>
      <c r="C4094" s="1"/>
      <c r="D4094" s="1"/>
      <c r="E4094" s="1"/>
      <c r="F4094" s="35" t="s">
        <v>43</v>
      </c>
      <c r="G4094" s="16"/>
      <c r="H4094" s="16"/>
      <c r="I4094" s="477">
        <f>ROUND((I4070+I4080+I4086+I4092),0)</f>
        <v>40300</v>
      </c>
    </row>
    <row r="4095" spans="2:9" x14ac:dyDescent="0.15">
      <c r="B4095" s="12"/>
      <c r="C4095" s="12"/>
      <c r="D4095" s="1"/>
      <c r="E4095" s="1"/>
      <c r="F4095" s="1"/>
      <c r="G4095" s="1"/>
      <c r="H4095" s="172"/>
      <c r="I4095" s="172"/>
    </row>
    <row r="4096" spans="2:9" x14ac:dyDescent="0.15">
      <c r="B4096" s="16"/>
      <c r="C4096" s="16"/>
      <c r="D4096" s="16"/>
      <c r="E4096" s="16"/>
      <c r="F4096" s="16"/>
      <c r="G4096" s="61"/>
      <c r="H4096" s="173"/>
      <c r="I4096" s="172"/>
    </row>
    <row r="4097" spans="1:10" x14ac:dyDescent="0.15">
      <c r="B4097" s="1"/>
      <c r="C4097" s="1"/>
      <c r="D4097" s="1"/>
      <c r="E4097" s="1"/>
      <c r="F4097" s="1"/>
      <c r="G4097" s="161"/>
      <c r="H4097" s="172"/>
      <c r="I4097" s="172"/>
    </row>
    <row r="4098" spans="1:10" x14ac:dyDescent="0.15">
      <c r="B4098" s="1"/>
      <c r="C4098" s="1"/>
      <c r="D4098" s="1"/>
      <c r="E4098" s="1"/>
      <c r="F4098" s="1"/>
      <c r="G4098" s="161"/>
      <c r="H4098" s="172"/>
      <c r="I4098" s="172"/>
    </row>
    <row r="4099" spans="1:10" x14ac:dyDescent="0.15">
      <c r="B4099" s="1"/>
      <c r="C4099" s="1"/>
      <c r="D4099" s="1"/>
      <c r="E4099" s="1"/>
      <c r="F4099" s="1"/>
      <c r="G4099" s="161"/>
      <c r="H4099" s="172"/>
      <c r="I4099" s="172"/>
    </row>
    <row r="4100" spans="1:10" x14ac:dyDescent="0.15">
      <c r="B4100" s="1"/>
      <c r="C4100" s="1"/>
      <c r="D4100" s="1"/>
      <c r="E4100" s="1"/>
      <c r="F4100" s="1"/>
      <c r="G4100" s="1"/>
      <c r="H4100" s="37"/>
      <c r="I4100" s="172"/>
    </row>
    <row r="4101" spans="1:10" x14ac:dyDescent="0.15">
      <c r="B4101" s="1"/>
      <c r="C4101" s="1"/>
      <c r="D4101" s="1"/>
      <c r="E4101" s="1"/>
      <c r="F4101" s="1"/>
      <c r="G4101" s="1"/>
      <c r="H4101" s="37"/>
      <c r="I4101" s="172"/>
    </row>
    <row r="4102" spans="1:10" ht="14" x14ac:dyDescent="0.15">
      <c r="B4102" s="102"/>
      <c r="C4102" s="1"/>
      <c r="D4102" s="1"/>
      <c r="E4102" s="1"/>
      <c r="F4102" s="1"/>
      <c r="G4102" s="1"/>
      <c r="H4102" s="1"/>
      <c r="I4102" s="172"/>
    </row>
    <row r="4103" spans="1:10" ht="14" x14ac:dyDescent="0.15">
      <c r="B4103" s="83"/>
      <c r="C4103" s="11"/>
      <c r="D4103" s="1"/>
      <c r="E4103" s="916"/>
      <c r="F4103" s="916"/>
      <c r="G4103" s="916"/>
      <c r="H4103" s="916"/>
      <c r="I4103" s="171"/>
    </row>
    <row r="4104" spans="1:10" x14ac:dyDescent="0.15">
      <c r="B4104" s="11"/>
      <c r="C4104" s="11"/>
      <c r="D4104" s="1"/>
      <c r="E4104" s="155"/>
      <c r="F4104" s="155"/>
      <c r="G4104" s="155"/>
      <c r="H4104" s="155"/>
      <c r="I4104" s="171"/>
    </row>
    <row r="4105" spans="1:10" ht="14" x14ac:dyDescent="0.15">
      <c r="A4105" s="85"/>
      <c r="B4105" s="102"/>
      <c r="C4105" s="83"/>
      <c r="D4105" s="84"/>
      <c r="E4105" s="83"/>
      <c r="F4105" s="160"/>
      <c r="G4105" s="157"/>
      <c r="H4105" s="83"/>
      <c r="I4105" s="83"/>
      <c r="J4105" s="85"/>
    </row>
    <row r="4106" spans="1:10" ht="14" x14ac:dyDescent="0.15">
      <c r="A4106" s="85"/>
      <c r="B4106" s="102"/>
      <c r="C4106" s="83"/>
      <c r="D4106" s="84"/>
      <c r="E4106" s="83"/>
      <c r="F4106" s="160"/>
      <c r="G4106" s="157"/>
      <c r="H4106" s="83"/>
      <c r="I4106" s="83"/>
      <c r="J4106" s="85"/>
    </row>
    <row r="4107" spans="1:10" ht="14" x14ac:dyDescent="0.15">
      <c r="A4107" s="85"/>
      <c r="B4107" s="83"/>
      <c r="C4107" s="83"/>
      <c r="D4107" s="84"/>
      <c r="E4107" s="83"/>
      <c r="F4107" s="156"/>
      <c r="G4107" s="157"/>
      <c r="H4107" s="158"/>
      <c r="I4107" s="159"/>
      <c r="J4107" s="85"/>
    </row>
    <row r="4108" spans="1:10" ht="14" x14ac:dyDescent="0.15">
      <c r="A4108" s="85"/>
      <c r="B4108" s="83"/>
      <c r="C4108" s="83"/>
      <c r="D4108" s="84"/>
      <c r="E4108" s="83"/>
      <c r="F4108" s="156"/>
      <c r="G4108" s="157"/>
      <c r="H4108" s="158"/>
      <c r="I4108" s="159"/>
      <c r="J4108" s="85"/>
    </row>
    <row r="4109" spans="1:10" ht="14" x14ac:dyDescent="0.15">
      <c r="B4109" s="83"/>
      <c r="C4109" s="11"/>
      <c r="D4109" s="11"/>
      <c r="E4109" s="11"/>
      <c r="F4109" s="938"/>
      <c r="G4109" s="938"/>
      <c r="H4109" s="938"/>
      <c r="I4109" s="938"/>
    </row>
    <row r="4110" spans="1:10" ht="14" thickBot="1" x14ac:dyDescent="0.2"/>
    <row r="4111" spans="1:10" ht="21" customHeight="1" x14ac:dyDescent="0.15">
      <c r="B4111" s="885" t="s">
        <v>874</v>
      </c>
      <c r="C4111" s="886"/>
      <c r="D4111" s="886"/>
      <c r="E4111" s="886"/>
      <c r="F4111" s="887"/>
      <c r="G4111" s="1"/>
      <c r="H4111" s="879" t="s">
        <v>20</v>
      </c>
      <c r="I4111" s="880"/>
    </row>
    <row r="4112" spans="1:10" ht="16.5" customHeight="1" x14ac:dyDescent="0.15">
      <c r="B4112" s="888" t="s">
        <v>875</v>
      </c>
      <c r="C4112" s="889"/>
      <c r="D4112" s="889"/>
      <c r="E4112" s="889"/>
      <c r="F4112" s="890"/>
      <c r="G4112" s="63"/>
      <c r="H4112" s="881"/>
      <c r="I4112" s="882"/>
    </row>
    <row r="4113" spans="2:9" ht="12.75" customHeight="1" x14ac:dyDescent="0.15">
      <c r="B4113" s="906" t="s">
        <v>876</v>
      </c>
      <c r="C4113" s="907"/>
      <c r="D4113" s="907"/>
      <c r="E4113" s="907"/>
      <c r="F4113" s="908"/>
      <c r="G4113" s="63"/>
      <c r="H4113" s="883"/>
      <c r="I4113" s="884"/>
    </row>
    <row r="4114" spans="2:9" ht="16.5" customHeight="1" thickBot="1" x14ac:dyDescent="0.2">
      <c r="B4114" s="909"/>
      <c r="C4114" s="910"/>
      <c r="D4114" s="910"/>
      <c r="E4114" s="910"/>
      <c r="F4114" s="911"/>
      <c r="G4114" s="1"/>
      <c r="H4114" s="891" t="s">
        <v>1340</v>
      </c>
      <c r="I4114" s="978"/>
    </row>
    <row r="4115" spans="2:9" ht="14" thickBot="1" x14ac:dyDescent="0.2">
      <c r="B4115" s="15"/>
      <c r="C4115" s="16"/>
      <c r="D4115" s="1"/>
      <c r="E4115" s="1"/>
      <c r="F4115" s="1"/>
      <c r="G4115" s="1"/>
      <c r="H4115" s="964"/>
      <c r="I4115" s="965"/>
    </row>
    <row r="4116" spans="2:9" ht="12.75" customHeight="1" x14ac:dyDescent="0.15">
      <c r="B4116" s="922" t="s">
        <v>836</v>
      </c>
      <c r="C4116" s="923"/>
      <c r="D4116" s="923"/>
      <c r="E4116" s="923"/>
      <c r="F4116" s="924"/>
      <c r="G4116" s="1"/>
      <c r="H4116" s="964"/>
      <c r="I4116" s="965"/>
    </row>
    <row r="4117" spans="2:9" ht="12.75" customHeight="1" x14ac:dyDescent="0.15">
      <c r="B4117" s="925"/>
      <c r="C4117" s="926"/>
      <c r="D4117" s="926"/>
      <c r="E4117" s="926"/>
      <c r="F4117" s="927"/>
      <c r="H4117" s="964"/>
      <c r="I4117" s="965"/>
    </row>
    <row r="4118" spans="2:9" ht="13.5" customHeight="1" x14ac:dyDescent="0.15">
      <c r="B4118" s="925"/>
      <c r="C4118" s="926"/>
      <c r="D4118" s="926"/>
      <c r="E4118" s="926"/>
      <c r="F4118" s="927"/>
      <c r="G4118" s="11"/>
      <c r="H4118" s="979"/>
      <c r="I4118" s="980"/>
    </row>
    <row r="4119" spans="2:9" ht="21.75" customHeight="1" thickBot="1" x14ac:dyDescent="0.2">
      <c r="B4119" s="928"/>
      <c r="C4119" s="929"/>
      <c r="D4119" s="929"/>
      <c r="E4119" s="929"/>
      <c r="F4119" s="930"/>
      <c r="H4119" s="64" t="s">
        <v>45</v>
      </c>
      <c r="I4119" s="17" t="s">
        <v>7</v>
      </c>
    </row>
    <row r="4120" spans="2:9" x14ac:dyDescent="0.15">
      <c r="B4120" s="18"/>
      <c r="C4120" s="18"/>
      <c r="D4120" s="1"/>
      <c r="E4120" s="18"/>
      <c r="F4120" s="18"/>
      <c r="G4120" s="18"/>
      <c r="H4120" s="18"/>
      <c r="I4120" s="1"/>
    </row>
    <row r="4121" spans="2:9" ht="14" thickBot="1" x14ac:dyDescent="0.2">
      <c r="B4121" s="12" t="s">
        <v>21</v>
      </c>
      <c r="C4121" s="12"/>
      <c r="D4121" s="1"/>
      <c r="E4121" s="1"/>
      <c r="F4121" s="1"/>
      <c r="G4121" s="1"/>
      <c r="H4121" s="1"/>
      <c r="I4121" s="1"/>
    </row>
    <row r="4122" spans="2:9" x14ac:dyDescent="0.15">
      <c r="B4122" s="903" t="s">
        <v>22</v>
      </c>
      <c r="C4122" s="904"/>
      <c r="D4122" s="905"/>
      <c r="E4122" s="209" t="s">
        <v>23</v>
      </c>
      <c r="F4122" s="19" t="s">
        <v>47</v>
      </c>
      <c r="G4122" s="209" t="s">
        <v>24</v>
      </c>
      <c r="H4122" s="208" t="s">
        <v>25</v>
      </c>
      <c r="I4122" s="43"/>
    </row>
    <row r="4123" spans="2:9" x14ac:dyDescent="0.15">
      <c r="B4123" s="897" t="s">
        <v>56</v>
      </c>
      <c r="C4123" s="898"/>
      <c r="D4123" s="899"/>
      <c r="E4123" s="5"/>
      <c r="F4123" s="162"/>
      <c r="G4123" s="58"/>
      <c r="H4123" s="162">
        <f>I4147*0.05</f>
        <v>697.66550000000007</v>
      </c>
      <c r="I4123" s="44"/>
    </row>
    <row r="4124" spans="2:9" ht="14" thickBot="1" x14ac:dyDescent="0.2">
      <c r="B4124" s="900"/>
      <c r="C4124" s="901"/>
      <c r="D4124" s="902"/>
      <c r="E4124" s="21"/>
      <c r="F4124" s="22"/>
      <c r="G4124" s="23"/>
      <c r="H4124" s="47"/>
      <c r="I4124" s="48"/>
    </row>
    <row r="4125" spans="2:9" ht="14" thickBot="1" x14ac:dyDescent="0.2">
      <c r="B4125" s="1"/>
      <c r="C4125" s="1"/>
      <c r="D4125" s="1"/>
      <c r="E4125" s="1"/>
      <c r="F4125" s="1"/>
      <c r="G4125" s="1"/>
      <c r="H4125" s="37" t="s">
        <v>26</v>
      </c>
      <c r="I4125" s="163">
        <f>SUM(H4123:H4124)</f>
        <v>697.66550000000007</v>
      </c>
    </row>
    <row r="4126" spans="2:9" ht="14" thickBot="1" x14ac:dyDescent="0.2">
      <c r="B4126" s="12" t="s">
        <v>27</v>
      </c>
      <c r="C4126" s="12"/>
      <c r="D4126" s="1"/>
      <c r="E4126" s="1"/>
      <c r="F4126" s="1"/>
      <c r="G4126" s="1"/>
      <c r="H4126" s="1"/>
      <c r="I4126" s="1"/>
    </row>
    <row r="4127" spans="2:9" x14ac:dyDescent="0.15">
      <c r="B4127" s="903" t="s">
        <v>22</v>
      </c>
      <c r="C4127" s="904"/>
      <c r="D4127" s="905"/>
      <c r="E4127" s="209" t="s">
        <v>28</v>
      </c>
      <c r="F4127" s="209" t="s">
        <v>29</v>
      </c>
      <c r="G4127" s="209" t="s">
        <v>30</v>
      </c>
      <c r="H4127" s="208" t="s">
        <v>25</v>
      </c>
      <c r="I4127" s="43"/>
    </row>
    <row r="4128" spans="2:9" x14ac:dyDescent="0.15">
      <c r="B4128" s="4" t="s">
        <v>292</v>
      </c>
      <c r="C4128" s="24"/>
      <c r="D4128" s="6"/>
      <c r="E4128" s="3" t="s">
        <v>193</v>
      </c>
      <c r="F4128" s="164">
        <f>MATERIALES!C85</f>
        <v>11650</v>
      </c>
      <c r="G4128" s="65">
        <v>1</v>
      </c>
      <c r="H4128" s="165">
        <f t="shared" ref="H4128:H4133" si="26">G4128*F4128</f>
        <v>11650</v>
      </c>
      <c r="I4128" s="44"/>
    </row>
    <row r="4129" spans="2:9" x14ac:dyDescent="0.15">
      <c r="B4129" s="4" t="s">
        <v>293</v>
      </c>
      <c r="C4129" s="24"/>
      <c r="D4129" s="6"/>
      <c r="E4129" s="3" t="s">
        <v>319</v>
      </c>
      <c r="F4129" s="164">
        <f>MATERIALES!C86</f>
        <v>4050</v>
      </c>
      <c r="G4129" s="65">
        <v>7.4999999999999997E-2</v>
      </c>
      <c r="H4129" s="165">
        <f t="shared" si="26"/>
        <v>303.75</v>
      </c>
      <c r="I4129" s="44"/>
    </row>
    <row r="4130" spans="2:9" x14ac:dyDescent="0.15">
      <c r="B4130" s="4" t="s">
        <v>294</v>
      </c>
      <c r="C4130" s="24"/>
      <c r="D4130" s="6"/>
      <c r="E4130" s="3" t="s">
        <v>319</v>
      </c>
      <c r="F4130" s="164">
        <f>MATERIALES!C87</f>
        <v>3990</v>
      </c>
      <c r="G4130" s="65">
        <v>7.4999999999999997E-2</v>
      </c>
      <c r="H4130" s="165">
        <f t="shared" si="26"/>
        <v>299.25</v>
      </c>
      <c r="I4130" s="44"/>
    </row>
    <row r="4131" spans="2:9" x14ac:dyDescent="0.15">
      <c r="B4131" s="4" t="s">
        <v>1323</v>
      </c>
      <c r="C4131" s="24"/>
      <c r="D4131" s="6"/>
      <c r="E4131" s="3" t="s">
        <v>319</v>
      </c>
      <c r="F4131" s="164">
        <f>MATERIALES!C88</f>
        <v>2086</v>
      </c>
      <c r="G4131" s="65">
        <v>7.4999999999999997E-2</v>
      </c>
      <c r="H4131" s="165">
        <f t="shared" si="26"/>
        <v>156.44999999999999</v>
      </c>
      <c r="I4131" s="44"/>
    </row>
    <row r="4132" spans="2:9" x14ac:dyDescent="0.15">
      <c r="B4132" s="4" t="s">
        <v>1324</v>
      </c>
      <c r="C4132" s="24"/>
      <c r="D4132" s="6"/>
      <c r="E4132" s="3" t="s">
        <v>319</v>
      </c>
      <c r="F4132" s="164">
        <f>MATERIALES!C89</f>
        <v>12460</v>
      </c>
      <c r="G4132" s="65">
        <v>7.4999999999999997E-2</v>
      </c>
      <c r="H4132" s="165">
        <f t="shared" si="26"/>
        <v>934.5</v>
      </c>
      <c r="I4132" s="44"/>
    </row>
    <row r="4133" spans="2:9" x14ac:dyDescent="0.15">
      <c r="B4133" s="4" t="s">
        <v>135</v>
      </c>
      <c r="C4133" s="24"/>
      <c r="D4133" s="6"/>
      <c r="E4133" s="3" t="s">
        <v>77</v>
      </c>
      <c r="F4133" s="164">
        <f>MATERIALES!C27</f>
        <v>286200</v>
      </c>
      <c r="G4133" s="65">
        <v>0.01</v>
      </c>
      <c r="H4133" s="165">
        <f t="shared" si="26"/>
        <v>2862</v>
      </c>
      <c r="I4133" s="44"/>
    </row>
    <row r="4134" spans="2:9" ht="14" thickBot="1" x14ac:dyDescent="0.2">
      <c r="B4134" s="25"/>
      <c r="C4134" s="26"/>
      <c r="D4134" s="27"/>
      <c r="E4134" s="21"/>
      <c r="F4134" s="22"/>
      <c r="G4134" s="167"/>
      <c r="H4134" s="47"/>
      <c r="I4134" s="48"/>
    </row>
    <row r="4135" spans="2:9" ht="14" thickBot="1" x14ac:dyDescent="0.2">
      <c r="B4135" s="1"/>
      <c r="C4135" s="1"/>
      <c r="D4135" s="1"/>
      <c r="E4135" s="1"/>
      <c r="F4135" s="1"/>
      <c r="G4135" s="1"/>
      <c r="H4135" s="37" t="s">
        <v>26</v>
      </c>
      <c r="I4135" s="163">
        <f>SUM(H4128:H4134)</f>
        <v>16205.95</v>
      </c>
    </row>
    <row r="4136" spans="2:9" ht="14" thickBot="1" x14ac:dyDescent="0.2">
      <c r="B4136" s="28" t="s">
        <v>31</v>
      </c>
      <c r="C4136" s="28"/>
      <c r="D4136" s="26"/>
      <c r="E4136" s="1"/>
      <c r="F4136" s="1"/>
      <c r="G4136" s="1"/>
      <c r="H4136" s="1"/>
      <c r="I4136" s="1"/>
    </row>
    <row r="4137" spans="2:9" x14ac:dyDescent="0.15">
      <c r="B4137" s="51" t="s">
        <v>32</v>
      </c>
      <c r="C4137" s="52"/>
      <c r="D4137" s="97" t="s">
        <v>33</v>
      </c>
      <c r="E4137" s="209" t="s">
        <v>34</v>
      </c>
      <c r="F4137" s="209" t="s">
        <v>35</v>
      </c>
      <c r="G4137" s="209" t="s">
        <v>36</v>
      </c>
      <c r="H4137" s="59" t="s">
        <v>25</v>
      </c>
      <c r="I4137" s="43"/>
    </row>
    <row r="4138" spans="2:9" x14ac:dyDescent="0.15">
      <c r="B4138" s="4" t="s">
        <v>79</v>
      </c>
      <c r="C4138" s="6"/>
      <c r="D4138" s="53">
        <v>0.1</v>
      </c>
      <c r="E4138" s="2">
        <v>15</v>
      </c>
      <c r="F4138" s="2">
        <f>E4138*D4138</f>
        <v>1.5</v>
      </c>
      <c r="G4138" s="65">
        <v>1100</v>
      </c>
      <c r="H4138" s="20">
        <f>G4138*F4138</f>
        <v>1650</v>
      </c>
      <c r="I4138" s="44"/>
    </row>
    <row r="4139" spans="2:9" x14ac:dyDescent="0.15">
      <c r="B4139" s="107"/>
      <c r="C4139" s="66"/>
      <c r="D4139" s="67"/>
      <c r="E4139" s="68"/>
      <c r="F4139" s="68"/>
      <c r="G4139" s="69"/>
      <c r="H4139" s="65"/>
      <c r="I4139" s="44"/>
    </row>
    <row r="4140" spans="2:9" ht="14" thickBot="1" x14ac:dyDescent="0.2">
      <c r="B4140" s="33"/>
      <c r="C4140" s="54"/>
      <c r="D4140" s="21"/>
      <c r="E4140" s="22"/>
      <c r="F4140" s="23"/>
      <c r="G4140" s="47"/>
      <c r="H4140" s="21"/>
      <c r="I4140" s="48"/>
    </row>
    <row r="4141" spans="2:9" ht="14" thickBot="1" x14ac:dyDescent="0.2">
      <c r="B4141" s="1"/>
      <c r="C4141" s="1"/>
      <c r="D4141" s="1"/>
      <c r="E4141" s="1"/>
      <c r="F4141" s="1"/>
      <c r="G4141" s="1"/>
      <c r="H4141" s="37" t="s">
        <v>26</v>
      </c>
      <c r="I4141" s="163">
        <f>SUM(H4138:H4140)</f>
        <v>1650</v>
      </c>
    </row>
    <row r="4142" spans="2:9" ht="14" thickBot="1" x14ac:dyDescent="0.2">
      <c r="B4142" s="28" t="s">
        <v>37</v>
      </c>
      <c r="C4142" s="28"/>
      <c r="D4142" s="1"/>
      <c r="E4142" s="1"/>
      <c r="F4142" s="1"/>
      <c r="G4142" s="1"/>
      <c r="H4142" s="1"/>
      <c r="I4142" s="1"/>
    </row>
    <row r="4143" spans="2:9" x14ac:dyDescent="0.15">
      <c r="B4143" s="51" t="s">
        <v>38</v>
      </c>
      <c r="C4143" s="86"/>
      <c r="D4143" s="31" t="s">
        <v>39</v>
      </c>
      <c r="E4143" s="209" t="s">
        <v>40</v>
      </c>
      <c r="F4143" s="19" t="s">
        <v>41</v>
      </c>
      <c r="G4143" s="31" t="s">
        <v>24</v>
      </c>
      <c r="H4143" s="208" t="s">
        <v>25</v>
      </c>
      <c r="I4143" s="43"/>
    </row>
    <row r="4144" spans="2:9" x14ac:dyDescent="0.15">
      <c r="B4144" s="4" t="s">
        <v>65</v>
      </c>
      <c r="C4144" s="24"/>
      <c r="D4144" s="32">
        <f>'MANO DE OBRA'!E15</f>
        <v>95333</v>
      </c>
      <c r="E4144" s="88">
        <v>1.75</v>
      </c>
      <c r="F4144" s="164">
        <f>+E4144*D4144</f>
        <v>166832.75</v>
      </c>
      <c r="G4144" s="79">
        <v>25</v>
      </c>
      <c r="H4144" s="169">
        <f>+F4144/G4144</f>
        <v>6673.31</v>
      </c>
      <c r="I4144" s="44"/>
    </row>
    <row r="4145" spans="2:9" x14ac:dyDescent="0.15">
      <c r="B4145" s="80" t="s">
        <v>55</v>
      </c>
      <c r="C4145" s="24"/>
      <c r="D4145" s="32">
        <f>'MANO DE OBRA'!E14*2</f>
        <v>104000</v>
      </c>
      <c r="E4145" s="88">
        <v>1.75</v>
      </c>
      <c r="F4145" s="164">
        <f>+E4145*D4145</f>
        <v>182000</v>
      </c>
      <c r="G4145" s="79">
        <v>25</v>
      </c>
      <c r="H4145" s="169">
        <f>+F4145/G4145</f>
        <v>7280</v>
      </c>
      <c r="I4145" s="44"/>
    </row>
    <row r="4146" spans="2:9" ht="14" thickBot="1" x14ac:dyDescent="0.2">
      <c r="B4146" s="33"/>
      <c r="C4146" s="34"/>
      <c r="D4146" s="22"/>
      <c r="E4146" s="21"/>
      <c r="F4146" s="22"/>
      <c r="G4146" s="23"/>
      <c r="H4146" s="47"/>
      <c r="I4146" s="48"/>
    </row>
    <row r="4147" spans="2:9" ht="14" thickBot="1" x14ac:dyDescent="0.2">
      <c r="B4147" s="1"/>
      <c r="C4147" s="1"/>
      <c r="D4147" s="1"/>
      <c r="E4147" s="1"/>
      <c r="F4147" s="1"/>
      <c r="G4147" s="1"/>
      <c r="H4147" s="37" t="s">
        <v>26</v>
      </c>
      <c r="I4147" s="177">
        <f>SUM(H4144:H4146)</f>
        <v>13953.310000000001</v>
      </c>
    </row>
    <row r="4148" spans="2:9" ht="14" thickBot="1" x14ac:dyDescent="0.2">
      <c r="B4148" s="1"/>
      <c r="C4148" s="1"/>
      <c r="D4148" s="1"/>
      <c r="E4148" s="1"/>
      <c r="F4148" s="1"/>
      <c r="G4148" s="1"/>
      <c r="H4148" s="61"/>
      <c r="I4148" s="1"/>
    </row>
    <row r="4149" spans="2:9" ht="15" thickBot="1" x14ac:dyDescent="0.2">
      <c r="B4149" s="1"/>
      <c r="C4149" s="1"/>
      <c r="D4149" s="1"/>
      <c r="E4149" s="1"/>
      <c r="F4149" s="35" t="s">
        <v>43</v>
      </c>
      <c r="G4149" s="16"/>
      <c r="H4149" s="16"/>
      <c r="I4149" s="477">
        <f>ROUND((I4125+I4135+I4141+I4147),0)</f>
        <v>32507</v>
      </c>
    </row>
    <row r="4150" spans="2:9" x14ac:dyDescent="0.15">
      <c r="B4150" s="12"/>
      <c r="C4150" s="12"/>
      <c r="D4150" s="1"/>
      <c r="E4150" s="1"/>
      <c r="F4150" s="1"/>
      <c r="G4150" s="1"/>
      <c r="H4150" s="172"/>
      <c r="I4150" s="172"/>
    </row>
    <row r="4151" spans="2:9" x14ac:dyDescent="0.15">
      <c r="B4151" s="16"/>
      <c r="C4151" s="16"/>
      <c r="D4151" s="16"/>
      <c r="E4151" s="16"/>
      <c r="F4151" s="16"/>
      <c r="G4151" s="61"/>
      <c r="H4151" s="173"/>
      <c r="I4151" s="172"/>
    </row>
    <row r="4152" spans="2:9" x14ac:dyDescent="0.15">
      <c r="B4152" s="1"/>
      <c r="C4152" s="1"/>
      <c r="D4152" s="1"/>
      <c r="E4152" s="1"/>
      <c r="F4152" s="1"/>
      <c r="G4152" s="161"/>
      <c r="H4152" s="172"/>
      <c r="I4152" s="172"/>
    </row>
    <row r="4153" spans="2:9" x14ac:dyDescent="0.15">
      <c r="B4153" s="1"/>
      <c r="C4153" s="1"/>
      <c r="D4153" s="1"/>
      <c r="E4153" s="1"/>
      <c r="F4153" s="1"/>
      <c r="G4153" s="161"/>
      <c r="H4153" s="172"/>
      <c r="I4153" s="172"/>
    </row>
    <row r="4154" spans="2:9" x14ac:dyDescent="0.15">
      <c r="B4154" s="1"/>
      <c r="C4154" s="1"/>
      <c r="D4154" s="1"/>
      <c r="E4154" s="1"/>
      <c r="F4154" s="1"/>
      <c r="G4154" s="161"/>
      <c r="H4154" s="172"/>
      <c r="I4154" s="172"/>
    </row>
    <row r="4155" spans="2:9" x14ac:dyDescent="0.15">
      <c r="B4155" s="1"/>
      <c r="C4155" s="1"/>
      <c r="D4155" s="1"/>
      <c r="E4155" s="1"/>
      <c r="F4155" s="1"/>
      <c r="G4155" s="161"/>
      <c r="H4155" s="172"/>
      <c r="I4155" s="172"/>
    </row>
    <row r="4156" spans="2:9" x14ac:dyDescent="0.15">
      <c r="B4156" s="1"/>
      <c r="C4156" s="1"/>
      <c r="D4156" s="1"/>
      <c r="E4156" s="1"/>
      <c r="F4156" s="1"/>
      <c r="G4156" s="1"/>
      <c r="H4156" s="37"/>
      <c r="I4156" s="172"/>
    </row>
    <row r="4157" spans="2:9" ht="14" x14ac:dyDescent="0.15">
      <c r="B4157" s="102"/>
      <c r="C4157" s="1"/>
      <c r="D4157" s="1"/>
      <c r="E4157" s="1"/>
      <c r="F4157" s="1"/>
      <c r="G4157" s="1"/>
      <c r="H4157" s="1"/>
      <c r="I4157" s="172"/>
    </row>
    <row r="4158" spans="2:9" ht="14" x14ac:dyDescent="0.15">
      <c r="B4158" s="83"/>
      <c r="C4158" s="11"/>
      <c r="D4158" s="1"/>
      <c r="E4158" s="916"/>
      <c r="F4158" s="916"/>
      <c r="G4158" s="916"/>
      <c r="H4158" s="916"/>
      <c r="I4158" s="171"/>
    </row>
    <row r="4159" spans="2:9" x14ac:dyDescent="0.15">
      <c r="B4159" s="11"/>
      <c r="C4159" s="11"/>
      <c r="D4159" s="1"/>
      <c r="E4159" s="155"/>
      <c r="F4159" s="155"/>
      <c r="G4159" s="155"/>
      <c r="H4159" s="155"/>
      <c r="I4159" s="171"/>
    </row>
    <row r="4160" spans="2:9" x14ac:dyDescent="0.15">
      <c r="B4160" s="11"/>
      <c r="C4160" s="11"/>
      <c r="D4160" s="1"/>
      <c r="E4160" s="155"/>
      <c r="F4160" s="155"/>
      <c r="G4160" s="155"/>
      <c r="H4160" s="155"/>
      <c r="I4160" s="171"/>
    </row>
    <row r="4161" spans="1:10" x14ac:dyDescent="0.15">
      <c r="B4161" s="11"/>
      <c r="C4161" s="11"/>
      <c r="D4161" s="1"/>
      <c r="E4161" s="155"/>
      <c r="F4161" s="155"/>
      <c r="G4161" s="155"/>
      <c r="H4161" s="155"/>
      <c r="I4161" s="171"/>
    </row>
    <row r="4162" spans="1:10" x14ac:dyDescent="0.15">
      <c r="B4162" s="11"/>
      <c r="C4162" s="11"/>
      <c r="D4162" s="1"/>
      <c r="E4162" s="155"/>
      <c r="F4162" s="155"/>
      <c r="G4162" s="155"/>
      <c r="H4162" s="155"/>
      <c r="I4162" s="171"/>
    </row>
    <row r="4163" spans="1:10" ht="14" x14ac:dyDescent="0.15">
      <c r="A4163" s="85"/>
      <c r="B4163" s="102"/>
      <c r="C4163" s="83"/>
      <c r="D4163" s="84"/>
      <c r="E4163" s="83"/>
      <c r="F4163" s="160"/>
      <c r="G4163" s="157"/>
      <c r="H4163" s="83"/>
      <c r="I4163" s="83"/>
      <c r="J4163" s="85"/>
    </row>
    <row r="4164" spans="1:10" ht="14" x14ac:dyDescent="0.15">
      <c r="A4164" s="85"/>
      <c r="B4164" s="83"/>
      <c r="C4164" s="83"/>
      <c r="D4164" s="84"/>
      <c r="E4164" s="83"/>
      <c r="F4164" s="156"/>
      <c r="G4164" s="157"/>
      <c r="H4164" s="158"/>
      <c r="I4164" s="159"/>
      <c r="J4164" s="85"/>
    </row>
    <row r="4165" spans="1:10" ht="14" x14ac:dyDescent="0.15">
      <c r="B4165" s="83"/>
      <c r="C4165" s="11"/>
      <c r="D4165" s="11"/>
      <c r="E4165" s="11"/>
      <c r="F4165" s="938"/>
      <c r="G4165" s="938"/>
      <c r="H4165" s="938"/>
      <c r="I4165" s="938"/>
    </row>
    <row r="4166" spans="1:10" ht="14" thickBot="1" x14ac:dyDescent="0.2"/>
    <row r="4167" spans="1:10" ht="21" customHeight="1" x14ac:dyDescent="0.15">
      <c r="B4167" s="885" t="s">
        <v>874</v>
      </c>
      <c r="C4167" s="886"/>
      <c r="D4167" s="886"/>
      <c r="E4167" s="886"/>
      <c r="F4167" s="887"/>
      <c r="G4167" s="1"/>
      <c r="H4167" s="879" t="s">
        <v>20</v>
      </c>
      <c r="I4167" s="880"/>
    </row>
    <row r="4168" spans="1:10" ht="16.5" customHeight="1" x14ac:dyDescent="0.15">
      <c r="B4168" s="888" t="s">
        <v>875</v>
      </c>
      <c r="C4168" s="889"/>
      <c r="D4168" s="889"/>
      <c r="E4168" s="889"/>
      <c r="F4168" s="890"/>
      <c r="G4168" s="63"/>
      <c r="H4168" s="881"/>
      <c r="I4168" s="882"/>
    </row>
    <row r="4169" spans="1:10" ht="12.75" customHeight="1" x14ac:dyDescent="0.15">
      <c r="B4169" s="906" t="s">
        <v>876</v>
      </c>
      <c r="C4169" s="907"/>
      <c r="D4169" s="907"/>
      <c r="E4169" s="907"/>
      <c r="F4169" s="908"/>
      <c r="G4169" s="63"/>
      <c r="H4169" s="883"/>
      <c r="I4169" s="884"/>
    </row>
    <row r="4170" spans="1:10" ht="16.5" customHeight="1" thickBot="1" x14ac:dyDescent="0.2">
      <c r="B4170" s="909"/>
      <c r="C4170" s="910"/>
      <c r="D4170" s="910"/>
      <c r="E4170" s="910"/>
      <c r="F4170" s="911"/>
      <c r="G4170" s="1"/>
      <c r="H4170" s="891" t="s">
        <v>1341</v>
      </c>
      <c r="I4170" s="978"/>
    </row>
    <row r="4171" spans="1:10" ht="14" thickBot="1" x14ac:dyDescent="0.2">
      <c r="B4171" s="15"/>
      <c r="C4171" s="16"/>
      <c r="D4171" s="1"/>
      <c r="E4171" s="1"/>
      <c r="F4171" s="1"/>
      <c r="G4171" s="1"/>
      <c r="H4171" s="964"/>
      <c r="I4171" s="965"/>
    </row>
    <row r="4172" spans="1:10" ht="12.75" customHeight="1" x14ac:dyDescent="0.15">
      <c r="B4172" s="922" t="s">
        <v>836</v>
      </c>
      <c r="C4172" s="923"/>
      <c r="D4172" s="923"/>
      <c r="E4172" s="923"/>
      <c r="F4172" s="924"/>
      <c r="G4172" s="1"/>
      <c r="H4172" s="964"/>
      <c r="I4172" s="965"/>
    </row>
    <row r="4173" spans="1:10" ht="12.75" customHeight="1" x14ac:dyDescent="0.15">
      <c r="B4173" s="925"/>
      <c r="C4173" s="926"/>
      <c r="D4173" s="926"/>
      <c r="E4173" s="926"/>
      <c r="F4173" s="927"/>
      <c r="H4173" s="964"/>
      <c r="I4173" s="965"/>
    </row>
    <row r="4174" spans="1:10" ht="13.5" customHeight="1" x14ac:dyDescent="0.15">
      <c r="B4174" s="925"/>
      <c r="C4174" s="926"/>
      <c r="D4174" s="926"/>
      <c r="E4174" s="926"/>
      <c r="F4174" s="927"/>
      <c r="G4174" s="11"/>
      <c r="H4174" s="979"/>
      <c r="I4174" s="980"/>
    </row>
    <row r="4175" spans="1:10" ht="21.75" customHeight="1" thickBot="1" x14ac:dyDescent="0.2">
      <c r="B4175" s="928"/>
      <c r="C4175" s="929"/>
      <c r="D4175" s="929"/>
      <c r="E4175" s="929"/>
      <c r="F4175" s="930"/>
      <c r="H4175" s="64" t="s">
        <v>45</v>
      </c>
      <c r="I4175" s="17" t="s">
        <v>7</v>
      </c>
    </row>
    <row r="4176" spans="1:10" x14ac:dyDescent="0.15">
      <c r="B4176" s="18"/>
      <c r="C4176" s="18"/>
      <c r="D4176" s="1"/>
      <c r="E4176" s="18"/>
      <c r="F4176" s="18"/>
      <c r="G4176" s="18"/>
      <c r="H4176" s="18"/>
      <c r="I4176" s="1"/>
    </row>
    <row r="4177" spans="2:9" ht="14" thickBot="1" x14ac:dyDescent="0.2">
      <c r="B4177" s="12" t="s">
        <v>21</v>
      </c>
      <c r="C4177" s="12"/>
      <c r="D4177" s="1"/>
      <c r="E4177" s="1"/>
      <c r="F4177" s="1"/>
      <c r="G4177" s="1"/>
      <c r="H4177" s="1"/>
      <c r="I4177" s="1"/>
    </row>
    <row r="4178" spans="2:9" x14ac:dyDescent="0.15">
      <c r="B4178" s="903" t="s">
        <v>22</v>
      </c>
      <c r="C4178" s="904"/>
      <c r="D4178" s="905"/>
      <c r="E4178" s="209" t="s">
        <v>23</v>
      </c>
      <c r="F4178" s="19" t="s">
        <v>47</v>
      </c>
      <c r="G4178" s="209" t="s">
        <v>24</v>
      </c>
      <c r="H4178" s="208" t="s">
        <v>25</v>
      </c>
      <c r="I4178" s="43"/>
    </row>
    <row r="4179" spans="2:9" x14ac:dyDescent="0.15">
      <c r="B4179" s="897" t="s">
        <v>56</v>
      </c>
      <c r="C4179" s="898"/>
      <c r="D4179" s="899"/>
      <c r="E4179" s="5"/>
      <c r="F4179" s="162"/>
      <c r="G4179" s="58"/>
      <c r="H4179" s="162">
        <f>I4203*0.05</f>
        <v>697.66550000000007</v>
      </c>
      <c r="I4179" s="44"/>
    </row>
    <row r="4180" spans="2:9" ht="14" thickBot="1" x14ac:dyDescent="0.2">
      <c r="B4180" s="900"/>
      <c r="C4180" s="901"/>
      <c r="D4180" s="902"/>
      <c r="E4180" s="21"/>
      <c r="F4180" s="22"/>
      <c r="G4180" s="23"/>
      <c r="H4180" s="47"/>
      <c r="I4180" s="48"/>
    </row>
    <row r="4181" spans="2:9" ht="14" thickBot="1" x14ac:dyDescent="0.2">
      <c r="B4181" s="1"/>
      <c r="C4181" s="1"/>
      <c r="D4181" s="1"/>
      <c r="E4181" s="1"/>
      <c r="F4181" s="1"/>
      <c r="G4181" s="1"/>
      <c r="H4181" s="37" t="s">
        <v>26</v>
      </c>
      <c r="I4181" s="163">
        <f>SUM(H4179:H4180)</f>
        <v>697.66550000000007</v>
      </c>
    </row>
    <row r="4182" spans="2:9" ht="14" thickBot="1" x14ac:dyDescent="0.2">
      <c r="B4182" s="12" t="s">
        <v>27</v>
      </c>
      <c r="C4182" s="12"/>
      <c r="D4182" s="1"/>
      <c r="E4182" s="1"/>
      <c r="F4182" s="1"/>
      <c r="G4182" s="1"/>
      <c r="H4182" s="1"/>
      <c r="I4182" s="1"/>
    </row>
    <row r="4183" spans="2:9" x14ac:dyDescent="0.15">
      <c r="B4183" s="903" t="s">
        <v>22</v>
      </c>
      <c r="C4183" s="904"/>
      <c r="D4183" s="905"/>
      <c r="E4183" s="209" t="s">
        <v>28</v>
      </c>
      <c r="F4183" s="209" t="s">
        <v>29</v>
      </c>
      <c r="G4183" s="209" t="s">
        <v>30</v>
      </c>
      <c r="H4183" s="208" t="s">
        <v>25</v>
      </c>
      <c r="I4183" s="43"/>
    </row>
    <row r="4184" spans="2:9" x14ac:dyDescent="0.15">
      <c r="B4184" s="4" t="s">
        <v>78</v>
      </c>
      <c r="C4184" s="24"/>
      <c r="D4184" s="6"/>
      <c r="E4184" s="3" t="s">
        <v>193</v>
      </c>
      <c r="F4184" s="164">
        <f>MATERIALES!C97</f>
        <v>27510</v>
      </c>
      <c r="G4184" s="65">
        <v>1</v>
      </c>
      <c r="H4184" s="165">
        <f t="shared" ref="H4184:H4189" si="27">G4184*F4184</f>
        <v>27510</v>
      </c>
      <c r="I4184" s="44"/>
    </row>
    <row r="4185" spans="2:9" x14ac:dyDescent="0.15">
      <c r="B4185" s="4" t="s">
        <v>173</v>
      </c>
      <c r="C4185" s="24"/>
      <c r="D4185" s="6"/>
      <c r="E4185" s="3" t="s">
        <v>319</v>
      </c>
      <c r="F4185" s="164">
        <f>MATERIALES!C98</f>
        <v>14280</v>
      </c>
      <c r="G4185" s="65">
        <v>7.4999999999999997E-2</v>
      </c>
      <c r="H4185" s="165">
        <f t="shared" si="27"/>
        <v>1071</v>
      </c>
      <c r="I4185" s="44"/>
    </row>
    <row r="4186" spans="2:9" x14ac:dyDescent="0.15">
      <c r="B4186" s="4" t="s">
        <v>174</v>
      </c>
      <c r="C4186" s="24"/>
      <c r="D4186" s="6"/>
      <c r="E4186" s="3" t="s">
        <v>319</v>
      </c>
      <c r="F4186" s="164">
        <f>MATERIALES!C99</f>
        <v>22260</v>
      </c>
      <c r="G4186" s="65">
        <v>7.4999999999999997E-2</v>
      </c>
      <c r="H4186" s="165">
        <f t="shared" si="27"/>
        <v>1669.5</v>
      </c>
      <c r="I4186" s="44"/>
    </row>
    <row r="4187" spans="2:9" x14ac:dyDescent="0.15">
      <c r="B4187" s="4" t="s">
        <v>175</v>
      </c>
      <c r="C4187" s="24"/>
      <c r="D4187" s="6"/>
      <c r="E4187" s="3" t="s">
        <v>319</v>
      </c>
      <c r="F4187" s="164">
        <f>MATERIALES!C100</f>
        <v>39060</v>
      </c>
      <c r="G4187" s="65">
        <v>7.4999999999999997E-2</v>
      </c>
      <c r="H4187" s="165">
        <f t="shared" si="27"/>
        <v>2929.5</v>
      </c>
      <c r="I4187" s="44"/>
    </row>
    <row r="4188" spans="2:9" x14ac:dyDescent="0.15">
      <c r="B4188" s="4" t="s">
        <v>304</v>
      </c>
      <c r="C4188" s="24"/>
      <c r="D4188" s="6"/>
      <c r="E4188" s="3" t="s">
        <v>319</v>
      </c>
      <c r="F4188" s="164">
        <f>MATERIALES!C101</f>
        <v>4480</v>
      </c>
      <c r="G4188" s="65">
        <v>7.4999999999999997E-2</v>
      </c>
      <c r="H4188" s="165">
        <f t="shared" si="27"/>
        <v>336</v>
      </c>
      <c r="I4188" s="44"/>
    </row>
    <row r="4189" spans="2:9" x14ac:dyDescent="0.15">
      <c r="B4189" s="4" t="s">
        <v>135</v>
      </c>
      <c r="C4189" s="24"/>
      <c r="D4189" s="6"/>
      <c r="E4189" s="3" t="s">
        <v>77</v>
      </c>
      <c r="F4189" s="164">
        <f>MATERIALES!C27</f>
        <v>286200</v>
      </c>
      <c r="G4189" s="65">
        <v>0.01</v>
      </c>
      <c r="H4189" s="165">
        <f t="shared" si="27"/>
        <v>2862</v>
      </c>
      <c r="I4189" s="44"/>
    </row>
    <row r="4190" spans="2:9" ht="14" thickBot="1" x14ac:dyDescent="0.2">
      <c r="B4190" s="25"/>
      <c r="C4190" s="26"/>
      <c r="D4190" s="27"/>
      <c r="E4190" s="21"/>
      <c r="F4190" s="22"/>
      <c r="G4190" s="167"/>
      <c r="H4190" s="47"/>
      <c r="I4190" s="48"/>
    </row>
    <row r="4191" spans="2:9" ht="14" thickBot="1" x14ac:dyDescent="0.2">
      <c r="B4191" s="1"/>
      <c r="C4191" s="1"/>
      <c r="D4191" s="1"/>
      <c r="E4191" s="1"/>
      <c r="F4191" s="1"/>
      <c r="G4191" s="1"/>
      <c r="H4191" s="37" t="s">
        <v>26</v>
      </c>
      <c r="I4191" s="163">
        <f>SUM(H4184:H4189)</f>
        <v>36378</v>
      </c>
    </row>
    <row r="4192" spans="2:9" ht="14" thickBot="1" x14ac:dyDescent="0.2">
      <c r="B4192" s="28" t="s">
        <v>31</v>
      </c>
      <c r="C4192" s="28"/>
      <c r="D4192" s="26"/>
      <c r="E4192" s="1"/>
      <c r="F4192" s="1"/>
      <c r="G4192" s="1"/>
      <c r="H4192" s="1"/>
      <c r="I4192" s="1"/>
    </row>
    <row r="4193" spans="2:9" x14ac:dyDescent="0.15">
      <c r="B4193" s="51" t="s">
        <v>32</v>
      </c>
      <c r="C4193" s="52"/>
      <c r="D4193" s="97" t="s">
        <v>33</v>
      </c>
      <c r="E4193" s="209" t="s">
        <v>34</v>
      </c>
      <c r="F4193" s="209" t="s">
        <v>35</v>
      </c>
      <c r="G4193" s="209" t="s">
        <v>36</v>
      </c>
      <c r="H4193" s="59" t="s">
        <v>25</v>
      </c>
      <c r="I4193" s="43"/>
    </row>
    <row r="4194" spans="2:9" x14ac:dyDescent="0.15">
      <c r="B4194" s="4" t="s">
        <v>79</v>
      </c>
      <c r="C4194" s="6"/>
      <c r="D4194" s="53">
        <v>0.2</v>
      </c>
      <c r="E4194" s="2">
        <v>15</v>
      </c>
      <c r="F4194" s="2">
        <f>E4194*D4194</f>
        <v>3</v>
      </c>
      <c r="G4194" s="162">
        <v>1100</v>
      </c>
      <c r="H4194" s="20">
        <f>G4194*F4194</f>
        <v>3300</v>
      </c>
      <c r="I4194" s="44"/>
    </row>
    <row r="4195" spans="2:9" x14ac:dyDescent="0.15">
      <c r="B4195" s="107"/>
      <c r="C4195" s="66"/>
      <c r="D4195" s="67"/>
      <c r="E4195" s="68"/>
      <c r="F4195" s="68"/>
      <c r="G4195" s="69"/>
      <c r="H4195" s="65"/>
      <c r="I4195" s="44"/>
    </row>
    <row r="4196" spans="2:9" ht="14" thickBot="1" x14ac:dyDescent="0.2">
      <c r="B4196" s="33"/>
      <c r="C4196" s="54"/>
      <c r="D4196" s="21"/>
      <c r="E4196" s="22"/>
      <c r="F4196" s="23"/>
      <c r="G4196" s="47"/>
      <c r="H4196" s="21"/>
      <c r="I4196" s="48"/>
    </row>
    <row r="4197" spans="2:9" ht="14" thickBot="1" x14ac:dyDescent="0.2">
      <c r="B4197" s="1"/>
      <c r="C4197" s="1"/>
      <c r="D4197" s="1"/>
      <c r="E4197" s="1"/>
      <c r="F4197" s="1"/>
      <c r="G4197" s="1"/>
      <c r="H4197" s="37" t="s">
        <v>26</v>
      </c>
      <c r="I4197" s="163">
        <f>SUM(H4194:H4196)</f>
        <v>3300</v>
      </c>
    </row>
    <row r="4198" spans="2:9" ht="14" thickBot="1" x14ac:dyDescent="0.2">
      <c r="B4198" s="28" t="s">
        <v>37</v>
      </c>
      <c r="C4198" s="28"/>
      <c r="D4198" s="1"/>
      <c r="E4198" s="1"/>
      <c r="F4198" s="1"/>
      <c r="G4198" s="1"/>
      <c r="H4198" s="1"/>
      <c r="I4198" s="1"/>
    </row>
    <row r="4199" spans="2:9" x14ac:dyDescent="0.15">
      <c r="B4199" s="51" t="s">
        <v>38</v>
      </c>
      <c r="C4199" s="86"/>
      <c r="D4199" s="31" t="s">
        <v>39</v>
      </c>
      <c r="E4199" s="209" t="s">
        <v>40</v>
      </c>
      <c r="F4199" s="19" t="s">
        <v>41</v>
      </c>
      <c r="G4199" s="31" t="s">
        <v>24</v>
      </c>
      <c r="H4199" s="208" t="s">
        <v>25</v>
      </c>
      <c r="I4199" s="43"/>
    </row>
    <row r="4200" spans="2:9" x14ac:dyDescent="0.15">
      <c r="B4200" s="4" t="s">
        <v>65</v>
      </c>
      <c r="C4200" s="24"/>
      <c r="D4200" s="32">
        <f>'MANO DE OBRA'!E15</f>
        <v>95333</v>
      </c>
      <c r="E4200" s="88">
        <v>1.75</v>
      </c>
      <c r="F4200" s="164">
        <f>+E4200*D4200</f>
        <v>166832.75</v>
      </c>
      <c r="G4200" s="79">
        <v>25</v>
      </c>
      <c r="H4200" s="169">
        <f>+F4200/G4200</f>
        <v>6673.31</v>
      </c>
      <c r="I4200" s="44"/>
    </row>
    <row r="4201" spans="2:9" x14ac:dyDescent="0.15">
      <c r="B4201" s="80" t="s">
        <v>55</v>
      </c>
      <c r="C4201" s="24"/>
      <c r="D4201" s="32">
        <f>'MANO DE OBRA'!E14*2</f>
        <v>104000</v>
      </c>
      <c r="E4201" s="88">
        <v>1.75</v>
      </c>
      <c r="F4201" s="164">
        <f>+E4201*D4201</f>
        <v>182000</v>
      </c>
      <c r="G4201" s="79">
        <v>25</v>
      </c>
      <c r="H4201" s="169">
        <f>+F4201/G4201</f>
        <v>7280</v>
      </c>
      <c r="I4201" s="44"/>
    </row>
    <row r="4202" spans="2:9" ht="14" thickBot="1" x14ac:dyDescent="0.2">
      <c r="B4202" s="33"/>
      <c r="C4202" s="34"/>
      <c r="D4202" s="22"/>
      <c r="E4202" s="21"/>
      <c r="F4202" s="22"/>
      <c r="G4202" s="23"/>
      <c r="H4202" s="47"/>
      <c r="I4202" s="48"/>
    </row>
    <row r="4203" spans="2:9" ht="14" thickBot="1" x14ac:dyDescent="0.2">
      <c r="B4203" s="1"/>
      <c r="C4203" s="1"/>
      <c r="D4203" s="1"/>
      <c r="E4203" s="1"/>
      <c r="F4203" s="1"/>
      <c r="G4203" s="1"/>
      <c r="H4203" s="37" t="s">
        <v>26</v>
      </c>
      <c r="I4203" s="177">
        <f>SUM(H4200:H4202)</f>
        <v>13953.310000000001</v>
      </c>
    </row>
    <row r="4204" spans="2:9" ht="14" thickBot="1" x14ac:dyDescent="0.2">
      <c r="B4204" s="1"/>
      <c r="C4204" s="1"/>
      <c r="D4204" s="1"/>
      <c r="E4204" s="1"/>
      <c r="F4204" s="1"/>
      <c r="G4204" s="1"/>
      <c r="H4204" s="61"/>
      <c r="I4204" s="1"/>
    </row>
    <row r="4205" spans="2:9" ht="15" thickBot="1" x14ac:dyDescent="0.2">
      <c r="B4205" s="1"/>
      <c r="C4205" s="1"/>
      <c r="D4205" s="1"/>
      <c r="E4205" s="1"/>
      <c r="F4205" s="35" t="s">
        <v>43</v>
      </c>
      <c r="G4205" s="16"/>
      <c r="H4205" s="16"/>
      <c r="I4205" s="477">
        <f>ROUND((I4181+I4191+I4197+I4203),0)</f>
        <v>54329</v>
      </c>
    </row>
    <row r="4206" spans="2:9" x14ac:dyDescent="0.15">
      <c r="B4206" s="12"/>
      <c r="C4206" s="12"/>
      <c r="D4206" s="1"/>
      <c r="E4206" s="1"/>
      <c r="F4206" s="1"/>
      <c r="G4206" s="1"/>
      <c r="H4206" s="172"/>
      <c r="I4206" s="172"/>
    </row>
    <row r="4207" spans="2:9" x14ac:dyDescent="0.15">
      <c r="B4207" s="16"/>
      <c r="C4207" s="16"/>
      <c r="D4207" s="16"/>
      <c r="E4207" s="16"/>
      <c r="F4207" s="16"/>
      <c r="G4207" s="61"/>
      <c r="H4207" s="173"/>
      <c r="I4207" s="172"/>
    </row>
    <row r="4208" spans="2:9" x14ac:dyDescent="0.15">
      <c r="B4208" s="1"/>
      <c r="C4208" s="1"/>
      <c r="D4208" s="1"/>
      <c r="E4208" s="1"/>
      <c r="F4208" s="1"/>
      <c r="G4208" s="161"/>
      <c r="H4208" s="172"/>
      <c r="I4208" s="172"/>
    </row>
    <row r="4209" spans="1:10" x14ac:dyDescent="0.15">
      <c r="B4209" s="1"/>
      <c r="C4209" s="1"/>
      <c r="D4209" s="1"/>
      <c r="E4209" s="1"/>
      <c r="F4209" s="1"/>
      <c r="G4209" s="161"/>
      <c r="H4209" s="172"/>
      <c r="I4209" s="172"/>
    </row>
    <row r="4210" spans="1:10" x14ac:dyDescent="0.15">
      <c r="B4210" s="1"/>
      <c r="C4210" s="1"/>
      <c r="D4210" s="1"/>
      <c r="E4210" s="1"/>
      <c r="F4210" s="1"/>
      <c r="G4210" s="161"/>
      <c r="H4210" s="172"/>
      <c r="I4210" s="172"/>
    </row>
    <row r="4211" spans="1:10" x14ac:dyDescent="0.15">
      <c r="B4211" s="1"/>
      <c r="C4211" s="1"/>
      <c r="D4211" s="1"/>
      <c r="E4211" s="1"/>
      <c r="F4211" s="1"/>
      <c r="G4211" s="161"/>
      <c r="H4211" s="172"/>
      <c r="I4211" s="172"/>
    </row>
    <row r="4212" spans="1:10" x14ac:dyDescent="0.15">
      <c r="B4212" s="1"/>
      <c r="C4212" s="1"/>
      <c r="D4212" s="1"/>
      <c r="E4212" s="1"/>
      <c r="F4212" s="1"/>
      <c r="G4212" s="1"/>
      <c r="H4212" s="37"/>
      <c r="I4212" s="172"/>
    </row>
    <row r="4213" spans="1:10" ht="14" x14ac:dyDescent="0.15">
      <c r="A4213" s="85"/>
      <c r="B4213" s="102"/>
      <c r="C4213" s="83"/>
      <c r="D4213" s="84"/>
      <c r="E4213" s="83"/>
      <c r="F4213" s="83"/>
      <c r="G4213" s="103"/>
      <c r="H4213" s="83"/>
      <c r="I4213" s="85"/>
      <c r="J4213" s="85"/>
    </row>
    <row r="4214" spans="1:10" ht="14" x14ac:dyDescent="0.15">
      <c r="A4214" s="85"/>
      <c r="B4214" s="83"/>
      <c r="C4214" s="83"/>
      <c r="D4214" s="84"/>
      <c r="E4214" s="83"/>
      <c r="F4214" s="83"/>
      <c r="G4214" s="104"/>
      <c r="H4214" s="83"/>
      <c r="I4214" s="85"/>
      <c r="J4214" s="85"/>
    </row>
    <row r="4215" spans="1:10" x14ac:dyDescent="0.15">
      <c r="B4215" s="11"/>
      <c r="C4215" s="11"/>
      <c r="D4215" s="1"/>
      <c r="E4215" s="155"/>
      <c r="F4215" s="155"/>
      <c r="G4215" s="155"/>
      <c r="H4215" s="155"/>
      <c r="I4215" s="171"/>
    </row>
    <row r="4216" spans="1:10" x14ac:dyDescent="0.15">
      <c r="B4216" s="11"/>
      <c r="C4216" s="11"/>
      <c r="D4216" s="1"/>
      <c r="E4216" s="155"/>
      <c r="F4216" s="155"/>
      <c r="G4216" s="155"/>
      <c r="H4216" s="155"/>
      <c r="I4216" s="171"/>
    </row>
    <row r="4217" spans="1:10" x14ac:dyDescent="0.15">
      <c r="B4217" s="11"/>
      <c r="C4217" s="11"/>
      <c r="D4217" s="1"/>
      <c r="E4217" s="155"/>
      <c r="F4217" s="155"/>
      <c r="G4217" s="155"/>
      <c r="H4217" s="155"/>
      <c r="I4217" s="171"/>
    </row>
    <row r="4218" spans="1:10" x14ac:dyDescent="0.15">
      <c r="B4218" s="11"/>
      <c r="C4218" s="11"/>
      <c r="D4218" s="1"/>
      <c r="E4218" s="155"/>
      <c r="F4218" s="155"/>
      <c r="G4218" s="155"/>
      <c r="H4218" s="155"/>
      <c r="I4218" s="171"/>
    </row>
    <row r="4219" spans="1:10" x14ac:dyDescent="0.15">
      <c r="B4219" s="11"/>
      <c r="C4219" s="11"/>
      <c r="D4219" s="1"/>
      <c r="E4219" s="155"/>
      <c r="F4219" s="155"/>
      <c r="G4219" s="155"/>
      <c r="H4219" s="155"/>
      <c r="I4219" s="171"/>
    </row>
    <row r="4220" spans="1:10" x14ac:dyDescent="0.15">
      <c r="B4220" s="11"/>
      <c r="C4220" s="11"/>
      <c r="D4220" s="11"/>
      <c r="E4220" s="11"/>
      <c r="F4220" s="11"/>
      <c r="G4220" s="11"/>
      <c r="H4220" s="11"/>
      <c r="I4220" s="11"/>
    </row>
    <row r="4223" spans="1:10" ht="14" thickBot="1" x14ac:dyDescent="0.2"/>
    <row r="4224" spans="1:10" ht="21" customHeight="1" x14ac:dyDescent="0.15">
      <c r="B4224" s="885" t="s">
        <v>874</v>
      </c>
      <c r="C4224" s="886"/>
      <c r="D4224" s="886"/>
      <c r="E4224" s="886"/>
      <c r="F4224" s="887"/>
      <c r="G4224" s="1"/>
      <c r="H4224" s="879" t="s">
        <v>20</v>
      </c>
      <c r="I4224" s="880"/>
    </row>
    <row r="4225" spans="2:11" ht="16.5" customHeight="1" x14ac:dyDescent="0.15">
      <c r="B4225" s="888" t="s">
        <v>875</v>
      </c>
      <c r="C4225" s="889"/>
      <c r="D4225" s="889"/>
      <c r="E4225" s="889"/>
      <c r="F4225" s="890"/>
      <c r="G4225" s="63"/>
      <c r="H4225" s="881"/>
      <c r="I4225" s="882"/>
    </row>
    <row r="4226" spans="2:11" ht="12.75" customHeight="1" x14ac:dyDescent="0.15">
      <c r="B4226" s="906" t="s">
        <v>876</v>
      </c>
      <c r="C4226" s="907"/>
      <c r="D4226" s="907"/>
      <c r="E4226" s="907"/>
      <c r="F4226" s="908"/>
      <c r="G4226" s="63"/>
      <c r="H4226" s="883"/>
      <c r="I4226" s="884"/>
    </row>
    <row r="4227" spans="2:11" ht="16.5" customHeight="1" thickBot="1" x14ac:dyDescent="0.2">
      <c r="B4227" s="909"/>
      <c r="C4227" s="910"/>
      <c r="D4227" s="910"/>
      <c r="E4227" s="910"/>
      <c r="F4227" s="911"/>
      <c r="G4227" s="1"/>
      <c r="H4227" s="956" t="s">
        <v>1344</v>
      </c>
      <c r="I4227" s="957"/>
    </row>
    <row r="4228" spans="2:11" ht="14" thickBot="1" x14ac:dyDescent="0.2">
      <c r="B4228" s="15"/>
      <c r="C4228" s="16"/>
      <c r="D4228" s="1"/>
      <c r="E4228" s="1"/>
      <c r="F4228" s="1"/>
      <c r="G4228" s="1"/>
      <c r="H4228" s="958"/>
      <c r="I4228" s="959"/>
    </row>
    <row r="4229" spans="2:11" ht="12.75" customHeight="1" x14ac:dyDescent="0.15">
      <c r="B4229" s="922" t="s">
        <v>836</v>
      </c>
      <c r="C4229" s="923"/>
      <c r="D4229" s="923"/>
      <c r="E4229" s="923"/>
      <c r="F4229" s="924"/>
      <c r="G4229" s="1"/>
      <c r="H4229" s="958"/>
      <c r="I4229" s="959"/>
    </row>
    <row r="4230" spans="2:11" ht="12.75" customHeight="1" x14ac:dyDescent="0.15">
      <c r="B4230" s="925"/>
      <c r="C4230" s="926"/>
      <c r="D4230" s="926"/>
      <c r="E4230" s="926"/>
      <c r="F4230" s="927"/>
      <c r="H4230" s="958"/>
      <c r="I4230" s="959"/>
    </row>
    <row r="4231" spans="2:11" ht="13.5" customHeight="1" x14ac:dyDescent="0.15">
      <c r="B4231" s="925"/>
      <c r="C4231" s="926"/>
      <c r="D4231" s="926"/>
      <c r="E4231" s="926"/>
      <c r="F4231" s="927"/>
      <c r="G4231" s="11"/>
      <c r="H4231" s="960"/>
      <c r="I4231" s="961"/>
    </row>
    <row r="4232" spans="2:11" ht="21.75" customHeight="1" thickBot="1" x14ac:dyDescent="0.2">
      <c r="B4232" s="928"/>
      <c r="C4232" s="929"/>
      <c r="D4232" s="929"/>
      <c r="E4232" s="929"/>
      <c r="F4232" s="930"/>
      <c r="H4232" s="64" t="s">
        <v>45</v>
      </c>
      <c r="I4232" s="17" t="s">
        <v>319</v>
      </c>
    </row>
    <row r="4233" spans="2:11" x14ac:dyDescent="0.15">
      <c r="B4233" s="18"/>
      <c r="C4233" s="18"/>
      <c r="D4233" s="1"/>
      <c r="E4233" s="18"/>
      <c r="F4233" s="18"/>
      <c r="G4233" s="18"/>
      <c r="H4233" s="18"/>
      <c r="I4233" s="1"/>
    </row>
    <row r="4234" spans="2:11" ht="14" thickBot="1" x14ac:dyDescent="0.2">
      <c r="B4234" s="12" t="s">
        <v>21</v>
      </c>
      <c r="C4234" s="12"/>
      <c r="D4234" s="1"/>
      <c r="E4234" s="1"/>
      <c r="F4234" s="1"/>
      <c r="G4234" s="1"/>
      <c r="H4234" s="1"/>
      <c r="I4234" s="1"/>
    </row>
    <row r="4235" spans="2:11" x14ac:dyDescent="0.15">
      <c r="B4235" s="903" t="s">
        <v>22</v>
      </c>
      <c r="C4235" s="904"/>
      <c r="D4235" s="905"/>
      <c r="E4235" s="209" t="s">
        <v>23</v>
      </c>
      <c r="F4235" s="19" t="s">
        <v>47</v>
      </c>
      <c r="G4235" s="209" t="s">
        <v>24</v>
      </c>
      <c r="H4235" s="208" t="s">
        <v>25</v>
      </c>
      <c r="I4235" s="43"/>
    </row>
    <row r="4236" spans="2:11" x14ac:dyDescent="0.15">
      <c r="B4236" s="897" t="s">
        <v>56</v>
      </c>
      <c r="C4236" s="898"/>
      <c r="D4236" s="899"/>
      <c r="E4236" s="5"/>
      <c r="F4236" s="162"/>
      <c r="G4236" s="673"/>
      <c r="H4236" s="165">
        <f>I4257*0.05</f>
        <v>8847.2124999999996</v>
      </c>
      <c r="I4236" s="44"/>
    </row>
    <row r="4237" spans="2:11" x14ac:dyDescent="0.15">
      <c r="B4237" s="897" t="s">
        <v>1342</v>
      </c>
      <c r="C4237" s="898"/>
      <c r="D4237" s="899"/>
      <c r="E4237" s="5"/>
      <c r="F4237" s="162">
        <f>'HERRAMIENTAS Y EQUIPOS'!C25</f>
        <v>45000</v>
      </c>
      <c r="G4237" s="58">
        <v>3</v>
      </c>
      <c r="H4237" s="162">
        <f>F4237/G4237</f>
        <v>15000</v>
      </c>
      <c r="I4237" s="44"/>
      <c r="K4237" s="233"/>
    </row>
    <row r="4238" spans="2:11" ht="14" thickBot="1" x14ac:dyDescent="0.2">
      <c r="B4238" s="900"/>
      <c r="C4238" s="901"/>
      <c r="D4238" s="902"/>
      <c r="E4238" s="21"/>
      <c r="F4238" s="22"/>
      <c r="G4238" s="23"/>
      <c r="H4238" s="47"/>
      <c r="I4238" s="48"/>
    </row>
    <row r="4239" spans="2:11" ht="14" thickBot="1" x14ac:dyDescent="0.2">
      <c r="B4239" s="1"/>
      <c r="C4239" s="1"/>
      <c r="D4239" s="1"/>
      <c r="E4239" s="1"/>
      <c r="F4239" s="1"/>
      <c r="G4239" s="1"/>
      <c r="H4239" s="37" t="s">
        <v>26</v>
      </c>
      <c r="I4239" s="163">
        <f>SUM(H4236:H4238)</f>
        <v>23847.212500000001</v>
      </c>
    </row>
    <row r="4240" spans="2:11" ht="14" thickBot="1" x14ac:dyDescent="0.2">
      <c r="B4240" s="12" t="s">
        <v>27</v>
      </c>
      <c r="C4240" s="12"/>
      <c r="D4240" s="1"/>
      <c r="E4240" s="1"/>
      <c r="F4240" s="1"/>
      <c r="G4240" s="1"/>
      <c r="H4240" s="1"/>
      <c r="I4240" s="1"/>
    </row>
    <row r="4241" spans="1:11" x14ac:dyDescent="0.15">
      <c r="B4241" s="903" t="s">
        <v>22</v>
      </c>
      <c r="C4241" s="904"/>
      <c r="D4241" s="905"/>
      <c r="E4241" s="209" t="s">
        <v>28</v>
      </c>
      <c r="F4241" s="209" t="s">
        <v>29</v>
      </c>
      <c r="G4241" s="209" t="s">
        <v>30</v>
      </c>
      <c r="H4241" s="208" t="s">
        <v>25</v>
      </c>
      <c r="I4241" s="43"/>
    </row>
    <row r="4242" spans="1:11" x14ac:dyDescent="0.15">
      <c r="A4242" s="11"/>
      <c r="B4242" s="4" t="s">
        <v>67</v>
      </c>
      <c r="C4242" s="24"/>
      <c r="D4242" s="6"/>
      <c r="E4242" s="3" t="s">
        <v>58</v>
      </c>
      <c r="F4242" s="164">
        <f>'APU -BASICOS'!H260</f>
        <v>9182</v>
      </c>
      <c r="G4242" s="65">
        <f>(0.7*20*0.56)+(2*6*0.56)</f>
        <v>14.560000000000002</v>
      </c>
      <c r="H4242" s="165">
        <f>G4242*F4242</f>
        <v>133689.92000000001</v>
      </c>
      <c r="I4242" s="44"/>
      <c r="J4242" s="11"/>
    </row>
    <row r="4243" spans="1:11" x14ac:dyDescent="0.15">
      <c r="A4243" s="11"/>
      <c r="B4243" s="4" t="s">
        <v>63</v>
      </c>
      <c r="C4243" s="24"/>
      <c r="D4243" s="6"/>
      <c r="E4243" s="3" t="s">
        <v>6</v>
      </c>
      <c r="F4243" s="164">
        <f>'APU -BASICOS'!H96</f>
        <v>555217</v>
      </c>
      <c r="G4243" s="65">
        <f>(2.8*0.15*0.3)+(0.75*0.75*0.15*2)</f>
        <v>0.29474999999999996</v>
      </c>
      <c r="H4243" s="165">
        <f>G4243*F4243</f>
        <v>163650.21074999997</v>
      </c>
      <c r="I4243" s="44"/>
      <c r="J4243" s="11"/>
    </row>
    <row r="4244" spans="1:11" x14ac:dyDescent="0.15">
      <c r="B4244" s="4"/>
      <c r="C4244" s="24"/>
      <c r="D4244" s="6"/>
      <c r="E4244" s="3"/>
      <c r="F4244" s="164"/>
      <c r="G4244" s="65"/>
      <c r="H4244" s="165"/>
      <c r="I4244" s="44"/>
    </row>
    <row r="4245" spans="1:11" ht="14" thickBot="1" x14ac:dyDescent="0.2">
      <c r="B4245" s="25"/>
      <c r="C4245" s="26"/>
      <c r="D4245" s="27"/>
      <c r="E4245" s="21"/>
      <c r="F4245" s="22"/>
      <c r="G4245" s="167"/>
      <c r="H4245" s="47"/>
      <c r="I4245" s="48"/>
    </row>
    <row r="4246" spans="1:11" ht="14" thickBot="1" x14ac:dyDescent="0.2">
      <c r="B4246" s="1"/>
      <c r="C4246" s="1"/>
      <c r="D4246" s="1"/>
      <c r="E4246" s="1"/>
      <c r="F4246" s="1"/>
      <c r="G4246" s="1"/>
      <c r="H4246" s="37" t="s">
        <v>26</v>
      </c>
      <c r="I4246" s="163">
        <f>SUM(H4242:H4244)</f>
        <v>297340.13075000001</v>
      </c>
    </row>
    <row r="4247" spans="1:11" ht="14" thickBot="1" x14ac:dyDescent="0.2">
      <c r="B4247" s="28" t="s">
        <v>31</v>
      </c>
      <c r="C4247" s="28"/>
      <c r="D4247" s="26"/>
      <c r="E4247" s="1"/>
      <c r="F4247" s="1"/>
      <c r="G4247" s="1"/>
      <c r="H4247" s="1"/>
      <c r="I4247" s="1"/>
    </row>
    <row r="4248" spans="1:11" x14ac:dyDescent="0.15">
      <c r="B4248" s="51" t="s">
        <v>32</v>
      </c>
      <c r="C4248" s="52"/>
      <c r="D4248" s="97" t="s">
        <v>33</v>
      </c>
      <c r="E4248" s="209" t="s">
        <v>34</v>
      </c>
      <c r="F4248" s="209" t="s">
        <v>35</v>
      </c>
      <c r="G4248" s="209" t="s">
        <v>36</v>
      </c>
      <c r="H4248" s="59" t="s">
        <v>25</v>
      </c>
      <c r="I4248" s="43"/>
      <c r="K4248" s="106"/>
    </row>
    <row r="4249" spans="1:11" x14ac:dyDescent="0.15">
      <c r="B4249" s="4" t="s">
        <v>1343</v>
      </c>
      <c r="C4249" s="6"/>
      <c r="D4249" s="53">
        <v>0.5</v>
      </c>
      <c r="E4249" s="2">
        <v>15</v>
      </c>
      <c r="F4249" s="2">
        <f>E4249*D4249</f>
        <v>7.5</v>
      </c>
      <c r="G4249" s="162">
        <v>1100</v>
      </c>
      <c r="H4249" s="20">
        <f>G4249*F4249</f>
        <v>8250</v>
      </c>
      <c r="I4249" s="44"/>
    </row>
    <row r="4250" spans="1:11" ht="14" thickBot="1" x14ac:dyDescent="0.2">
      <c r="B4250" s="33"/>
      <c r="C4250" s="54"/>
      <c r="D4250" s="21"/>
      <c r="E4250" s="22"/>
      <c r="F4250" s="23"/>
      <c r="G4250" s="47"/>
      <c r="H4250" s="21"/>
      <c r="I4250" s="48"/>
    </row>
    <row r="4251" spans="1:11" ht="14" thickBot="1" x14ac:dyDescent="0.2">
      <c r="B4251" s="1"/>
      <c r="C4251" s="1"/>
      <c r="D4251" s="1"/>
      <c r="E4251" s="1"/>
      <c r="F4251" s="1"/>
      <c r="G4251" s="1"/>
      <c r="H4251" s="37" t="s">
        <v>26</v>
      </c>
      <c r="I4251" s="163">
        <f>SUM(H4249:H4250)</f>
        <v>8250</v>
      </c>
    </row>
    <row r="4252" spans="1:11" ht="14" thickBot="1" x14ac:dyDescent="0.2">
      <c r="B4252" s="12" t="s">
        <v>37</v>
      </c>
      <c r="C4252" s="12"/>
      <c r="D4252" s="1"/>
      <c r="E4252" s="1"/>
      <c r="F4252" s="1"/>
      <c r="G4252" s="1"/>
      <c r="H4252" s="1"/>
      <c r="I4252" s="1"/>
      <c r="K4252" s="106"/>
    </row>
    <row r="4253" spans="1:11" x14ac:dyDescent="0.15">
      <c r="B4253" s="903" t="s">
        <v>38</v>
      </c>
      <c r="C4253" s="905"/>
      <c r="D4253" s="31" t="s">
        <v>39</v>
      </c>
      <c r="E4253" s="31" t="s">
        <v>40</v>
      </c>
      <c r="F4253" s="679" t="s">
        <v>41</v>
      </c>
      <c r="G4253" s="31" t="s">
        <v>24</v>
      </c>
      <c r="H4253" s="665" t="s">
        <v>25</v>
      </c>
      <c r="I4253" s="43"/>
    </row>
    <row r="4254" spans="1:11" x14ac:dyDescent="0.15">
      <c r="A4254" s="11"/>
      <c r="B4254" s="1007" t="s">
        <v>65</v>
      </c>
      <c r="C4254" s="1008"/>
      <c r="D4254" s="32">
        <f>'MANO DE OBRA'!E15</f>
        <v>95333</v>
      </c>
      <c r="E4254" s="168">
        <v>1.75</v>
      </c>
      <c r="F4254" s="164">
        <f>+E4254*D4254</f>
        <v>166832.75</v>
      </c>
      <c r="G4254" s="79">
        <v>3</v>
      </c>
      <c r="H4254" s="165">
        <f>+F4254/G4254</f>
        <v>55610.916666666664</v>
      </c>
      <c r="I4254" s="44"/>
      <c r="J4254" s="11"/>
      <c r="K4254" s="106"/>
    </row>
    <row r="4255" spans="1:11" x14ac:dyDescent="0.15">
      <c r="B4255" s="1007" t="s">
        <v>520</v>
      </c>
      <c r="C4255" s="1008"/>
      <c r="D4255" s="32">
        <f>'MANO DE OBRA'!E14*4</f>
        <v>208000</v>
      </c>
      <c r="E4255" s="168">
        <v>1.75</v>
      </c>
      <c r="F4255" s="164">
        <f>+E4255*D4255</f>
        <v>364000</v>
      </c>
      <c r="G4255" s="79">
        <v>3</v>
      </c>
      <c r="H4255" s="165">
        <f>+F4255/G4255</f>
        <v>121333.33333333333</v>
      </c>
      <c r="I4255" s="44"/>
      <c r="K4255" s="106"/>
    </row>
    <row r="4256" spans="1:11" ht="14" thickBot="1" x14ac:dyDescent="0.2">
      <c r="B4256" s="1009"/>
      <c r="C4256" s="1010"/>
      <c r="D4256" s="22"/>
      <c r="E4256" s="21"/>
      <c r="F4256" s="22"/>
      <c r="G4256" s="23"/>
      <c r="H4256" s="47"/>
      <c r="I4256" s="48"/>
    </row>
    <row r="4257" spans="1:11" ht="14" thickBot="1" x14ac:dyDescent="0.2">
      <c r="B4257" s="1"/>
      <c r="C4257" s="1"/>
      <c r="D4257" s="1"/>
      <c r="E4257" s="1"/>
      <c r="F4257" s="1"/>
      <c r="G4257" s="1"/>
      <c r="H4257" s="37" t="s">
        <v>26</v>
      </c>
      <c r="I4257" s="177">
        <f>SUM(H4254:H4255)</f>
        <v>176944.25</v>
      </c>
      <c r="K4257" s="106"/>
    </row>
    <row r="4258" spans="1:11" ht="14" thickBot="1" x14ac:dyDescent="0.2">
      <c r="B4258" s="1"/>
      <c r="C4258" s="1"/>
      <c r="D4258" s="1"/>
      <c r="E4258" s="1"/>
      <c r="F4258" s="1"/>
      <c r="G4258" s="1"/>
      <c r="H4258" s="61"/>
      <c r="I4258" s="1"/>
    </row>
    <row r="4259" spans="1:11" ht="15" thickBot="1" x14ac:dyDescent="0.2">
      <c r="A4259" s="11"/>
      <c r="B4259" s="1"/>
      <c r="C4259" s="1"/>
      <c r="D4259" s="1"/>
      <c r="E4259" s="1"/>
      <c r="F4259" s="35" t="s">
        <v>43</v>
      </c>
      <c r="G4259" s="16"/>
      <c r="H4259" s="16"/>
      <c r="I4259" s="477">
        <f>ROUND((I4239+I4246+I4252+I4257),0)</f>
        <v>498132</v>
      </c>
      <c r="J4259" s="11"/>
    </row>
    <row r="4260" spans="1:11" x14ac:dyDescent="0.15">
      <c r="B4260" s="12"/>
      <c r="C4260" s="12"/>
      <c r="D4260" s="1"/>
      <c r="E4260" s="1"/>
      <c r="F4260" s="1"/>
      <c r="G4260" s="1"/>
      <c r="H4260" s="172"/>
      <c r="I4260" s="172"/>
    </row>
    <row r="4261" spans="1:11" x14ac:dyDescent="0.15">
      <c r="B4261" s="16"/>
      <c r="C4261" s="16"/>
      <c r="D4261" s="16"/>
      <c r="E4261" s="16"/>
      <c r="F4261" s="16"/>
      <c r="G4261" s="61"/>
      <c r="H4261" s="173"/>
      <c r="I4261" s="172"/>
    </row>
    <row r="4262" spans="1:11" x14ac:dyDescent="0.15">
      <c r="B4262" s="1"/>
      <c r="C4262" s="1"/>
      <c r="D4262" s="1"/>
      <c r="E4262" s="1"/>
      <c r="F4262" s="1"/>
      <c r="G4262" s="161"/>
      <c r="H4262" s="172"/>
      <c r="I4262" s="172"/>
    </row>
    <row r="4263" spans="1:11" x14ac:dyDescent="0.15">
      <c r="B4263" s="1"/>
      <c r="C4263" s="1"/>
      <c r="D4263" s="1"/>
      <c r="E4263" s="1"/>
      <c r="F4263" s="1"/>
      <c r="G4263" s="161"/>
      <c r="H4263" s="172"/>
      <c r="I4263" s="172"/>
    </row>
    <row r="4264" spans="1:11" x14ac:dyDescent="0.15">
      <c r="B4264" s="1"/>
      <c r="C4264" s="1"/>
      <c r="D4264" s="1"/>
      <c r="E4264" s="1"/>
      <c r="F4264" s="1"/>
      <c r="G4264" s="161"/>
      <c r="H4264" s="172"/>
      <c r="I4264" s="172"/>
    </row>
    <row r="4265" spans="1:11" x14ac:dyDescent="0.15">
      <c r="B4265" s="1"/>
      <c r="C4265" s="1"/>
      <c r="D4265" s="1"/>
      <c r="E4265" s="1"/>
      <c r="F4265" s="1"/>
      <c r="G4265" s="161"/>
      <c r="H4265" s="172"/>
      <c r="I4265" s="172"/>
    </row>
    <row r="4266" spans="1:11" x14ac:dyDescent="0.15">
      <c r="B4266" s="1"/>
      <c r="C4266" s="1"/>
      <c r="D4266" s="1"/>
      <c r="E4266" s="1"/>
      <c r="F4266" s="1"/>
      <c r="G4266" s="161"/>
      <c r="H4266" s="172"/>
      <c r="I4266" s="172"/>
    </row>
    <row r="4267" spans="1:11" x14ac:dyDescent="0.15">
      <c r="B4267" s="1"/>
      <c r="C4267" s="1"/>
      <c r="D4267" s="1"/>
      <c r="E4267" s="1"/>
      <c r="F4267" s="1"/>
      <c r="G4267" s="1"/>
      <c r="H4267" s="37"/>
      <c r="I4267" s="172"/>
    </row>
    <row r="4268" spans="1:11" ht="14" x14ac:dyDescent="0.15">
      <c r="B4268" s="102"/>
      <c r="C4268" s="1"/>
      <c r="D4268" s="1"/>
      <c r="E4268" s="1"/>
      <c r="F4268" s="1"/>
      <c r="G4268" s="1"/>
      <c r="H4268" s="1"/>
      <c r="I4268" s="172"/>
    </row>
    <row r="4269" spans="1:11" ht="14" x14ac:dyDescent="0.15">
      <c r="B4269" s="83"/>
      <c r="C4269" s="11"/>
      <c r="D4269" s="1"/>
      <c r="E4269" s="916"/>
      <c r="F4269" s="916"/>
      <c r="G4269" s="916"/>
      <c r="H4269" s="916"/>
      <c r="I4269" s="171"/>
    </row>
    <row r="4270" spans="1:11" x14ac:dyDescent="0.15">
      <c r="B4270" s="11"/>
      <c r="C4270" s="11"/>
      <c r="D4270" s="1"/>
      <c r="E4270" s="155"/>
      <c r="F4270" s="155"/>
      <c r="G4270" s="155"/>
      <c r="H4270" s="155"/>
      <c r="I4270" s="171"/>
    </row>
    <row r="4271" spans="1:11" x14ac:dyDescent="0.15">
      <c r="B4271" s="11"/>
      <c r="C4271" s="11"/>
      <c r="D4271" s="1"/>
      <c r="E4271" s="155"/>
      <c r="F4271" s="155"/>
      <c r="G4271" s="155"/>
      <c r="H4271" s="155"/>
      <c r="I4271" s="171"/>
    </row>
    <row r="4272" spans="1:11" x14ac:dyDescent="0.15">
      <c r="B4272" s="11"/>
      <c r="C4272" s="11"/>
      <c r="D4272" s="1"/>
      <c r="E4272" s="155"/>
      <c r="F4272" s="155"/>
      <c r="G4272" s="155"/>
      <c r="H4272" s="155"/>
      <c r="I4272" s="171"/>
    </row>
    <row r="4273" spans="1:10" x14ac:dyDescent="0.15">
      <c r="B4273" s="11"/>
      <c r="C4273" s="11"/>
      <c r="D4273" s="1"/>
      <c r="E4273" s="155"/>
      <c r="F4273" s="155"/>
      <c r="G4273" s="155"/>
      <c r="H4273" s="155"/>
      <c r="I4273" s="171"/>
    </row>
    <row r="4274" spans="1:10" x14ac:dyDescent="0.15">
      <c r="B4274" s="11"/>
      <c r="C4274" s="11"/>
      <c r="D4274" s="1"/>
      <c r="E4274" s="155"/>
      <c r="F4274" s="155"/>
      <c r="G4274" s="155"/>
      <c r="H4274" s="155"/>
      <c r="I4274" s="171"/>
    </row>
    <row r="4275" spans="1:10" ht="14" x14ac:dyDescent="0.15">
      <c r="A4275" s="85"/>
      <c r="B4275" s="102"/>
      <c r="C4275" s="83"/>
      <c r="D4275" s="84"/>
      <c r="E4275" s="83"/>
      <c r="F4275" s="83"/>
      <c r="G4275" s="103"/>
      <c r="H4275" s="83"/>
      <c r="I4275" s="85"/>
      <c r="J4275" s="85"/>
    </row>
    <row r="4276" spans="1:10" ht="14" x14ac:dyDescent="0.15">
      <c r="A4276" s="85"/>
      <c r="B4276" s="83"/>
      <c r="C4276" s="83"/>
      <c r="D4276" s="84"/>
      <c r="E4276" s="83"/>
      <c r="F4276" s="83"/>
      <c r="G4276" s="104"/>
      <c r="H4276" s="83"/>
      <c r="I4276" s="85"/>
      <c r="J4276" s="85"/>
    </row>
    <row r="4277" spans="1:10" ht="14" x14ac:dyDescent="0.15">
      <c r="A4277" s="85"/>
      <c r="B4277" s="83"/>
      <c r="C4277" s="83"/>
      <c r="D4277" s="84"/>
      <c r="E4277" s="83"/>
      <c r="F4277" s="83"/>
      <c r="G4277" s="104"/>
      <c r="H4277" s="83"/>
      <c r="I4277" s="85"/>
      <c r="J4277" s="85"/>
    </row>
    <row r="4278" spans="1:10" x14ac:dyDescent="0.15">
      <c r="B4278" s="11"/>
      <c r="C4278" s="11"/>
      <c r="D4278" s="1"/>
      <c r="E4278" s="155"/>
      <c r="F4278" s="155"/>
      <c r="G4278" s="155"/>
      <c r="H4278" s="155"/>
      <c r="I4278" s="171"/>
    </row>
    <row r="4279" spans="1:10" ht="14" thickBot="1" x14ac:dyDescent="0.2">
      <c r="B4279" s="11"/>
      <c r="C4279" s="11"/>
      <c r="D4279" s="1"/>
      <c r="E4279" s="155"/>
      <c r="F4279" s="155"/>
      <c r="G4279" s="155"/>
      <c r="H4279" s="155"/>
      <c r="I4279" s="171"/>
    </row>
    <row r="4280" spans="1:10" ht="21" customHeight="1" x14ac:dyDescent="0.15">
      <c r="B4280" s="885" t="s">
        <v>874</v>
      </c>
      <c r="C4280" s="886"/>
      <c r="D4280" s="886"/>
      <c r="E4280" s="886"/>
      <c r="F4280" s="887"/>
      <c r="G4280" s="1"/>
      <c r="H4280" s="879" t="s">
        <v>20</v>
      </c>
      <c r="I4280" s="880"/>
    </row>
    <row r="4281" spans="1:10" ht="16.5" customHeight="1" x14ac:dyDescent="0.15">
      <c r="B4281" s="888" t="s">
        <v>875</v>
      </c>
      <c r="C4281" s="889"/>
      <c r="D4281" s="889"/>
      <c r="E4281" s="889"/>
      <c r="F4281" s="890"/>
      <c r="G4281" s="63"/>
      <c r="H4281" s="881"/>
      <c r="I4281" s="882"/>
    </row>
    <row r="4282" spans="1:10" ht="12.75" customHeight="1" x14ac:dyDescent="0.15">
      <c r="B4282" s="906" t="s">
        <v>876</v>
      </c>
      <c r="C4282" s="907"/>
      <c r="D4282" s="907"/>
      <c r="E4282" s="907"/>
      <c r="F4282" s="908"/>
      <c r="G4282" s="63"/>
      <c r="H4282" s="883"/>
      <c r="I4282" s="884"/>
    </row>
    <row r="4283" spans="1:10" ht="16.5" customHeight="1" thickBot="1" x14ac:dyDescent="0.2">
      <c r="B4283" s="909"/>
      <c r="C4283" s="910"/>
      <c r="D4283" s="910"/>
      <c r="E4283" s="910"/>
      <c r="F4283" s="911"/>
      <c r="G4283" s="1"/>
      <c r="H4283" s="987" t="s">
        <v>1490</v>
      </c>
      <c r="I4283" s="988"/>
    </row>
    <row r="4284" spans="1:10" ht="13.5" customHeight="1" thickBot="1" x14ac:dyDescent="0.2">
      <c r="B4284" s="15"/>
      <c r="C4284" s="16"/>
      <c r="D4284" s="1"/>
      <c r="E4284" s="1"/>
      <c r="F4284" s="1"/>
      <c r="G4284" s="1"/>
      <c r="H4284" s="989"/>
      <c r="I4284" s="990"/>
    </row>
    <row r="4285" spans="1:10" ht="12.75" customHeight="1" x14ac:dyDescent="0.15">
      <c r="B4285" s="922" t="s">
        <v>836</v>
      </c>
      <c r="C4285" s="923"/>
      <c r="D4285" s="923"/>
      <c r="E4285" s="923"/>
      <c r="F4285" s="924"/>
      <c r="G4285" s="1"/>
      <c r="H4285" s="989"/>
      <c r="I4285" s="990"/>
    </row>
    <row r="4286" spans="1:10" ht="12.75" customHeight="1" x14ac:dyDescent="0.15">
      <c r="B4286" s="925"/>
      <c r="C4286" s="926"/>
      <c r="D4286" s="926"/>
      <c r="E4286" s="926"/>
      <c r="F4286" s="927"/>
      <c r="H4286" s="989"/>
      <c r="I4286" s="990"/>
    </row>
    <row r="4287" spans="1:10" ht="13.5" customHeight="1" x14ac:dyDescent="0.15">
      <c r="B4287" s="925"/>
      <c r="C4287" s="926"/>
      <c r="D4287" s="926"/>
      <c r="E4287" s="926"/>
      <c r="F4287" s="927"/>
      <c r="G4287" s="11"/>
      <c r="H4287" s="991"/>
      <c r="I4287" s="992"/>
    </row>
    <row r="4288" spans="1:10" ht="21.75" customHeight="1" thickBot="1" x14ac:dyDescent="0.2">
      <c r="B4288" s="928"/>
      <c r="C4288" s="929"/>
      <c r="D4288" s="929"/>
      <c r="E4288" s="929"/>
      <c r="F4288" s="930"/>
      <c r="H4288" s="64" t="s">
        <v>45</v>
      </c>
      <c r="I4288" s="17" t="s">
        <v>319</v>
      </c>
    </row>
    <row r="4289" spans="2:9" x14ac:dyDescent="0.15">
      <c r="B4289" s="18"/>
      <c r="C4289" s="18"/>
      <c r="D4289" s="1"/>
      <c r="E4289" s="18"/>
      <c r="F4289" s="18"/>
      <c r="G4289" s="18"/>
      <c r="H4289" s="18"/>
      <c r="I4289" s="1"/>
    </row>
    <row r="4290" spans="2:9" ht="14" thickBot="1" x14ac:dyDescent="0.2">
      <c r="B4290" s="12" t="s">
        <v>21</v>
      </c>
      <c r="C4290" s="12"/>
      <c r="D4290" s="1"/>
      <c r="E4290" s="1"/>
      <c r="F4290" s="1"/>
      <c r="G4290" s="1"/>
      <c r="H4290" s="1"/>
      <c r="I4290" s="1"/>
    </row>
    <row r="4291" spans="2:9" x14ac:dyDescent="0.15">
      <c r="B4291" s="903" t="s">
        <v>22</v>
      </c>
      <c r="C4291" s="904"/>
      <c r="D4291" s="905"/>
      <c r="E4291" s="209" t="s">
        <v>23</v>
      </c>
      <c r="F4291" s="19" t="s">
        <v>47</v>
      </c>
      <c r="G4291" s="209" t="s">
        <v>24</v>
      </c>
      <c r="H4291" s="208" t="s">
        <v>25</v>
      </c>
      <c r="I4291" s="43"/>
    </row>
    <row r="4292" spans="2:9" x14ac:dyDescent="0.15">
      <c r="B4292" s="897" t="s">
        <v>56</v>
      </c>
      <c r="C4292" s="898"/>
      <c r="D4292" s="899"/>
      <c r="E4292" s="5"/>
      <c r="F4292" s="162"/>
      <c r="G4292" s="58"/>
      <c r="H4292" s="162">
        <f>I4311*0.05</f>
        <v>1466.1091666666669</v>
      </c>
      <c r="I4292" s="44"/>
    </row>
    <row r="4293" spans="2:9" ht="14" thickBot="1" x14ac:dyDescent="0.2">
      <c r="B4293" s="900"/>
      <c r="C4293" s="901"/>
      <c r="D4293" s="902"/>
      <c r="E4293" s="21"/>
      <c r="F4293" s="22"/>
      <c r="G4293" s="23"/>
      <c r="H4293" s="47"/>
      <c r="I4293" s="48"/>
    </row>
    <row r="4294" spans="2:9" ht="14" thickBot="1" x14ac:dyDescent="0.2">
      <c r="B4294" s="1"/>
      <c r="C4294" s="1"/>
      <c r="D4294" s="1"/>
      <c r="E4294" s="1"/>
      <c r="F4294" s="1"/>
      <c r="G4294" s="1"/>
      <c r="H4294" s="37" t="s">
        <v>26</v>
      </c>
      <c r="I4294" s="163">
        <f>SUM(H4292:H4293)</f>
        <v>1466.1091666666669</v>
      </c>
    </row>
    <row r="4295" spans="2:9" ht="14" thickBot="1" x14ac:dyDescent="0.2">
      <c r="B4295" s="12" t="s">
        <v>27</v>
      </c>
      <c r="C4295" s="12"/>
      <c r="D4295" s="1"/>
      <c r="E4295" s="1"/>
      <c r="F4295" s="1"/>
      <c r="G4295" s="1"/>
      <c r="H4295" s="1"/>
      <c r="I4295" s="1"/>
    </row>
    <row r="4296" spans="2:9" x14ac:dyDescent="0.15">
      <c r="B4296" s="903" t="s">
        <v>22</v>
      </c>
      <c r="C4296" s="904"/>
      <c r="D4296" s="905"/>
      <c r="E4296" s="209" t="s">
        <v>28</v>
      </c>
      <c r="F4296" s="209" t="s">
        <v>29</v>
      </c>
      <c r="G4296" s="209" t="s">
        <v>30</v>
      </c>
      <c r="H4296" s="208" t="s">
        <v>25</v>
      </c>
      <c r="I4296" s="43"/>
    </row>
    <row r="4297" spans="2:9" x14ac:dyDescent="0.15">
      <c r="B4297" s="4" t="s">
        <v>1495</v>
      </c>
      <c r="C4297" s="24"/>
      <c r="D4297" s="6"/>
      <c r="E4297" s="74" t="s">
        <v>319</v>
      </c>
      <c r="F4297" s="166">
        <f>MATERIALES!C188</f>
        <v>243000.00000000003</v>
      </c>
      <c r="G4297" s="65">
        <v>1</v>
      </c>
      <c r="H4297" s="165">
        <f>G4297*F4297</f>
        <v>243000.00000000003</v>
      </c>
      <c r="I4297" s="44"/>
    </row>
    <row r="4298" spans="2:9" x14ac:dyDescent="0.15">
      <c r="B4298" s="4"/>
      <c r="C4298" s="24"/>
      <c r="D4298" s="6"/>
      <c r="E4298" s="3"/>
      <c r="F4298" s="164"/>
      <c r="G4298" s="65"/>
      <c r="H4298" s="165"/>
      <c r="I4298" s="44"/>
    </row>
    <row r="4299" spans="2:9" ht="14" thickBot="1" x14ac:dyDescent="0.2">
      <c r="B4299" s="25"/>
      <c r="C4299" s="26"/>
      <c r="D4299" s="27"/>
      <c r="E4299" s="21"/>
      <c r="F4299" s="22"/>
      <c r="G4299" s="167"/>
      <c r="H4299" s="47"/>
      <c r="I4299" s="48"/>
    </row>
    <row r="4300" spans="2:9" ht="14" thickBot="1" x14ac:dyDescent="0.2">
      <c r="B4300" s="1"/>
      <c r="C4300" s="1"/>
      <c r="D4300" s="1"/>
      <c r="E4300" s="1"/>
      <c r="F4300" s="1"/>
      <c r="G4300" s="1"/>
      <c r="H4300" s="37" t="s">
        <v>26</v>
      </c>
      <c r="I4300" s="163">
        <f>SUM(H4297:H4298)</f>
        <v>243000.00000000003</v>
      </c>
    </row>
    <row r="4301" spans="2:9" ht="14" thickBot="1" x14ac:dyDescent="0.2">
      <c r="B4301" s="28" t="s">
        <v>31</v>
      </c>
      <c r="C4301" s="28"/>
      <c r="D4301" s="26"/>
      <c r="E4301" s="1"/>
      <c r="F4301" s="1"/>
      <c r="G4301" s="1"/>
      <c r="H4301" s="1"/>
      <c r="I4301" s="1"/>
    </row>
    <row r="4302" spans="2:9" x14ac:dyDescent="0.15">
      <c r="B4302" s="51" t="s">
        <v>32</v>
      </c>
      <c r="C4302" s="52"/>
      <c r="D4302" s="97" t="s">
        <v>33</v>
      </c>
      <c r="E4302" s="209" t="s">
        <v>34</v>
      </c>
      <c r="F4302" s="209" t="s">
        <v>35</v>
      </c>
      <c r="G4302" s="209" t="s">
        <v>36</v>
      </c>
      <c r="H4302" s="59" t="s">
        <v>25</v>
      </c>
      <c r="I4302" s="43"/>
    </row>
    <row r="4303" spans="2:9" x14ac:dyDescent="0.15">
      <c r="B4303" s="4" t="s">
        <v>79</v>
      </c>
      <c r="C4303" s="6"/>
      <c r="D4303" s="53">
        <v>0.1</v>
      </c>
      <c r="E4303" s="2">
        <v>43</v>
      </c>
      <c r="F4303" s="2">
        <f>E4303*D4303</f>
        <v>4.3</v>
      </c>
      <c r="G4303" s="65">
        <v>1100</v>
      </c>
      <c r="H4303" s="20">
        <f>G4303*F4303</f>
        <v>4730</v>
      </c>
      <c r="I4303" s="44"/>
    </row>
    <row r="4304" spans="2:9" ht="14" thickBot="1" x14ac:dyDescent="0.2">
      <c r="B4304" s="33"/>
      <c r="C4304" s="54"/>
      <c r="D4304" s="21"/>
      <c r="E4304" s="22"/>
      <c r="F4304" s="23"/>
      <c r="G4304" s="47"/>
      <c r="H4304" s="21"/>
      <c r="I4304" s="48"/>
    </row>
    <row r="4305" spans="2:9" ht="14" thickBot="1" x14ac:dyDescent="0.2">
      <c r="B4305" s="1"/>
      <c r="C4305" s="1"/>
      <c r="D4305" s="1"/>
      <c r="E4305" s="1"/>
      <c r="F4305" s="1"/>
      <c r="G4305" s="1"/>
      <c r="H4305" s="37" t="s">
        <v>26</v>
      </c>
      <c r="I4305" s="163">
        <f>SUM(H4303:H4304)</f>
        <v>4730</v>
      </c>
    </row>
    <row r="4306" spans="2:9" ht="14" thickBot="1" x14ac:dyDescent="0.2">
      <c r="B4306" s="28" t="s">
        <v>37</v>
      </c>
      <c r="C4306" s="28"/>
      <c r="D4306" s="1"/>
      <c r="E4306" s="1"/>
      <c r="F4306" s="1"/>
      <c r="G4306" s="1"/>
      <c r="H4306" s="1"/>
      <c r="I4306" s="1"/>
    </row>
    <row r="4307" spans="2:9" x14ac:dyDescent="0.15">
      <c r="B4307" s="51" t="s">
        <v>38</v>
      </c>
      <c r="C4307" s="86"/>
      <c r="D4307" s="31" t="s">
        <v>39</v>
      </c>
      <c r="E4307" s="209" t="s">
        <v>40</v>
      </c>
      <c r="F4307" s="19" t="s">
        <v>41</v>
      </c>
      <c r="G4307" s="31" t="s">
        <v>24</v>
      </c>
      <c r="H4307" s="59" t="s">
        <v>25</v>
      </c>
      <c r="I4307" s="43"/>
    </row>
    <row r="4308" spans="2:9" x14ac:dyDescent="0.15">
      <c r="B4308" s="4" t="s">
        <v>65</v>
      </c>
      <c r="C4308" s="24"/>
      <c r="D4308" s="32">
        <f>'MANO DE OBRA'!E15</f>
        <v>95333</v>
      </c>
      <c r="E4308" s="88">
        <v>1.75</v>
      </c>
      <c r="F4308" s="164">
        <f>+E4308*D4308</f>
        <v>166832.75</v>
      </c>
      <c r="G4308" s="79">
        <v>15</v>
      </c>
      <c r="H4308" s="169">
        <f>+F4308/G4308</f>
        <v>11122.183333333332</v>
      </c>
      <c r="I4308" s="44"/>
    </row>
    <row r="4309" spans="2:9" x14ac:dyDescent="0.15">
      <c r="B4309" s="80" t="s">
        <v>64</v>
      </c>
      <c r="C4309" s="24"/>
      <c r="D4309" s="32">
        <f>'MANO DE OBRA'!E14*3</f>
        <v>156000</v>
      </c>
      <c r="E4309" s="88">
        <v>1.75</v>
      </c>
      <c r="F4309" s="164">
        <f>+E4309*D4309</f>
        <v>273000</v>
      </c>
      <c r="G4309" s="79">
        <v>15</v>
      </c>
      <c r="H4309" s="169">
        <f>+F4309/G4309</f>
        <v>18200</v>
      </c>
      <c r="I4309" s="44"/>
    </row>
    <row r="4310" spans="2:9" ht="14" thickBot="1" x14ac:dyDescent="0.2">
      <c r="B4310" s="33"/>
      <c r="C4310" s="34"/>
      <c r="D4310" s="22"/>
      <c r="E4310" s="21"/>
      <c r="F4310" s="22"/>
      <c r="G4310" s="23"/>
      <c r="H4310" s="87"/>
      <c r="I4310" s="44"/>
    </row>
    <row r="4311" spans="2:9" ht="14" thickBot="1" x14ac:dyDescent="0.2">
      <c r="B4311" s="1"/>
      <c r="C4311" s="1"/>
      <c r="D4311" s="1"/>
      <c r="E4311" s="1"/>
      <c r="F4311" s="1"/>
      <c r="G4311" s="1"/>
      <c r="H4311" s="37" t="s">
        <v>26</v>
      </c>
      <c r="I4311" s="163">
        <f>SUM(H4308:H4310)</f>
        <v>29322.183333333334</v>
      </c>
    </row>
    <row r="4312" spans="2:9" ht="14" thickBot="1" x14ac:dyDescent="0.2">
      <c r="B4312" s="1"/>
      <c r="C4312" s="1"/>
      <c r="D4312" s="1"/>
      <c r="E4312" s="1"/>
      <c r="F4312" s="1"/>
      <c r="G4312" s="1"/>
      <c r="H4312" s="61"/>
      <c r="I4312" s="1"/>
    </row>
    <row r="4313" spans="2:9" ht="15" thickBot="1" x14ac:dyDescent="0.2">
      <c r="B4313" s="1"/>
      <c r="C4313" s="1"/>
      <c r="D4313" s="1"/>
      <c r="E4313" s="1"/>
      <c r="F4313" s="35" t="s">
        <v>43</v>
      </c>
      <c r="G4313" s="16"/>
      <c r="H4313" s="16"/>
      <c r="I4313" s="477">
        <f>ROUND((I4294+I4300+I4305+I4311),0)</f>
        <v>278518</v>
      </c>
    </row>
    <row r="4314" spans="2:9" x14ac:dyDescent="0.15">
      <c r="B4314" s="12"/>
      <c r="C4314" s="12"/>
      <c r="D4314" s="1"/>
      <c r="E4314" s="1"/>
      <c r="F4314" s="1"/>
      <c r="G4314" s="1"/>
      <c r="H4314" s="172"/>
      <c r="I4314" s="172"/>
    </row>
    <row r="4315" spans="2:9" x14ac:dyDescent="0.15">
      <c r="B4315" s="16"/>
      <c r="C4315" s="16"/>
      <c r="D4315" s="16"/>
      <c r="E4315" s="16"/>
      <c r="F4315" s="16"/>
      <c r="G4315" s="61"/>
      <c r="H4315" s="173"/>
      <c r="I4315" s="172"/>
    </row>
    <row r="4316" spans="2:9" x14ac:dyDescent="0.15">
      <c r="B4316" s="1"/>
      <c r="C4316" s="1"/>
      <c r="D4316" s="1"/>
      <c r="E4316" s="1"/>
      <c r="F4316" s="1"/>
      <c r="G4316" s="161"/>
      <c r="H4316" s="172"/>
      <c r="I4316" s="172"/>
    </row>
    <row r="4317" spans="2:9" x14ac:dyDescent="0.15">
      <c r="B4317" s="1"/>
      <c r="C4317" s="1"/>
      <c r="D4317" s="1"/>
      <c r="E4317" s="1"/>
      <c r="F4317" s="1"/>
      <c r="G4317" s="161"/>
      <c r="H4317" s="172"/>
      <c r="I4317" s="172"/>
    </row>
    <row r="4318" spans="2:9" x14ac:dyDescent="0.15">
      <c r="B4318" s="1"/>
      <c r="C4318" s="1"/>
      <c r="D4318" s="1"/>
      <c r="E4318" s="1"/>
      <c r="F4318" s="1"/>
      <c r="G4318" s="161"/>
      <c r="H4318" s="172"/>
      <c r="I4318" s="172"/>
    </row>
    <row r="4319" spans="2:9" x14ac:dyDescent="0.15">
      <c r="B4319" s="1"/>
      <c r="C4319" s="1"/>
      <c r="D4319" s="1"/>
      <c r="E4319" s="1"/>
      <c r="F4319" s="1"/>
      <c r="G4319" s="1"/>
      <c r="H4319" s="37"/>
      <c r="I4319" s="172"/>
    </row>
    <row r="4320" spans="2:9" ht="14" x14ac:dyDescent="0.15">
      <c r="B4320" s="102"/>
      <c r="C4320" s="1"/>
      <c r="D4320" s="1"/>
      <c r="E4320" s="1"/>
      <c r="F4320" s="1"/>
      <c r="G4320" s="1"/>
      <c r="H4320" s="1"/>
      <c r="I4320" s="172"/>
    </row>
    <row r="4321" spans="1:10" ht="14" x14ac:dyDescent="0.15">
      <c r="B4321" s="83"/>
      <c r="C4321" s="11"/>
      <c r="D4321" s="1"/>
      <c r="E4321" s="916"/>
      <c r="F4321" s="916"/>
      <c r="G4321" s="916"/>
      <c r="H4321" s="916"/>
      <c r="I4321" s="171"/>
    </row>
    <row r="4322" spans="1:10" x14ac:dyDescent="0.15">
      <c r="B4322" s="11"/>
      <c r="C4322" s="11"/>
      <c r="D4322" s="1"/>
      <c r="E4322" s="155"/>
      <c r="F4322" s="155"/>
      <c r="G4322" s="155"/>
      <c r="H4322" s="155"/>
      <c r="I4322" s="171"/>
    </row>
    <row r="4323" spans="1:10" x14ac:dyDescent="0.15">
      <c r="B4323" s="11"/>
      <c r="C4323" s="11"/>
      <c r="D4323" s="1"/>
      <c r="E4323" s="155"/>
      <c r="F4323" s="155"/>
      <c r="G4323" s="155"/>
      <c r="H4323" s="155"/>
      <c r="I4323" s="171"/>
    </row>
    <row r="4324" spans="1:10" x14ac:dyDescent="0.15">
      <c r="B4324" s="11"/>
      <c r="C4324" s="11"/>
      <c r="D4324" s="1"/>
      <c r="E4324" s="155"/>
      <c r="F4324" s="155"/>
      <c r="G4324" s="155"/>
      <c r="H4324" s="155"/>
      <c r="I4324" s="171"/>
    </row>
    <row r="4325" spans="1:10" x14ac:dyDescent="0.15">
      <c r="B4325" s="11"/>
      <c r="C4325" s="11"/>
      <c r="D4325" s="1"/>
      <c r="E4325" s="155"/>
      <c r="F4325" s="155"/>
      <c r="G4325" s="155"/>
      <c r="H4325" s="155"/>
      <c r="I4325" s="171"/>
    </row>
    <row r="4326" spans="1:10" x14ac:dyDescent="0.15">
      <c r="B4326" s="11"/>
      <c r="C4326" s="11"/>
      <c r="D4326" s="1"/>
      <c r="E4326" s="155"/>
      <c r="F4326" s="155"/>
      <c r="G4326" s="155"/>
      <c r="H4326" s="155"/>
      <c r="I4326" s="171"/>
    </row>
    <row r="4327" spans="1:10" x14ac:dyDescent="0.15">
      <c r="B4327" s="11"/>
      <c r="C4327" s="11"/>
      <c r="D4327" s="1"/>
      <c r="E4327" s="155"/>
      <c r="F4327" s="155"/>
      <c r="G4327" s="155"/>
      <c r="H4327" s="155"/>
      <c r="I4327" s="171"/>
    </row>
    <row r="4328" spans="1:10" x14ac:dyDescent="0.15">
      <c r="B4328" s="11"/>
      <c r="C4328" s="11"/>
      <c r="D4328" s="1"/>
      <c r="E4328" s="155"/>
      <c r="F4328" s="155"/>
      <c r="G4328" s="155"/>
      <c r="H4328" s="155"/>
      <c r="I4328" s="171"/>
    </row>
    <row r="4329" spans="1:10" x14ac:dyDescent="0.15">
      <c r="B4329" s="11"/>
      <c r="C4329" s="11"/>
      <c r="D4329" s="1"/>
      <c r="E4329" s="155"/>
      <c r="F4329" s="155"/>
      <c r="G4329" s="155"/>
      <c r="H4329" s="155"/>
      <c r="I4329" s="171"/>
    </row>
    <row r="4330" spans="1:10" x14ac:dyDescent="0.15">
      <c r="B4330" s="11"/>
      <c r="C4330" s="11"/>
      <c r="D4330" s="1"/>
      <c r="E4330" s="155"/>
      <c r="F4330" s="155"/>
      <c r="G4330" s="155"/>
      <c r="H4330" s="155"/>
      <c r="I4330" s="171"/>
    </row>
    <row r="4331" spans="1:10" ht="14" x14ac:dyDescent="0.15">
      <c r="A4331" s="85"/>
      <c r="B4331" s="83"/>
      <c r="C4331" s="83"/>
      <c r="D4331" s="84"/>
      <c r="E4331" s="83"/>
      <c r="F4331" s="156"/>
      <c r="G4331" s="157"/>
      <c r="H4331" s="158"/>
      <c r="I4331" s="159"/>
      <c r="J4331" s="85"/>
    </row>
    <row r="4332" spans="1:10" ht="14" x14ac:dyDescent="0.15">
      <c r="B4332" s="83"/>
      <c r="C4332" s="11"/>
      <c r="D4332" s="11"/>
      <c r="E4332" s="11"/>
      <c r="F4332" s="938"/>
      <c r="G4332" s="938"/>
      <c r="H4332" s="938"/>
      <c r="I4332" s="938"/>
    </row>
    <row r="4333" spans="1:10" ht="14" x14ac:dyDescent="0.15">
      <c r="A4333" s="85"/>
      <c r="B4333" s="83"/>
      <c r="C4333" s="83"/>
      <c r="D4333" s="84"/>
      <c r="E4333" s="83"/>
      <c r="G4333" s="83"/>
      <c r="H4333" s="83"/>
      <c r="I4333" s="85"/>
      <c r="J4333" s="85"/>
    </row>
    <row r="4334" spans="1:10" x14ac:dyDescent="0.15">
      <c r="B4334" s="11"/>
      <c r="C4334" s="11"/>
      <c r="D4334" s="1"/>
      <c r="E4334" s="155"/>
      <c r="F4334" s="155"/>
      <c r="G4334" s="155"/>
      <c r="H4334" s="155"/>
      <c r="I4334" s="171"/>
    </row>
    <row r="4335" spans="1:10" ht="14" thickBot="1" x14ac:dyDescent="0.2">
      <c r="B4335" s="11"/>
      <c r="C4335" s="11"/>
      <c r="D4335" s="1"/>
      <c r="E4335" s="155"/>
      <c r="F4335" s="155"/>
      <c r="G4335" s="155"/>
      <c r="H4335" s="155"/>
      <c r="I4335" s="171"/>
    </row>
    <row r="4336" spans="1:10" ht="21" customHeight="1" x14ac:dyDescent="0.15">
      <c r="B4336" s="885" t="s">
        <v>874</v>
      </c>
      <c r="C4336" s="886"/>
      <c r="D4336" s="886"/>
      <c r="E4336" s="886"/>
      <c r="F4336" s="887"/>
      <c r="G4336" s="1"/>
      <c r="H4336" s="1011" t="s">
        <v>20</v>
      </c>
      <c r="I4336" s="1012"/>
    </row>
    <row r="4337" spans="2:9" ht="16.5" customHeight="1" x14ac:dyDescent="0.15">
      <c r="B4337" s="888" t="s">
        <v>875</v>
      </c>
      <c r="C4337" s="889"/>
      <c r="D4337" s="889"/>
      <c r="E4337" s="889"/>
      <c r="F4337" s="890"/>
      <c r="G4337" s="63"/>
      <c r="H4337" s="1002" t="s">
        <v>936</v>
      </c>
      <c r="I4337" s="1003"/>
    </row>
    <row r="4338" spans="2:9" ht="12.75" customHeight="1" x14ac:dyDescent="0.15">
      <c r="B4338" s="906" t="s">
        <v>876</v>
      </c>
      <c r="C4338" s="907"/>
      <c r="D4338" s="907"/>
      <c r="E4338" s="907"/>
      <c r="F4338" s="908"/>
      <c r="G4338" s="63"/>
      <c r="H4338" s="1002"/>
      <c r="I4338" s="1003"/>
    </row>
    <row r="4339" spans="2:9" ht="16.5" customHeight="1" thickBot="1" x14ac:dyDescent="0.2">
      <c r="B4339" s="909"/>
      <c r="C4339" s="910"/>
      <c r="D4339" s="910"/>
      <c r="E4339" s="910"/>
      <c r="F4339" s="911"/>
      <c r="G4339" s="1"/>
      <c r="H4339" s="1002"/>
      <c r="I4339" s="1003"/>
    </row>
    <row r="4340" spans="2:9" ht="14" thickBot="1" x14ac:dyDescent="0.2">
      <c r="B4340" s="15"/>
      <c r="C4340" s="16"/>
      <c r="D4340" s="1"/>
      <c r="E4340" s="1"/>
      <c r="F4340" s="1"/>
      <c r="G4340" s="1"/>
      <c r="H4340" s="1002"/>
      <c r="I4340" s="1003"/>
    </row>
    <row r="4341" spans="2:9" ht="12.75" customHeight="1" x14ac:dyDescent="0.15">
      <c r="B4341" s="922" t="s">
        <v>836</v>
      </c>
      <c r="C4341" s="923"/>
      <c r="D4341" s="923"/>
      <c r="E4341" s="923"/>
      <c r="F4341" s="924"/>
      <c r="G4341" s="1"/>
      <c r="H4341" s="1002"/>
      <c r="I4341" s="1003"/>
    </row>
    <row r="4342" spans="2:9" ht="12.75" customHeight="1" x14ac:dyDescent="0.15">
      <c r="B4342" s="925"/>
      <c r="C4342" s="926"/>
      <c r="D4342" s="926"/>
      <c r="E4342" s="926"/>
      <c r="F4342" s="927"/>
      <c r="H4342" s="1002"/>
      <c r="I4342" s="1003"/>
    </row>
    <row r="4343" spans="2:9" ht="13.5" customHeight="1" x14ac:dyDescent="0.15">
      <c r="B4343" s="925"/>
      <c r="C4343" s="926"/>
      <c r="D4343" s="926"/>
      <c r="E4343" s="926"/>
      <c r="F4343" s="927"/>
      <c r="G4343" s="11"/>
      <c r="H4343" s="1002"/>
      <c r="I4343" s="1003"/>
    </row>
    <row r="4344" spans="2:9" ht="21.75" customHeight="1" thickBot="1" x14ac:dyDescent="0.2">
      <c r="B4344" s="928"/>
      <c r="C4344" s="929"/>
      <c r="D4344" s="929"/>
      <c r="E4344" s="929"/>
      <c r="F4344" s="930"/>
      <c r="H4344" s="64" t="s">
        <v>45</v>
      </c>
      <c r="I4344" s="17" t="s">
        <v>7</v>
      </c>
    </row>
    <row r="4345" spans="2:9" x14ac:dyDescent="0.15">
      <c r="B4345" s="18"/>
      <c r="C4345" s="18"/>
      <c r="D4345" s="1"/>
      <c r="E4345" s="18"/>
      <c r="F4345" s="18"/>
      <c r="G4345" s="18"/>
      <c r="H4345" s="18"/>
      <c r="I4345" s="1"/>
    </row>
    <row r="4346" spans="2:9" ht="14" thickBot="1" x14ac:dyDescent="0.2">
      <c r="B4346" s="12" t="s">
        <v>21</v>
      </c>
      <c r="C4346" s="12"/>
      <c r="D4346" s="1"/>
      <c r="E4346" s="1"/>
      <c r="F4346" s="1"/>
      <c r="G4346" s="1"/>
      <c r="H4346" s="1"/>
      <c r="I4346" s="1"/>
    </row>
    <row r="4347" spans="2:9" x14ac:dyDescent="0.15">
      <c r="B4347" s="903" t="s">
        <v>22</v>
      </c>
      <c r="C4347" s="904"/>
      <c r="D4347" s="905"/>
      <c r="E4347" s="209" t="s">
        <v>23</v>
      </c>
      <c r="F4347" s="19" t="s">
        <v>47</v>
      </c>
      <c r="G4347" s="209" t="s">
        <v>24</v>
      </c>
      <c r="H4347" s="208" t="s">
        <v>25</v>
      </c>
      <c r="I4347" s="43"/>
    </row>
    <row r="4348" spans="2:9" x14ac:dyDescent="0.15">
      <c r="B4348" s="897" t="s">
        <v>56</v>
      </c>
      <c r="C4348" s="898"/>
      <c r="D4348" s="899"/>
      <c r="E4348" s="5"/>
      <c r="F4348" s="162"/>
      <c r="G4348" s="58"/>
      <c r="H4348" s="165">
        <v>450</v>
      </c>
      <c r="I4348" s="44"/>
    </row>
    <row r="4349" spans="2:9" ht="14" thickBot="1" x14ac:dyDescent="0.2">
      <c r="B4349" s="900"/>
      <c r="C4349" s="901"/>
      <c r="D4349" s="902"/>
      <c r="E4349" s="21"/>
      <c r="F4349" s="22"/>
      <c r="G4349" s="23"/>
      <c r="H4349" s="47"/>
      <c r="I4349" s="48"/>
    </row>
    <row r="4350" spans="2:9" ht="14" thickBot="1" x14ac:dyDescent="0.2">
      <c r="B4350" s="1"/>
      <c r="C4350" s="1"/>
      <c r="D4350" s="1"/>
      <c r="E4350" s="1"/>
      <c r="F4350" s="1"/>
      <c r="G4350" s="1"/>
      <c r="H4350" s="37" t="s">
        <v>26</v>
      </c>
      <c r="I4350" s="163">
        <f>SUM(H4348:H4349)</f>
        <v>450</v>
      </c>
    </row>
    <row r="4351" spans="2:9" ht="14" thickBot="1" x14ac:dyDescent="0.2">
      <c r="B4351" s="12" t="s">
        <v>27</v>
      </c>
      <c r="C4351" s="12"/>
      <c r="D4351" s="1"/>
      <c r="E4351" s="1"/>
      <c r="F4351" s="1"/>
      <c r="G4351" s="1"/>
      <c r="H4351" s="1"/>
      <c r="I4351" s="1"/>
    </row>
    <row r="4352" spans="2:9" x14ac:dyDescent="0.15">
      <c r="B4352" s="903" t="s">
        <v>22</v>
      </c>
      <c r="C4352" s="904"/>
      <c r="D4352" s="905"/>
      <c r="E4352" s="209" t="s">
        <v>28</v>
      </c>
      <c r="F4352" s="209" t="s">
        <v>29</v>
      </c>
      <c r="G4352" s="209" t="s">
        <v>30</v>
      </c>
      <c r="H4352" s="208" t="s">
        <v>25</v>
      </c>
      <c r="I4352" s="43"/>
    </row>
    <row r="4353" spans="2:9" ht="13.5" customHeight="1" x14ac:dyDescent="0.15">
      <c r="B4353" s="4" t="s">
        <v>932</v>
      </c>
      <c r="C4353" s="24"/>
      <c r="D4353" s="6"/>
      <c r="E4353" s="3" t="s">
        <v>193</v>
      </c>
      <c r="F4353" s="164">
        <f>MATERIALES!F164</f>
        <v>3240</v>
      </c>
      <c r="G4353" s="65">
        <v>3</v>
      </c>
      <c r="H4353" s="165">
        <f t="shared" ref="H4353:H4355" si="28">G4353*F4353</f>
        <v>9720</v>
      </c>
      <c r="I4353" s="44"/>
    </row>
    <row r="4354" spans="2:9" x14ac:dyDescent="0.15">
      <c r="B4354" s="4" t="s">
        <v>934</v>
      </c>
      <c r="C4354" s="24"/>
      <c r="D4354" s="6"/>
      <c r="E4354" s="3" t="s">
        <v>319</v>
      </c>
      <c r="F4354" s="164">
        <f>MATERIALES!F165</f>
        <v>27000</v>
      </c>
      <c r="G4354" s="65">
        <v>0.03</v>
      </c>
      <c r="H4354" s="165">
        <f t="shared" si="28"/>
        <v>810</v>
      </c>
      <c r="I4354" s="44"/>
    </row>
    <row r="4355" spans="2:9" x14ac:dyDescent="0.15">
      <c r="B4355" s="4" t="s">
        <v>933</v>
      </c>
      <c r="C4355" s="24"/>
      <c r="D4355" s="6"/>
      <c r="E4355" s="3" t="s">
        <v>319</v>
      </c>
      <c r="F4355" s="164">
        <f>MATERIALES!C166</f>
        <v>3375</v>
      </c>
      <c r="G4355" s="65">
        <v>0.3</v>
      </c>
      <c r="H4355" s="165">
        <f t="shared" si="28"/>
        <v>1012.5</v>
      </c>
      <c r="I4355" s="44"/>
    </row>
    <row r="4356" spans="2:9" ht="14" thickBot="1" x14ac:dyDescent="0.2">
      <c r="B4356" s="25"/>
      <c r="C4356" s="26"/>
      <c r="D4356" s="27"/>
      <c r="E4356" s="21"/>
      <c r="F4356" s="105"/>
      <c r="G4356" s="167"/>
      <c r="H4356" s="47"/>
      <c r="I4356" s="48"/>
    </row>
    <row r="4357" spans="2:9" ht="14" thickBot="1" x14ac:dyDescent="0.2">
      <c r="B4357" s="1"/>
      <c r="C4357" s="1"/>
      <c r="D4357" s="1"/>
      <c r="E4357" s="1"/>
      <c r="F4357" s="1"/>
      <c r="G4357" s="1"/>
      <c r="H4357" s="37" t="s">
        <v>26</v>
      </c>
      <c r="I4357" s="163">
        <f>SUM(H4353:H4356)</f>
        <v>11542.5</v>
      </c>
    </row>
    <row r="4358" spans="2:9" ht="14" thickBot="1" x14ac:dyDescent="0.2">
      <c r="B4358" s="28" t="s">
        <v>31</v>
      </c>
      <c r="C4358" s="28"/>
      <c r="D4358" s="26"/>
      <c r="E4358" s="1"/>
      <c r="F4358" s="1"/>
      <c r="G4358" s="1"/>
      <c r="H4358" s="1"/>
      <c r="I4358" s="1"/>
    </row>
    <row r="4359" spans="2:9" x14ac:dyDescent="0.15">
      <c r="B4359" s="51" t="s">
        <v>32</v>
      </c>
      <c r="C4359" s="52"/>
      <c r="D4359" s="97" t="s">
        <v>33</v>
      </c>
      <c r="E4359" s="209" t="s">
        <v>34</v>
      </c>
      <c r="F4359" s="209" t="s">
        <v>35</v>
      </c>
      <c r="G4359" s="209" t="s">
        <v>36</v>
      </c>
      <c r="H4359" s="59" t="s">
        <v>25</v>
      </c>
      <c r="I4359" s="43"/>
    </row>
    <row r="4360" spans="2:9" x14ac:dyDescent="0.15">
      <c r="B4360" s="4" t="s">
        <v>79</v>
      </c>
      <c r="C4360" s="6"/>
      <c r="D4360" s="53">
        <v>0.03</v>
      </c>
      <c r="E4360" s="2">
        <v>43</v>
      </c>
      <c r="F4360" s="2">
        <f>E4360*D4360</f>
        <v>1.29</v>
      </c>
      <c r="G4360" s="65">
        <v>1100</v>
      </c>
      <c r="H4360" s="20">
        <f>G4360*F4360</f>
        <v>1419</v>
      </c>
      <c r="I4360" s="44"/>
    </row>
    <row r="4361" spans="2:9" ht="14" thickBot="1" x14ac:dyDescent="0.2">
      <c r="B4361" s="33"/>
      <c r="C4361" s="54"/>
      <c r="D4361" s="21"/>
      <c r="E4361" s="22"/>
      <c r="F4361" s="23"/>
      <c r="G4361" s="47"/>
      <c r="H4361" s="21"/>
      <c r="I4361" s="48"/>
    </row>
    <row r="4362" spans="2:9" ht="14" thickBot="1" x14ac:dyDescent="0.2">
      <c r="B4362" s="1"/>
      <c r="C4362" s="1"/>
      <c r="D4362" s="1"/>
      <c r="E4362" s="1"/>
      <c r="F4362" s="1"/>
      <c r="G4362" s="1"/>
      <c r="H4362" s="37" t="s">
        <v>26</v>
      </c>
      <c r="I4362" s="163">
        <f>SUM(H4360:H4361)</f>
        <v>1419</v>
      </c>
    </row>
    <row r="4363" spans="2:9" ht="14" thickBot="1" x14ac:dyDescent="0.2">
      <c r="B4363" s="28" t="s">
        <v>37</v>
      </c>
      <c r="C4363" s="28"/>
      <c r="D4363" s="1"/>
      <c r="E4363" s="1"/>
      <c r="F4363" s="1"/>
      <c r="G4363" s="1"/>
      <c r="H4363" s="1"/>
      <c r="I4363" s="1"/>
    </row>
    <row r="4364" spans="2:9" x14ac:dyDescent="0.15">
      <c r="B4364" s="51" t="s">
        <v>38</v>
      </c>
      <c r="C4364" s="86"/>
      <c r="D4364" s="31" t="s">
        <v>39</v>
      </c>
      <c r="E4364" s="209" t="s">
        <v>40</v>
      </c>
      <c r="F4364" s="19" t="s">
        <v>41</v>
      </c>
      <c r="G4364" s="31" t="s">
        <v>24</v>
      </c>
      <c r="H4364" s="208" t="s">
        <v>25</v>
      </c>
      <c r="I4364" s="43"/>
    </row>
    <row r="4365" spans="2:9" x14ac:dyDescent="0.15">
      <c r="B4365" s="4" t="s">
        <v>106</v>
      </c>
      <c r="C4365" s="24"/>
      <c r="D4365" s="32">
        <f>'MANO DE OBRA'!E16</f>
        <v>95333</v>
      </c>
      <c r="E4365" s="168">
        <v>1.75</v>
      </c>
      <c r="F4365" s="164">
        <f>+E4365*D4365</f>
        <v>166832.75</v>
      </c>
      <c r="G4365" s="20">
        <v>40</v>
      </c>
      <c r="H4365" s="169">
        <f>+F4365/G4365</f>
        <v>4170.8187500000004</v>
      </c>
      <c r="I4365" s="44"/>
    </row>
    <row r="4366" spans="2:9" x14ac:dyDescent="0.15">
      <c r="B4366" s="4" t="s">
        <v>94</v>
      </c>
      <c r="C4366" s="24"/>
      <c r="D4366" s="32">
        <f>'MANO DE OBRA'!E14*6</f>
        <v>312000</v>
      </c>
      <c r="E4366" s="168">
        <v>1.75</v>
      </c>
      <c r="F4366" s="164">
        <f>+E4366*D4366</f>
        <v>546000</v>
      </c>
      <c r="G4366" s="20">
        <v>40</v>
      </c>
      <c r="H4366" s="169">
        <f>+F4366/G4366</f>
        <v>13650</v>
      </c>
      <c r="I4366" s="44"/>
    </row>
    <row r="4367" spans="2:9" ht="14" thickBot="1" x14ac:dyDescent="0.2">
      <c r="B4367" s="33"/>
      <c r="C4367" s="34"/>
      <c r="D4367" s="22"/>
      <c r="E4367" s="21"/>
      <c r="F4367" s="22"/>
      <c r="G4367" s="23"/>
      <c r="H4367" s="47"/>
      <c r="I4367" s="48"/>
    </row>
    <row r="4368" spans="2:9" ht="14" thickBot="1" x14ac:dyDescent="0.2">
      <c r="B4368" s="1"/>
      <c r="C4368" s="1"/>
      <c r="D4368" s="1"/>
      <c r="E4368" s="1"/>
      <c r="F4368" s="1"/>
      <c r="G4368" s="1"/>
      <c r="H4368" s="37" t="s">
        <v>26</v>
      </c>
      <c r="I4368" s="177">
        <f>SUM(H4365:H4367)</f>
        <v>17820.818749999999</v>
      </c>
    </row>
    <row r="4369" spans="2:9" ht="14" thickBot="1" x14ac:dyDescent="0.2">
      <c r="B4369" s="1"/>
      <c r="C4369" s="1"/>
      <c r="D4369" s="1"/>
      <c r="E4369" s="1"/>
      <c r="F4369" s="1"/>
      <c r="G4369" s="1"/>
      <c r="H4369" s="61"/>
      <c r="I4369" s="1"/>
    </row>
    <row r="4370" spans="2:9" ht="15" thickBot="1" x14ac:dyDescent="0.2">
      <c r="B4370" s="1"/>
      <c r="C4370" s="1"/>
      <c r="D4370" s="1"/>
      <c r="E4370" s="1"/>
      <c r="F4370" s="15" t="s">
        <v>182</v>
      </c>
      <c r="G4370" s="16"/>
      <c r="H4370" s="16"/>
      <c r="I4370" s="232">
        <f>ROUND((I4350+I4357+I4362+I4368),0)</f>
        <v>31232</v>
      </c>
    </row>
    <row r="4371" spans="2:9" x14ac:dyDescent="0.15">
      <c r="B4371" s="12"/>
      <c r="C4371" s="12"/>
      <c r="D4371" s="1"/>
      <c r="E4371" s="1"/>
      <c r="F4371" s="1"/>
      <c r="G4371" s="1"/>
      <c r="H4371" s="172"/>
      <c r="I4371" s="172"/>
    </row>
    <row r="4372" spans="2:9" x14ac:dyDescent="0.15">
      <c r="B4372" s="16"/>
      <c r="C4372" s="16"/>
      <c r="D4372" s="16"/>
      <c r="E4372" s="16"/>
      <c r="F4372" s="16"/>
      <c r="G4372" s="61"/>
      <c r="H4372" s="173"/>
      <c r="I4372" s="172"/>
    </row>
    <row r="4373" spans="2:9" x14ac:dyDescent="0.15">
      <c r="B4373" s="1"/>
      <c r="C4373" s="1"/>
      <c r="D4373" s="1"/>
      <c r="E4373" s="1"/>
      <c r="F4373" s="1"/>
      <c r="G4373" s="161"/>
      <c r="H4373" s="172"/>
      <c r="I4373" s="172"/>
    </row>
    <row r="4374" spans="2:9" x14ac:dyDescent="0.15">
      <c r="B4374" s="1"/>
      <c r="C4374" s="1"/>
      <c r="D4374" s="1"/>
      <c r="E4374" s="1"/>
      <c r="F4374" s="1"/>
      <c r="G4374" s="161"/>
      <c r="H4374" s="172"/>
      <c r="I4374" s="172"/>
    </row>
    <row r="4375" spans="2:9" x14ac:dyDescent="0.15">
      <c r="B4375" s="1"/>
      <c r="C4375" s="1"/>
      <c r="D4375" s="1"/>
      <c r="E4375" s="1"/>
      <c r="F4375" s="1"/>
      <c r="G4375" s="1"/>
      <c r="H4375" s="37"/>
      <c r="I4375" s="172"/>
    </row>
    <row r="4376" spans="2:9" ht="14" x14ac:dyDescent="0.15">
      <c r="B4376" s="102"/>
      <c r="C4376" s="1"/>
      <c r="D4376" s="1"/>
      <c r="E4376" s="1"/>
      <c r="F4376" s="1"/>
      <c r="G4376" s="1"/>
      <c r="H4376" s="37"/>
      <c r="I4376" s="172"/>
    </row>
    <row r="4377" spans="2:9" ht="14" x14ac:dyDescent="0.15">
      <c r="B4377" s="83"/>
      <c r="C4377" s="1"/>
      <c r="D4377" s="1"/>
      <c r="E4377" s="1"/>
      <c r="F4377" s="1"/>
      <c r="G4377" s="1"/>
      <c r="H4377" s="1"/>
      <c r="I4377" s="172"/>
    </row>
    <row r="4378" spans="2:9" ht="14" x14ac:dyDescent="0.15">
      <c r="B4378" s="102"/>
      <c r="C4378" s="11"/>
      <c r="D4378" s="1"/>
      <c r="E4378" s="155"/>
      <c r="F4378" s="155"/>
      <c r="G4378" s="155"/>
      <c r="H4378" s="155"/>
      <c r="I4378" s="171"/>
    </row>
    <row r="4379" spans="2:9" ht="14" x14ac:dyDescent="0.15">
      <c r="B4379" s="83"/>
      <c r="C4379" s="11"/>
      <c r="D4379" s="1"/>
      <c r="E4379" s="155"/>
      <c r="F4379" s="155"/>
      <c r="G4379" s="155"/>
      <c r="H4379" s="155"/>
      <c r="I4379" s="171"/>
    </row>
    <row r="4380" spans="2:9" ht="14" x14ac:dyDescent="0.15">
      <c r="B4380" s="83"/>
      <c r="C4380" s="11"/>
      <c r="D4380" s="1"/>
      <c r="E4380" s="155"/>
      <c r="F4380" s="155"/>
      <c r="G4380" s="155"/>
      <c r="H4380" s="155"/>
      <c r="I4380" s="171"/>
    </row>
    <row r="4381" spans="2:9" ht="14" x14ac:dyDescent="0.15">
      <c r="B4381" s="83"/>
      <c r="C4381" s="11"/>
      <c r="D4381" s="1"/>
      <c r="E4381" s="155"/>
      <c r="F4381" s="155"/>
      <c r="G4381" s="155"/>
      <c r="H4381" s="155"/>
      <c r="I4381" s="171"/>
    </row>
    <row r="4382" spans="2:9" ht="14" x14ac:dyDescent="0.15">
      <c r="B4382" s="83"/>
      <c r="C4382" s="11"/>
      <c r="D4382" s="1"/>
      <c r="E4382" s="155"/>
      <c r="F4382" s="155"/>
      <c r="G4382" s="155"/>
      <c r="H4382" s="155"/>
      <c r="I4382" s="171"/>
    </row>
    <row r="4383" spans="2:9" ht="14" x14ac:dyDescent="0.15">
      <c r="B4383" s="83"/>
      <c r="C4383" s="11"/>
      <c r="D4383" s="1"/>
      <c r="E4383" s="155"/>
      <c r="F4383" s="155"/>
      <c r="G4383" s="155"/>
      <c r="H4383" s="155"/>
      <c r="I4383" s="171"/>
    </row>
    <row r="4384" spans="2:9" x14ac:dyDescent="0.15">
      <c r="B4384" s="11"/>
      <c r="C4384" s="11"/>
      <c r="D4384" s="1"/>
      <c r="E4384" s="155"/>
      <c r="F4384" s="155"/>
      <c r="G4384" s="155"/>
      <c r="H4384" s="155"/>
      <c r="I4384" s="171"/>
    </row>
    <row r="4385" spans="2:10" x14ac:dyDescent="0.15">
      <c r="B4385" s="11"/>
      <c r="C4385" s="11"/>
      <c r="D4385" s="1"/>
      <c r="E4385" s="155"/>
      <c r="F4385" s="155"/>
      <c r="G4385" s="155"/>
      <c r="H4385" s="155"/>
      <c r="I4385" s="171"/>
    </row>
    <row r="4386" spans="2:10" x14ac:dyDescent="0.15">
      <c r="B4386" s="11"/>
      <c r="C4386" s="11"/>
      <c r="D4386" s="1"/>
      <c r="E4386" s="155"/>
      <c r="F4386" s="155"/>
      <c r="G4386" s="155"/>
      <c r="H4386" s="155"/>
      <c r="I4386" s="171"/>
    </row>
    <row r="4387" spans="2:10" x14ac:dyDescent="0.15">
      <c r="B4387" s="11"/>
      <c r="C4387" s="11"/>
      <c r="D4387" s="1"/>
      <c r="E4387" s="155"/>
      <c r="F4387" s="155"/>
      <c r="G4387" s="155"/>
      <c r="H4387" s="155"/>
      <c r="I4387" s="171"/>
    </row>
    <row r="4388" spans="2:10" ht="14" x14ac:dyDescent="0.15">
      <c r="B4388" s="102"/>
      <c r="C4388" s="83"/>
      <c r="D4388" s="84"/>
      <c r="E4388" s="83"/>
      <c r="F4388" s="83"/>
      <c r="G4388" s="103"/>
      <c r="H4388" s="83"/>
      <c r="I4388" s="85"/>
      <c r="J4388" s="85"/>
    </row>
    <row r="4390" spans="2:10" ht="14" thickBot="1" x14ac:dyDescent="0.2"/>
    <row r="4391" spans="2:10" ht="21" customHeight="1" x14ac:dyDescent="0.15">
      <c r="B4391" s="885" t="s">
        <v>874</v>
      </c>
      <c r="C4391" s="886"/>
      <c r="D4391" s="886"/>
      <c r="E4391" s="886"/>
      <c r="F4391" s="887"/>
      <c r="G4391" s="1"/>
      <c r="H4391" s="879" t="s">
        <v>20</v>
      </c>
      <c r="I4391" s="880"/>
    </row>
    <row r="4392" spans="2:10" ht="16.5" customHeight="1" x14ac:dyDescent="0.15">
      <c r="B4392" s="888" t="s">
        <v>875</v>
      </c>
      <c r="C4392" s="889"/>
      <c r="D4392" s="889"/>
      <c r="E4392" s="889"/>
      <c r="F4392" s="890"/>
      <c r="G4392" s="63"/>
      <c r="H4392" s="881"/>
      <c r="I4392" s="882"/>
    </row>
    <row r="4393" spans="2:10" ht="12.75" customHeight="1" x14ac:dyDescent="0.15">
      <c r="B4393" s="906" t="s">
        <v>876</v>
      </c>
      <c r="C4393" s="907"/>
      <c r="D4393" s="907"/>
      <c r="E4393" s="907"/>
      <c r="F4393" s="908"/>
      <c r="G4393" s="63"/>
      <c r="H4393" s="883"/>
      <c r="I4393" s="884"/>
    </row>
    <row r="4394" spans="2:10" ht="16.5" customHeight="1" thickBot="1" x14ac:dyDescent="0.2">
      <c r="B4394" s="909"/>
      <c r="C4394" s="910"/>
      <c r="D4394" s="910"/>
      <c r="E4394" s="910"/>
      <c r="F4394" s="911"/>
      <c r="G4394" s="1"/>
      <c r="H4394" s="873" t="s">
        <v>937</v>
      </c>
      <c r="I4394" s="874"/>
    </row>
    <row r="4395" spans="2:10" ht="14" thickBot="1" x14ac:dyDescent="0.2">
      <c r="B4395" s="15"/>
      <c r="C4395" s="16"/>
      <c r="D4395" s="1"/>
      <c r="E4395" s="1"/>
      <c r="F4395" s="1"/>
      <c r="G4395" s="1"/>
      <c r="H4395" s="875"/>
      <c r="I4395" s="876"/>
    </row>
    <row r="4396" spans="2:10" ht="12.75" customHeight="1" x14ac:dyDescent="0.15">
      <c r="B4396" s="922" t="s">
        <v>836</v>
      </c>
      <c r="C4396" s="923"/>
      <c r="D4396" s="923"/>
      <c r="E4396" s="923"/>
      <c r="F4396" s="924"/>
      <c r="G4396" s="1"/>
      <c r="H4396" s="875"/>
      <c r="I4396" s="876"/>
    </row>
    <row r="4397" spans="2:10" ht="12.75" customHeight="1" x14ac:dyDescent="0.15">
      <c r="B4397" s="925"/>
      <c r="C4397" s="926"/>
      <c r="D4397" s="926"/>
      <c r="E4397" s="926"/>
      <c r="F4397" s="927"/>
      <c r="H4397" s="875"/>
      <c r="I4397" s="876"/>
    </row>
    <row r="4398" spans="2:10" ht="13.5" customHeight="1" x14ac:dyDescent="0.15">
      <c r="B4398" s="925"/>
      <c r="C4398" s="926"/>
      <c r="D4398" s="926"/>
      <c r="E4398" s="926"/>
      <c r="F4398" s="927"/>
      <c r="G4398" s="11"/>
      <c r="H4398" s="877"/>
      <c r="I4398" s="878"/>
    </row>
    <row r="4399" spans="2:10" ht="21.75" customHeight="1" thickBot="1" x14ac:dyDescent="0.2">
      <c r="B4399" s="928"/>
      <c r="C4399" s="929"/>
      <c r="D4399" s="929"/>
      <c r="E4399" s="929"/>
      <c r="F4399" s="930"/>
      <c r="H4399" s="64" t="s">
        <v>45</v>
      </c>
      <c r="I4399" s="17" t="s">
        <v>319</v>
      </c>
    </row>
    <row r="4400" spans="2:10" x14ac:dyDescent="0.15">
      <c r="B4400" s="18"/>
      <c r="C4400" s="18"/>
      <c r="D4400" s="1"/>
      <c r="E4400" s="18"/>
      <c r="F4400" s="18"/>
      <c r="G4400" s="18"/>
      <c r="H4400" s="18"/>
      <c r="I4400" s="1"/>
    </row>
    <row r="4401" spans="2:9" ht="14" thickBot="1" x14ac:dyDescent="0.2">
      <c r="B4401" s="12" t="s">
        <v>21</v>
      </c>
      <c r="C4401" s="12"/>
      <c r="D4401" s="1"/>
      <c r="E4401" s="1"/>
      <c r="F4401" s="1"/>
      <c r="G4401" s="1"/>
      <c r="H4401" s="1"/>
      <c r="I4401" s="1"/>
    </row>
    <row r="4402" spans="2:9" x14ac:dyDescent="0.15">
      <c r="B4402" s="903" t="s">
        <v>22</v>
      </c>
      <c r="C4402" s="904"/>
      <c r="D4402" s="905"/>
      <c r="E4402" s="209" t="s">
        <v>23</v>
      </c>
      <c r="F4402" s="19" t="s">
        <v>47</v>
      </c>
      <c r="G4402" s="209" t="s">
        <v>24</v>
      </c>
      <c r="H4402" s="208" t="s">
        <v>25</v>
      </c>
      <c r="I4402" s="43"/>
    </row>
    <row r="4403" spans="2:9" x14ac:dyDescent="0.15">
      <c r="B4403" s="897" t="s">
        <v>56</v>
      </c>
      <c r="C4403" s="898"/>
      <c r="D4403" s="899"/>
      <c r="E4403" s="5"/>
      <c r="F4403" s="162"/>
      <c r="G4403" s="58"/>
      <c r="H4403" s="165">
        <f>I4422*0.05</f>
        <v>17441.637500000001</v>
      </c>
      <c r="I4403" s="44"/>
    </row>
    <row r="4404" spans="2:9" ht="14" thickBot="1" x14ac:dyDescent="0.2">
      <c r="B4404" s="900"/>
      <c r="C4404" s="901"/>
      <c r="D4404" s="902"/>
      <c r="E4404" s="21"/>
      <c r="F4404" s="22"/>
      <c r="G4404" s="23"/>
      <c r="H4404" s="47"/>
      <c r="I4404" s="48"/>
    </row>
    <row r="4405" spans="2:9" ht="14" thickBot="1" x14ac:dyDescent="0.2">
      <c r="B4405" s="1"/>
      <c r="C4405" s="1"/>
      <c r="D4405" s="1"/>
      <c r="E4405" s="1"/>
      <c r="F4405" s="1"/>
      <c r="G4405" s="1"/>
      <c r="H4405" s="37" t="s">
        <v>26</v>
      </c>
      <c r="I4405" s="163">
        <f>SUM(H4403:H4404)</f>
        <v>17441.637500000001</v>
      </c>
    </row>
    <row r="4406" spans="2:9" ht="14" thickBot="1" x14ac:dyDescent="0.2">
      <c r="B4406" s="12" t="s">
        <v>27</v>
      </c>
      <c r="C4406" s="12"/>
      <c r="D4406" s="1"/>
      <c r="E4406" s="1"/>
      <c r="F4406" s="1"/>
      <c r="G4406" s="1"/>
      <c r="H4406" s="1"/>
      <c r="I4406" s="1"/>
    </row>
    <row r="4407" spans="2:9" x14ac:dyDescent="0.15">
      <c r="B4407" s="903" t="s">
        <v>22</v>
      </c>
      <c r="C4407" s="904"/>
      <c r="D4407" s="905"/>
      <c r="E4407" s="209" t="s">
        <v>28</v>
      </c>
      <c r="F4407" s="209" t="s">
        <v>29</v>
      </c>
      <c r="G4407" s="209" t="s">
        <v>30</v>
      </c>
      <c r="H4407" s="208" t="s">
        <v>25</v>
      </c>
      <c r="I4407" s="43"/>
    </row>
    <row r="4408" spans="2:9" ht="27" customHeight="1" x14ac:dyDescent="0.15">
      <c r="B4408" s="917" t="s">
        <v>938</v>
      </c>
      <c r="C4408" s="918"/>
      <c r="D4408" s="919"/>
      <c r="E4408" s="3" t="s">
        <v>319</v>
      </c>
      <c r="F4408" s="164">
        <f>MATERIALES!C167</f>
        <v>650000</v>
      </c>
      <c r="G4408" s="65">
        <v>1</v>
      </c>
      <c r="H4408" s="165">
        <f>G4408*F4408</f>
        <v>650000</v>
      </c>
      <c r="I4408" s="44"/>
    </row>
    <row r="4409" spans="2:9" ht="14" thickBot="1" x14ac:dyDescent="0.2">
      <c r="B4409" s="25"/>
      <c r="C4409" s="26"/>
      <c r="D4409" s="27"/>
      <c r="E4409" s="21"/>
      <c r="F4409" s="105" t="s">
        <v>418</v>
      </c>
      <c r="G4409" s="167"/>
      <c r="H4409" s="47"/>
      <c r="I4409" s="48"/>
    </row>
    <row r="4410" spans="2:9" ht="14" thickBot="1" x14ac:dyDescent="0.2">
      <c r="B4410" s="1"/>
      <c r="C4410" s="1"/>
      <c r="D4410" s="1"/>
      <c r="E4410" s="1"/>
      <c r="F4410" s="1"/>
      <c r="G4410" s="1"/>
      <c r="H4410" s="37" t="s">
        <v>26</v>
      </c>
      <c r="I4410" s="163">
        <f>SUM(H4408:H4409)</f>
        <v>650000</v>
      </c>
    </row>
    <row r="4411" spans="2:9" ht="14" thickBot="1" x14ac:dyDescent="0.2">
      <c r="B4411" s="28" t="s">
        <v>31</v>
      </c>
      <c r="C4411" s="28"/>
      <c r="D4411" s="26"/>
      <c r="E4411" s="1"/>
      <c r="F4411" s="1"/>
      <c r="G4411" s="1"/>
      <c r="H4411" s="1"/>
      <c r="I4411" s="1"/>
    </row>
    <row r="4412" spans="2:9" x14ac:dyDescent="0.15">
      <c r="B4412" s="51" t="s">
        <v>32</v>
      </c>
      <c r="C4412" s="52"/>
      <c r="D4412" s="97" t="s">
        <v>33</v>
      </c>
      <c r="E4412" s="209" t="s">
        <v>34</v>
      </c>
      <c r="F4412" s="209" t="s">
        <v>35</v>
      </c>
      <c r="G4412" s="209" t="s">
        <v>36</v>
      </c>
      <c r="H4412" s="59" t="s">
        <v>25</v>
      </c>
      <c r="I4412" s="43"/>
    </row>
    <row r="4413" spans="2:9" x14ac:dyDescent="0.15">
      <c r="B4413" s="4" t="s">
        <v>79</v>
      </c>
      <c r="C4413" s="6"/>
      <c r="D4413" s="53">
        <v>1</v>
      </c>
      <c r="E4413" s="2">
        <v>43</v>
      </c>
      <c r="F4413" s="2">
        <f>E4413*D4413</f>
        <v>43</v>
      </c>
      <c r="G4413" s="65">
        <v>1100</v>
      </c>
      <c r="H4413" s="20">
        <f>G4413*F4413</f>
        <v>47300</v>
      </c>
      <c r="I4413" s="44"/>
    </row>
    <row r="4414" spans="2:9" x14ac:dyDescent="0.15">
      <c r="B4414" s="107"/>
      <c r="C4414" s="66"/>
      <c r="D4414" s="67"/>
      <c r="E4414" s="68"/>
      <c r="F4414" s="68"/>
      <c r="G4414" s="69"/>
      <c r="H4414" s="65"/>
      <c r="I4414" s="44"/>
    </row>
    <row r="4415" spans="2:9" ht="14" thickBot="1" x14ac:dyDescent="0.2">
      <c r="B4415" s="33"/>
      <c r="C4415" s="54"/>
      <c r="D4415" s="21"/>
      <c r="E4415" s="22"/>
      <c r="F4415" s="23"/>
      <c r="G4415" s="47"/>
      <c r="H4415" s="21"/>
      <c r="I4415" s="48"/>
    </row>
    <row r="4416" spans="2:9" ht="14" thickBot="1" x14ac:dyDescent="0.2">
      <c r="B4416" s="1"/>
      <c r="C4416" s="1"/>
      <c r="D4416" s="1"/>
      <c r="E4416" s="1"/>
      <c r="F4416" s="1"/>
      <c r="G4416" s="1"/>
      <c r="H4416" s="37" t="s">
        <v>26</v>
      </c>
      <c r="I4416" s="163">
        <f>SUM(H4413:H4415)</f>
        <v>47300</v>
      </c>
    </row>
    <row r="4417" spans="2:9" ht="14" thickBot="1" x14ac:dyDescent="0.2">
      <c r="B4417" s="28" t="s">
        <v>37</v>
      </c>
      <c r="C4417" s="28"/>
      <c r="D4417" s="1"/>
      <c r="E4417" s="1"/>
      <c r="F4417" s="1"/>
      <c r="G4417" s="1"/>
      <c r="H4417" s="1"/>
      <c r="I4417" s="1"/>
    </row>
    <row r="4418" spans="2:9" x14ac:dyDescent="0.15">
      <c r="B4418" s="51" t="s">
        <v>38</v>
      </c>
      <c r="C4418" s="86"/>
      <c r="D4418" s="31" t="s">
        <v>39</v>
      </c>
      <c r="E4418" s="209" t="s">
        <v>40</v>
      </c>
      <c r="F4418" s="19" t="s">
        <v>41</v>
      </c>
      <c r="G4418" s="31" t="s">
        <v>24</v>
      </c>
      <c r="H4418" s="208" t="s">
        <v>25</v>
      </c>
      <c r="I4418" s="43"/>
    </row>
    <row r="4419" spans="2:9" x14ac:dyDescent="0.15">
      <c r="B4419" s="4" t="s">
        <v>106</v>
      </c>
      <c r="C4419" s="24"/>
      <c r="D4419" s="32">
        <f>'MANO DE OBRA'!E16</f>
        <v>95333</v>
      </c>
      <c r="E4419" s="168">
        <v>1.75</v>
      </c>
      <c r="F4419" s="164">
        <f>+E4419*D4419</f>
        <v>166832.75</v>
      </c>
      <c r="G4419" s="20">
        <v>1</v>
      </c>
      <c r="H4419" s="169">
        <f>+F4419/G4419</f>
        <v>166832.75</v>
      </c>
      <c r="I4419" s="44"/>
    </row>
    <row r="4420" spans="2:9" x14ac:dyDescent="0.15">
      <c r="B4420" s="4" t="s">
        <v>55</v>
      </c>
      <c r="C4420" s="24"/>
      <c r="D4420" s="32">
        <f>'MANO DE OBRA'!E14*2</f>
        <v>104000</v>
      </c>
      <c r="E4420" s="168">
        <v>1.75</v>
      </c>
      <c r="F4420" s="164">
        <f>+E4420*D4420</f>
        <v>182000</v>
      </c>
      <c r="G4420" s="20">
        <v>1</v>
      </c>
      <c r="H4420" s="169">
        <f>+F4420/G4420</f>
        <v>182000</v>
      </c>
      <c r="I4420" s="44"/>
    </row>
    <row r="4421" spans="2:9" ht="14" thickBot="1" x14ac:dyDescent="0.2">
      <c r="B4421" s="33"/>
      <c r="C4421" s="34"/>
      <c r="D4421" s="22"/>
      <c r="E4421" s="21"/>
      <c r="F4421" s="22"/>
      <c r="G4421" s="23"/>
      <c r="H4421" s="47"/>
      <c r="I4421" s="48"/>
    </row>
    <row r="4422" spans="2:9" ht="14" thickBot="1" x14ac:dyDescent="0.2">
      <c r="B4422" s="1"/>
      <c r="C4422" s="1"/>
      <c r="D4422" s="1"/>
      <c r="E4422" s="1"/>
      <c r="F4422" s="1"/>
      <c r="G4422" s="1"/>
      <c r="H4422" s="37" t="s">
        <v>26</v>
      </c>
      <c r="I4422" s="177">
        <f>SUM(H4419:H4421)</f>
        <v>348832.75</v>
      </c>
    </row>
    <row r="4423" spans="2:9" ht="14" thickBot="1" x14ac:dyDescent="0.2">
      <c r="B4423" s="1"/>
      <c r="C4423" s="1"/>
      <c r="D4423" s="1"/>
      <c r="E4423" s="1"/>
      <c r="F4423" s="1"/>
      <c r="G4423" s="1"/>
      <c r="H4423" s="61"/>
      <c r="I4423" s="1"/>
    </row>
    <row r="4424" spans="2:9" ht="15" thickBot="1" x14ac:dyDescent="0.2">
      <c r="B4424" s="1"/>
      <c r="C4424" s="1"/>
      <c r="D4424" s="1"/>
      <c r="E4424" s="1"/>
      <c r="F4424" s="35" t="s">
        <v>43</v>
      </c>
      <c r="G4424" s="16"/>
      <c r="H4424" s="16"/>
      <c r="I4424" s="232">
        <f>ROUND((I4405+I4410+I4416+I4422),0)</f>
        <v>1063574</v>
      </c>
    </row>
    <row r="4425" spans="2:9" x14ac:dyDescent="0.15">
      <c r="B4425" s="12"/>
      <c r="C4425" s="12"/>
      <c r="D4425" s="1"/>
      <c r="E4425" s="1"/>
      <c r="F4425" s="1"/>
      <c r="G4425" s="1"/>
      <c r="H4425" s="172"/>
      <c r="I4425" s="172"/>
    </row>
    <row r="4426" spans="2:9" x14ac:dyDescent="0.15">
      <c r="B4426" s="16"/>
      <c r="C4426" s="16"/>
      <c r="D4426" s="16"/>
      <c r="E4426" s="16"/>
      <c r="F4426" s="16"/>
      <c r="G4426" s="61"/>
      <c r="H4426" s="173"/>
      <c r="I4426" s="172"/>
    </row>
    <row r="4427" spans="2:9" x14ac:dyDescent="0.15">
      <c r="B4427" s="1"/>
      <c r="C4427" s="1"/>
      <c r="D4427" s="1"/>
      <c r="E4427" s="1"/>
      <c r="F4427" s="1"/>
      <c r="G4427" s="161"/>
      <c r="H4427" s="172"/>
      <c r="I4427" s="172"/>
    </row>
    <row r="4428" spans="2:9" x14ac:dyDescent="0.15">
      <c r="B4428" s="1"/>
      <c r="C4428" s="1"/>
      <c r="D4428" s="1"/>
      <c r="E4428" s="1"/>
      <c r="F4428" s="1"/>
      <c r="G4428" s="161"/>
      <c r="H4428" s="172"/>
      <c r="I4428" s="172"/>
    </row>
    <row r="4429" spans="2:9" x14ac:dyDescent="0.15">
      <c r="B4429" s="1"/>
      <c r="C4429" s="1"/>
      <c r="D4429" s="1"/>
      <c r="E4429" s="1"/>
      <c r="F4429" s="1"/>
      <c r="G4429" s="161"/>
      <c r="H4429" s="172"/>
      <c r="I4429" s="172"/>
    </row>
    <row r="4430" spans="2:9" x14ac:dyDescent="0.15">
      <c r="B4430" s="1"/>
      <c r="C4430" s="1"/>
      <c r="D4430" s="1"/>
      <c r="E4430" s="1"/>
      <c r="F4430" s="1"/>
      <c r="G4430" s="1"/>
      <c r="H4430" s="37"/>
      <c r="I4430" s="172"/>
    </row>
    <row r="4431" spans="2:9" ht="14" x14ac:dyDescent="0.15">
      <c r="B4431" s="102"/>
      <c r="C4431" s="1"/>
      <c r="D4431" s="1"/>
      <c r="E4431" s="1"/>
      <c r="F4431" s="1"/>
      <c r="G4431" s="1"/>
      <c r="H4431" s="1"/>
      <c r="I4431" s="172"/>
    </row>
    <row r="4432" spans="2:9" ht="14" x14ac:dyDescent="0.15">
      <c r="B4432" s="83"/>
      <c r="C4432" s="11"/>
      <c r="D4432" s="1"/>
      <c r="E4432" s="916"/>
      <c r="F4432" s="916"/>
      <c r="G4432" s="916"/>
      <c r="H4432" s="916"/>
      <c r="I4432" s="171"/>
    </row>
    <row r="4433" spans="2:10" ht="14" x14ac:dyDescent="0.15">
      <c r="B4433" s="102"/>
      <c r="C4433" s="11"/>
      <c r="D4433" s="1"/>
      <c r="E4433" s="155"/>
      <c r="F4433" s="155"/>
      <c r="G4433" s="155"/>
      <c r="H4433" s="155"/>
      <c r="I4433" s="171"/>
    </row>
    <row r="4434" spans="2:10" ht="14" x14ac:dyDescent="0.15">
      <c r="B4434" s="83"/>
      <c r="C4434" s="11"/>
      <c r="D4434" s="1"/>
      <c r="E4434" s="155"/>
      <c r="F4434" s="155"/>
      <c r="G4434" s="155"/>
      <c r="H4434" s="155"/>
      <c r="I4434" s="171"/>
    </row>
    <row r="4435" spans="2:10" x14ac:dyDescent="0.15">
      <c r="B4435" s="11"/>
      <c r="C4435" s="11"/>
      <c r="D4435" s="1"/>
      <c r="E4435" s="155"/>
      <c r="F4435" s="155"/>
      <c r="G4435" s="155"/>
      <c r="H4435" s="155"/>
      <c r="I4435" s="171"/>
    </row>
    <row r="4436" spans="2:10" x14ac:dyDescent="0.15">
      <c r="B4436" s="11"/>
      <c r="C4436" s="11"/>
      <c r="D4436" s="1"/>
      <c r="E4436" s="155"/>
      <c r="F4436" s="155"/>
      <c r="G4436" s="155"/>
      <c r="H4436" s="155"/>
      <c r="I4436" s="171"/>
    </row>
    <row r="4437" spans="2:10" x14ac:dyDescent="0.15">
      <c r="B4437" s="11"/>
      <c r="C4437" s="11"/>
      <c r="D4437" s="1"/>
      <c r="E4437" s="155"/>
      <c r="F4437" s="155"/>
      <c r="G4437" s="155"/>
      <c r="H4437" s="155"/>
      <c r="I4437" s="171"/>
    </row>
    <row r="4438" spans="2:10" x14ac:dyDescent="0.15">
      <c r="B4438" s="11"/>
      <c r="C4438" s="11"/>
      <c r="D4438" s="1"/>
      <c r="E4438" s="155"/>
      <c r="F4438" s="155"/>
      <c r="G4438" s="155"/>
      <c r="H4438" s="155"/>
      <c r="I4438" s="171"/>
    </row>
    <row r="4439" spans="2:10" x14ac:dyDescent="0.15">
      <c r="B4439" s="11"/>
      <c r="C4439" s="11"/>
      <c r="D4439" s="1"/>
      <c r="E4439" s="155"/>
      <c r="F4439" s="155"/>
      <c r="G4439" s="155"/>
      <c r="H4439" s="155"/>
      <c r="I4439" s="171"/>
    </row>
    <row r="4440" spans="2:10" x14ac:dyDescent="0.15">
      <c r="B4440" s="11"/>
      <c r="C4440" s="11"/>
      <c r="D4440" s="1"/>
      <c r="E4440" s="155"/>
      <c r="F4440" s="155"/>
      <c r="G4440" s="155"/>
      <c r="H4440" s="155"/>
      <c r="I4440" s="171"/>
    </row>
    <row r="4443" spans="2:10" ht="14" x14ac:dyDescent="0.15">
      <c r="B4443" s="83"/>
      <c r="C4443" s="83"/>
      <c r="D4443" s="84"/>
      <c r="E4443" s="83"/>
      <c r="F4443" s="83"/>
      <c r="G4443" s="104"/>
      <c r="H4443" s="83"/>
      <c r="I4443" s="85"/>
      <c r="J4443" s="85"/>
    </row>
    <row r="4445" spans="2:10" ht="14" thickBot="1" x14ac:dyDescent="0.2"/>
    <row r="4446" spans="2:10" ht="21" customHeight="1" x14ac:dyDescent="0.15">
      <c r="B4446" s="885" t="s">
        <v>874</v>
      </c>
      <c r="C4446" s="886"/>
      <c r="D4446" s="886"/>
      <c r="E4446" s="886"/>
      <c r="F4446" s="887"/>
      <c r="G4446" s="1"/>
      <c r="H4446" s="879" t="s">
        <v>20</v>
      </c>
      <c r="I4446" s="880"/>
    </row>
    <row r="4447" spans="2:10" ht="16.5" customHeight="1" x14ac:dyDescent="0.15">
      <c r="B4447" s="888" t="s">
        <v>875</v>
      </c>
      <c r="C4447" s="889"/>
      <c r="D4447" s="889"/>
      <c r="E4447" s="889"/>
      <c r="F4447" s="890"/>
      <c r="G4447" s="63"/>
      <c r="H4447" s="881"/>
      <c r="I4447" s="882"/>
    </row>
    <row r="4448" spans="2:10" ht="12.75" customHeight="1" x14ac:dyDescent="0.15">
      <c r="B4448" s="906" t="s">
        <v>876</v>
      </c>
      <c r="C4448" s="907"/>
      <c r="D4448" s="907"/>
      <c r="E4448" s="907"/>
      <c r="F4448" s="908"/>
      <c r="G4448" s="63"/>
      <c r="H4448" s="883"/>
      <c r="I4448" s="884"/>
    </row>
    <row r="4449" spans="2:9" ht="16.5" customHeight="1" thickBot="1" x14ac:dyDescent="0.2">
      <c r="B4449" s="909"/>
      <c r="C4449" s="910"/>
      <c r="D4449" s="910"/>
      <c r="E4449" s="910"/>
      <c r="F4449" s="911"/>
      <c r="G4449" s="1"/>
      <c r="H4449" s="956" t="s">
        <v>939</v>
      </c>
      <c r="I4449" s="957"/>
    </row>
    <row r="4450" spans="2:9" ht="14" thickBot="1" x14ac:dyDescent="0.2">
      <c r="B4450" s="15"/>
      <c r="C4450" s="16"/>
      <c r="D4450" s="1"/>
      <c r="E4450" s="1"/>
      <c r="F4450" s="1"/>
      <c r="G4450" s="1"/>
      <c r="H4450" s="958"/>
      <c r="I4450" s="959"/>
    </row>
    <row r="4451" spans="2:9" ht="12.75" customHeight="1" x14ac:dyDescent="0.15">
      <c r="B4451" s="922" t="s">
        <v>836</v>
      </c>
      <c r="C4451" s="923"/>
      <c r="D4451" s="923"/>
      <c r="E4451" s="923"/>
      <c r="F4451" s="924"/>
      <c r="G4451" s="1"/>
      <c r="H4451" s="958"/>
      <c r="I4451" s="959"/>
    </row>
    <row r="4452" spans="2:9" ht="12.75" customHeight="1" x14ac:dyDescent="0.15">
      <c r="B4452" s="925"/>
      <c r="C4452" s="926"/>
      <c r="D4452" s="926"/>
      <c r="E4452" s="926"/>
      <c r="F4452" s="927"/>
      <c r="H4452" s="958"/>
      <c r="I4452" s="959"/>
    </row>
    <row r="4453" spans="2:9" ht="13.5" customHeight="1" x14ac:dyDescent="0.15">
      <c r="B4453" s="925"/>
      <c r="C4453" s="926"/>
      <c r="D4453" s="926"/>
      <c r="E4453" s="926"/>
      <c r="F4453" s="927"/>
      <c r="G4453" s="11"/>
      <c r="H4453" s="960"/>
      <c r="I4453" s="961"/>
    </row>
    <row r="4454" spans="2:9" ht="21.75" customHeight="1" thickBot="1" x14ac:dyDescent="0.2">
      <c r="B4454" s="928"/>
      <c r="C4454" s="929"/>
      <c r="D4454" s="929"/>
      <c r="E4454" s="929"/>
      <c r="F4454" s="930"/>
      <c r="H4454" s="64" t="s">
        <v>45</v>
      </c>
      <c r="I4454" s="17" t="s">
        <v>319</v>
      </c>
    </row>
    <row r="4455" spans="2:9" x14ac:dyDescent="0.15">
      <c r="B4455" s="18"/>
      <c r="C4455" s="18"/>
      <c r="D4455" s="1"/>
      <c r="E4455" s="18"/>
      <c r="F4455" s="18"/>
      <c r="G4455" s="18"/>
      <c r="H4455" s="18"/>
      <c r="I4455" s="1"/>
    </row>
    <row r="4456" spans="2:9" ht="14" thickBot="1" x14ac:dyDescent="0.2">
      <c r="B4456" s="12" t="s">
        <v>21</v>
      </c>
      <c r="C4456" s="12"/>
      <c r="D4456" s="1"/>
      <c r="E4456" s="1"/>
      <c r="F4456" s="1"/>
      <c r="G4456" s="1"/>
      <c r="H4456" s="1"/>
      <c r="I4456" s="1"/>
    </row>
    <row r="4457" spans="2:9" x14ac:dyDescent="0.15">
      <c r="B4457" s="903" t="s">
        <v>22</v>
      </c>
      <c r="C4457" s="904"/>
      <c r="D4457" s="905"/>
      <c r="E4457" s="209" t="s">
        <v>23</v>
      </c>
      <c r="F4457" s="19" t="s">
        <v>47</v>
      </c>
      <c r="G4457" s="209" t="s">
        <v>24</v>
      </c>
      <c r="H4457" s="208" t="s">
        <v>25</v>
      </c>
      <c r="I4457" s="43"/>
    </row>
    <row r="4458" spans="2:9" x14ac:dyDescent="0.15">
      <c r="B4458" s="897" t="s">
        <v>56</v>
      </c>
      <c r="C4458" s="898"/>
      <c r="D4458" s="899"/>
      <c r="E4458" s="5"/>
      <c r="F4458" s="162"/>
      <c r="G4458" s="58"/>
      <c r="H4458" s="162">
        <f>I4481*0.05</f>
        <v>1744.1637500000002</v>
      </c>
      <c r="I4458" s="44"/>
    </row>
    <row r="4459" spans="2:9" ht="14" thickBot="1" x14ac:dyDescent="0.2">
      <c r="B4459" s="900"/>
      <c r="C4459" s="901"/>
      <c r="D4459" s="902"/>
      <c r="E4459" s="21"/>
      <c r="F4459" s="22"/>
      <c r="G4459" s="23"/>
      <c r="H4459" s="47"/>
      <c r="I4459" s="48"/>
    </row>
    <row r="4460" spans="2:9" ht="14" thickBot="1" x14ac:dyDescent="0.2">
      <c r="B4460" s="1"/>
      <c r="C4460" s="1"/>
      <c r="D4460" s="1"/>
      <c r="E4460" s="1"/>
      <c r="F4460" s="1"/>
      <c r="G4460" s="1"/>
      <c r="H4460" s="37" t="s">
        <v>26</v>
      </c>
      <c r="I4460" s="163">
        <f>SUM(H4458:H4459)</f>
        <v>1744.1637500000002</v>
      </c>
    </row>
    <row r="4461" spans="2:9" ht="14" thickBot="1" x14ac:dyDescent="0.2">
      <c r="B4461" s="12" t="s">
        <v>27</v>
      </c>
      <c r="C4461" s="12"/>
      <c r="D4461" s="1"/>
      <c r="E4461" s="1"/>
      <c r="F4461" s="1"/>
      <c r="G4461" s="1"/>
      <c r="H4461" s="1"/>
      <c r="I4461" s="1"/>
    </row>
    <row r="4462" spans="2:9" x14ac:dyDescent="0.15">
      <c r="B4462" s="903" t="s">
        <v>22</v>
      </c>
      <c r="C4462" s="904"/>
      <c r="D4462" s="905"/>
      <c r="E4462" s="209" t="s">
        <v>28</v>
      </c>
      <c r="F4462" s="209" t="s">
        <v>29</v>
      </c>
      <c r="G4462" s="209" t="s">
        <v>30</v>
      </c>
      <c r="H4462" s="208" t="s">
        <v>25</v>
      </c>
      <c r="I4462" s="43"/>
    </row>
    <row r="4463" spans="2:9" x14ac:dyDescent="0.15">
      <c r="B4463" s="4" t="s">
        <v>176</v>
      </c>
      <c r="C4463" s="24"/>
      <c r="D4463" s="6"/>
      <c r="E4463" s="3" t="s">
        <v>193</v>
      </c>
      <c r="F4463" s="164">
        <f>MATERIALES!F168</f>
        <v>2250</v>
      </c>
      <c r="G4463" s="65">
        <v>6</v>
      </c>
      <c r="H4463" s="165">
        <f t="shared" ref="H4463:H4468" si="29">G4463*F4463</f>
        <v>13500</v>
      </c>
      <c r="I4463" s="44"/>
    </row>
    <row r="4464" spans="2:9" x14ac:dyDescent="0.15">
      <c r="B4464" s="4" t="s">
        <v>118</v>
      </c>
      <c r="C4464" s="24"/>
      <c r="D4464" s="6"/>
      <c r="E4464" s="3" t="s">
        <v>319</v>
      </c>
      <c r="F4464" s="164">
        <f>MATERIALES!F169</f>
        <v>3375</v>
      </c>
      <c r="G4464" s="65">
        <v>1</v>
      </c>
      <c r="H4464" s="165">
        <f t="shared" si="29"/>
        <v>3375</v>
      </c>
      <c r="I4464" s="44"/>
    </row>
    <row r="4465" spans="2:10" x14ac:dyDescent="0.15">
      <c r="B4465" s="4" t="s">
        <v>89</v>
      </c>
      <c r="C4465" s="24"/>
      <c r="D4465" s="6"/>
      <c r="E4465" s="3" t="s">
        <v>319</v>
      </c>
      <c r="F4465" s="164">
        <f>MATERIALES!F170</f>
        <v>2565</v>
      </c>
      <c r="G4465" s="65">
        <v>1</v>
      </c>
      <c r="H4465" s="165">
        <f t="shared" si="29"/>
        <v>2565</v>
      </c>
      <c r="I4465" s="44"/>
    </row>
    <row r="4466" spans="2:10" x14ac:dyDescent="0.15">
      <c r="B4466" s="4" t="s">
        <v>70</v>
      </c>
      <c r="C4466" s="24"/>
      <c r="D4466" s="6"/>
      <c r="E4466" s="3" t="s">
        <v>319</v>
      </c>
      <c r="F4466" s="164">
        <f>MATERIALES!F166</f>
        <v>3375</v>
      </c>
      <c r="G4466" s="65">
        <v>2</v>
      </c>
      <c r="H4466" s="165">
        <f t="shared" si="29"/>
        <v>6750</v>
      </c>
      <c r="I4466" s="44"/>
    </row>
    <row r="4467" spans="2:10" x14ac:dyDescent="0.15">
      <c r="B4467" s="4" t="s">
        <v>135</v>
      </c>
      <c r="C4467" s="24"/>
      <c r="D4467" s="6"/>
      <c r="E4467" s="3" t="s">
        <v>103</v>
      </c>
      <c r="F4467" s="164">
        <f>MATERIALES!C27</f>
        <v>286200</v>
      </c>
      <c r="G4467" s="65">
        <v>0.01</v>
      </c>
      <c r="H4467" s="165">
        <f t="shared" si="29"/>
        <v>2862</v>
      </c>
      <c r="I4467" s="44"/>
    </row>
    <row r="4468" spans="2:10" x14ac:dyDescent="0.15">
      <c r="B4468" s="4" t="s">
        <v>71</v>
      </c>
      <c r="C4468" s="24"/>
      <c r="D4468" s="6"/>
      <c r="E4468" s="3" t="s">
        <v>44</v>
      </c>
      <c r="F4468" s="164">
        <f>MATERIALES!C165</f>
        <v>27000</v>
      </c>
      <c r="G4468" s="65">
        <v>0.02</v>
      </c>
      <c r="H4468" s="165">
        <f t="shared" si="29"/>
        <v>540</v>
      </c>
      <c r="I4468" s="44"/>
    </row>
    <row r="4469" spans="2:10" ht="14" thickBot="1" x14ac:dyDescent="0.2">
      <c r="B4469" s="25"/>
      <c r="C4469" s="26"/>
      <c r="D4469" s="27"/>
      <c r="E4469" s="21"/>
      <c r="F4469" s="22"/>
      <c r="G4469" s="167"/>
      <c r="H4469" s="47"/>
      <c r="I4469" s="48"/>
    </row>
    <row r="4470" spans="2:10" ht="14" thickBot="1" x14ac:dyDescent="0.2">
      <c r="B4470" s="1"/>
      <c r="C4470" s="1"/>
      <c r="D4470" s="1"/>
      <c r="E4470" s="1"/>
      <c r="F4470" s="1"/>
      <c r="G4470" s="1"/>
      <c r="H4470" s="37" t="s">
        <v>26</v>
      </c>
      <c r="I4470" s="163">
        <f>SUM(H4463:H4469)</f>
        <v>29592</v>
      </c>
    </row>
    <row r="4471" spans="2:10" ht="14" thickBot="1" x14ac:dyDescent="0.2">
      <c r="B4471" s="28" t="s">
        <v>31</v>
      </c>
      <c r="C4471" s="28"/>
      <c r="D4471" s="26"/>
      <c r="E4471" s="1"/>
      <c r="F4471" s="1"/>
      <c r="G4471" s="1"/>
      <c r="H4471" s="1"/>
      <c r="I4471" s="1"/>
    </row>
    <row r="4472" spans="2:10" x14ac:dyDescent="0.15">
      <c r="B4472" s="51" t="s">
        <v>32</v>
      </c>
      <c r="C4472" s="52"/>
      <c r="D4472" s="97" t="s">
        <v>33</v>
      </c>
      <c r="E4472" s="209" t="s">
        <v>34</v>
      </c>
      <c r="F4472" s="209" t="s">
        <v>35</v>
      </c>
      <c r="G4472" s="209" t="s">
        <v>36</v>
      </c>
      <c r="H4472" s="59" t="s">
        <v>25</v>
      </c>
      <c r="I4472" s="43"/>
    </row>
    <row r="4473" spans="2:10" x14ac:dyDescent="0.15">
      <c r="B4473" s="4" t="s">
        <v>79</v>
      </c>
      <c r="C4473" s="6"/>
      <c r="D4473" s="53">
        <v>0.25</v>
      </c>
      <c r="E4473" s="2">
        <v>43</v>
      </c>
      <c r="F4473" s="2">
        <f>E4473*D4473</f>
        <v>10.75</v>
      </c>
      <c r="G4473" s="162">
        <v>1100</v>
      </c>
      <c r="H4473" s="20">
        <f>G4473*F4473</f>
        <v>11825</v>
      </c>
      <c r="I4473" s="44"/>
    </row>
    <row r="4474" spans="2:10" ht="14" thickBot="1" x14ac:dyDescent="0.2">
      <c r="B4474" s="33"/>
      <c r="C4474" s="54"/>
      <c r="D4474" s="21"/>
      <c r="E4474" s="22"/>
      <c r="F4474" s="23"/>
      <c r="G4474" s="47"/>
      <c r="H4474" s="21"/>
      <c r="I4474" s="48"/>
    </row>
    <row r="4475" spans="2:10" ht="14" thickBot="1" x14ac:dyDescent="0.2">
      <c r="B4475" s="1"/>
      <c r="C4475" s="1"/>
      <c r="D4475" s="1"/>
      <c r="E4475" s="1"/>
      <c r="F4475" s="1"/>
      <c r="G4475" s="1"/>
      <c r="H4475" s="37" t="s">
        <v>26</v>
      </c>
      <c r="I4475" s="163">
        <f>SUM(H4473:H4474)</f>
        <v>11825</v>
      </c>
    </row>
    <row r="4476" spans="2:10" ht="14" thickBot="1" x14ac:dyDescent="0.2">
      <c r="B4476" s="28" t="s">
        <v>37</v>
      </c>
      <c r="C4476" s="28"/>
      <c r="D4476" s="1"/>
      <c r="E4476" s="1"/>
      <c r="F4476" s="1"/>
      <c r="G4476" s="1"/>
      <c r="H4476" s="1"/>
      <c r="I4476" s="1"/>
    </row>
    <row r="4477" spans="2:10" x14ac:dyDescent="0.15">
      <c r="B4477" s="51" t="s">
        <v>38</v>
      </c>
      <c r="C4477" s="86"/>
      <c r="D4477" s="31" t="s">
        <v>39</v>
      </c>
      <c r="E4477" s="209" t="s">
        <v>40</v>
      </c>
      <c r="F4477" s="19" t="s">
        <v>41</v>
      </c>
      <c r="G4477" s="31" t="s">
        <v>24</v>
      </c>
      <c r="H4477" s="59" t="s">
        <v>25</v>
      </c>
      <c r="I4477" s="43"/>
    </row>
    <row r="4478" spans="2:10" x14ac:dyDescent="0.15">
      <c r="B4478" s="4" t="s">
        <v>106</v>
      </c>
      <c r="C4478" s="24"/>
      <c r="D4478" s="32">
        <f>'MANO DE OBRA'!E15</f>
        <v>95333</v>
      </c>
      <c r="E4478" s="168">
        <v>1.75</v>
      </c>
      <c r="F4478" s="164">
        <f>+E4478*D4478</f>
        <v>166832.75</v>
      </c>
      <c r="G4478" s="20">
        <v>10</v>
      </c>
      <c r="H4478" s="169">
        <f>+F4478/G4478</f>
        <v>16683.275000000001</v>
      </c>
      <c r="I4478" s="44"/>
      <c r="J4478" s="11"/>
    </row>
    <row r="4479" spans="2:10" x14ac:dyDescent="0.15">
      <c r="B4479" s="4" t="s">
        <v>177</v>
      </c>
      <c r="C4479" s="24"/>
      <c r="D4479" s="32">
        <f>'MANO DE OBRA'!E14*2</f>
        <v>104000</v>
      </c>
      <c r="E4479" s="168">
        <v>1.75</v>
      </c>
      <c r="F4479" s="164">
        <f>+E4479*D4479</f>
        <v>182000</v>
      </c>
      <c r="G4479" s="20">
        <v>10</v>
      </c>
      <c r="H4479" s="169">
        <f>+F4479/G4479</f>
        <v>18200</v>
      </c>
      <c r="I4479" s="44"/>
    </row>
    <row r="4480" spans="2:10" ht="14" thickBot="1" x14ac:dyDescent="0.2">
      <c r="B4480" s="33"/>
      <c r="C4480" s="34"/>
      <c r="D4480" s="22"/>
      <c r="E4480" s="21"/>
      <c r="F4480" s="22"/>
      <c r="G4480" s="23"/>
      <c r="H4480" s="87"/>
      <c r="I4480" s="44"/>
    </row>
    <row r="4481" spans="2:9" ht="14" thickBot="1" x14ac:dyDescent="0.2">
      <c r="B4481" s="1"/>
      <c r="C4481" s="1"/>
      <c r="D4481" s="1"/>
      <c r="E4481" s="1"/>
      <c r="F4481" s="1"/>
      <c r="G4481" s="1"/>
      <c r="H4481" s="37" t="s">
        <v>26</v>
      </c>
      <c r="I4481" s="163">
        <f>SUM(H4478:H4480)</f>
        <v>34883.275000000001</v>
      </c>
    </row>
    <row r="4482" spans="2:9" ht="14" thickBot="1" x14ac:dyDescent="0.2">
      <c r="B4482" s="1"/>
      <c r="C4482" s="1"/>
      <c r="D4482" s="1"/>
      <c r="E4482" s="1"/>
      <c r="F4482" s="1"/>
      <c r="G4482" s="1"/>
      <c r="H4482" s="61"/>
      <c r="I4482" s="1"/>
    </row>
    <row r="4483" spans="2:9" ht="15" thickBot="1" x14ac:dyDescent="0.2">
      <c r="B4483" s="1"/>
      <c r="C4483" s="1"/>
      <c r="D4483" s="1"/>
      <c r="E4483" s="1"/>
      <c r="F4483" s="35" t="s">
        <v>43</v>
      </c>
      <c r="G4483" s="16"/>
      <c r="H4483" s="16"/>
      <c r="I4483" s="232">
        <f>ROUND((I4460+I4470+I4475+I4481),0)</f>
        <v>78044</v>
      </c>
    </row>
    <row r="4484" spans="2:9" x14ac:dyDescent="0.15">
      <c r="B4484" s="12"/>
      <c r="C4484" s="12"/>
      <c r="D4484" s="1"/>
      <c r="E4484" s="1"/>
      <c r="F4484" s="1"/>
      <c r="G4484" s="1"/>
      <c r="H4484" s="172"/>
      <c r="I4484" s="172"/>
    </row>
    <row r="4485" spans="2:9" x14ac:dyDescent="0.15">
      <c r="B4485" s="16"/>
      <c r="C4485" s="16"/>
      <c r="D4485" s="16"/>
      <c r="E4485" s="16"/>
      <c r="F4485" s="16"/>
      <c r="G4485" s="61"/>
      <c r="H4485" s="173"/>
      <c r="I4485" s="172"/>
    </row>
    <row r="4486" spans="2:9" x14ac:dyDescent="0.15">
      <c r="B4486" s="1"/>
      <c r="C4486" s="1"/>
      <c r="D4486" s="1"/>
      <c r="E4486" s="1"/>
      <c r="F4486" s="1"/>
      <c r="G4486" s="161"/>
      <c r="H4486" s="172"/>
      <c r="I4486" s="172"/>
    </row>
    <row r="4487" spans="2:9" x14ac:dyDescent="0.15">
      <c r="B4487" s="1"/>
      <c r="C4487" s="1"/>
      <c r="D4487" s="1"/>
      <c r="E4487" s="1"/>
      <c r="F4487" s="1"/>
      <c r="G4487" s="161"/>
      <c r="H4487" s="172"/>
      <c r="I4487" s="172"/>
    </row>
    <row r="4488" spans="2:9" x14ac:dyDescent="0.15">
      <c r="B4488" s="1"/>
      <c r="C4488" s="1"/>
      <c r="D4488" s="1"/>
      <c r="E4488" s="1"/>
      <c r="F4488" s="1"/>
      <c r="G4488" s="161"/>
      <c r="H4488" s="172"/>
      <c r="I4488" s="172"/>
    </row>
    <row r="4489" spans="2:9" x14ac:dyDescent="0.15">
      <c r="B4489" s="1"/>
      <c r="C4489" s="1"/>
      <c r="D4489" s="1"/>
      <c r="E4489" s="1"/>
      <c r="F4489" s="1"/>
      <c r="G4489" s="1"/>
      <c r="H4489" s="37"/>
      <c r="I4489" s="172"/>
    </row>
    <row r="4490" spans="2:9" ht="14" x14ac:dyDescent="0.15">
      <c r="B4490" s="102"/>
      <c r="C4490" s="1"/>
      <c r="D4490" s="1"/>
      <c r="E4490" s="1"/>
      <c r="F4490" s="1"/>
      <c r="G4490" s="1"/>
      <c r="H4490" s="1"/>
      <c r="I4490" s="172"/>
    </row>
    <row r="4491" spans="2:9" ht="14" x14ac:dyDescent="0.15">
      <c r="B4491" s="102"/>
      <c r="C4491" s="1"/>
      <c r="D4491" s="1"/>
      <c r="E4491" s="1"/>
      <c r="F4491" s="1"/>
      <c r="G4491" s="1"/>
      <c r="H4491" s="1"/>
      <c r="I4491" s="172"/>
    </row>
    <row r="4492" spans="2:9" ht="14" x14ac:dyDescent="0.15">
      <c r="B4492" s="83"/>
      <c r="C4492" s="11"/>
      <c r="D4492" s="1"/>
      <c r="E4492" s="916"/>
      <c r="F4492" s="916"/>
      <c r="G4492" s="916"/>
      <c r="H4492" s="916"/>
      <c r="I4492" s="171"/>
    </row>
    <row r="4493" spans="2:9" ht="14" x14ac:dyDescent="0.15">
      <c r="B4493" s="102"/>
      <c r="C4493" s="11"/>
      <c r="D4493" s="1"/>
      <c r="E4493" s="155"/>
      <c r="F4493" s="155"/>
      <c r="G4493" s="155"/>
      <c r="H4493" s="155"/>
      <c r="I4493" s="171"/>
    </row>
    <row r="4494" spans="2:9" ht="14" x14ac:dyDescent="0.15">
      <c r="B4494" s="83"/>
      <c r="C4494" s="11"/>
      <c r="D4494" s="1"/>
      <c r="E4494" s="155"/>
      <c r="F4494" s="155"/>
      <c r="G4494" s="155"/>
      <c r="H4494" s="155"/>
      <c r="I4494" s="171"/>
    </row>
    <row r="4495" spans="2:9" x14ac:dyDescent="0.15">
      <c r="B4495" s="11"/>
      <c r="C4495" s="11"/>
      <c r="D4495" s="1"/>
      <c r="E4495" s="155"/>
      <c r="F4495" s="155"/>
      <c r="G4495" s="155"/>
      <c r="H4495" s="155"/>
      <c r="I4495" s="171"/>
    </row>
    <row r="4496" spans="2:9" x14ac:dyDescent="0.15">
      <c r="B4496" s="11"/>
      <c r="C4496" s="11"/>
      <c r="D4496" s="1"/>
      <c r="E4496" s="155"/>
      <c r="F4496" s="155"/>
      <c r="G4496" s="155"/>
      <c r="H4496" s="155"/>
      <c r="I4496" s="171"/>
    </row>
    <row r="4497" spans="2:10" x14ac:dyDescent="0.15">
      <c r="B4497" s="11"/>
      <c r="C4497" s="11"/>
      <c r="D4497" s="1"/>
      <c r="E4497" s="155"/>
      <c r="F4497" s="155"/>
      <c r="G4497" s="155"/>
      <c r="H4497" s="155"/>
      <c r="I4497" s="171"/>
    </row>
    <row r="4498" spans="2:10" x14ac:dyDescent="0.15">
      <c r="B4498" s="11"/>
      <c r="C4498" s="11"/>
      <c r="D4498" s="1"/>
      <c r="E4498" s="155"/>
      <c r="F4498" s="155"/>
      <c r="G4498" s="155"/>
      <c r="H4498" s="155"/>
      <c r="I4498" s="171"/>
    </row>
    <row r="4499" spans="2:10" ht="14" x14ac:dyDescent="0.15">
      <c r="B4499" s="83"/>
      <c r="C4499" s="83"/>
      <c r="D4499" s="84"/>
      <c r="E4499" s="83"/>
      <c r="F4499" s="156"/>
      <c r="G4499" s="157"/>
      <c r="H4499" s="158"/>
      <c r="I4499" s="159"/>
      <c r="J4499" s="85"/>
    </row>
    <row r="4500" spans="2:10" ht="15" thickBot="1" x14ac:dyDescent="0.2">
      <c r="B4500" s="83"/>
      <c r="C4500" s="11"/>
      <c r="D4500" s="11"/>
      <c r="E4500" s="11"/>
      <c r="F4500" s="938"/>
      <c r="G4500" s="938"/>
      <c r="H4500" s="938"/>
      <c r="I4500" s="938"/>
    </row>
    <row r="4501" spans="2:10" ht="21" customHeight="1" x14ac:dyDescent="0.15">
      <c r="B4501" s="885" t="s">
        <v>874</v>
      </c>
      <c r="C4501" s="886"/>
      <c r="D4501" s="886"/>
      <c r="E4501" s="886"/>
      <c r="F4501" s="887"/>
      <c r="G4501" s="1"/>
      <c r="H4501" s="879" t="s">
        <v>20</v>
      </c>
      <c r="I4501" s="880"/>
    </row>
    <row r="4502" spans="2:10" ht="16.5" customHeight="1" x14ac:dyDescent="0.15">
      <c r="B4502" s="888" t="s">
        <v>875</v>
      </c>
      <c r="C4502" s="889"/>
      <c r="D4502" s="889"/>
      <c r="E4502" s="889"/>
      <c r="F4502" s="890"/>
      <c r="G4502" s="63"/>
      <c r="H4502" s="881"/>
      <c r="I4502" s="882"/>
    </row>
    <row r="4503" spans="2:10" ht="12.75" customHeight="1" x14ac:dyDescent="0.15">
      <c r="B4503" s="906" t="s">
        <v>876</v>
      </c>
      <c r="C4503" s="907"/>
      <c r="D4503" s="907"/>
      <c r="E4503" s="907"/>
      <c r="F4503" s="908"/>
      <c r="G4503" s="63"/>
      <c r="H4503" s="883"/>
      <c r="I4503" s="884"/>
    </row>
    <row r="4504" spans="2:10" ht="16.5" customHeight="1" thickBot="1" x14ac:dyDescent="0.2">
      <c r="B4504" s="909"/>
      <c r="C4504" s="910"/>
      <c r="D4504" s="910"/>
      <c r="E4504" s="910"/>
      <c r="F4504" s="911"/>
      <c r="G4504" s="1"/>
      <c r="H4504" s="956" t="s">
        <v>941</v>
      </c>
      <c r="I4504" s="957"/>
    </row>
    <row r="4505" spans="2:10" ht="14" thickBot="1" x14ac:dyDescent="0.2">
      <c r="B4505" s="15"/>
      <c r="C4505" s="16"/>
      <c r="D4505" s="1"/>
      <c r="E4505" s="1"/>
      <c r="F4505" s="1"/>
      <c r="G4505" s="1"/>
      <c r="H4505" s="958"/>
      <c r="I4505" s="959"/>
    </row>
    <row r="4506" spans="2:10" ht="12.75" customHeight="1" x14ac:dyDescent="0.15">
      <c r="B4506" s="922" t="s">
        <v>836</v>
      </c>
      <c r="C4506" s="923"/>
      <c r="D4506" s="923"/>
      <c r="E4506" s="923"/>
      <c r="F4506" s="924"/>
      <c r="G4506" s="1"/>
      <c r="H4506" s="958"/>
      <c r="I4506" s="959"/>
    </row>
    <row r="4507" spans="2:10" ht="12.75" customHeight="1" x14ac:dyDescent="0.15">
      <c r="B4507" s="925"/>
      <c r="C4507" s="926"/>
      <c r="D4507" s="926"/>
      <c r="E4507" s="926"/>
      <c r="F4507" s="927"/>
      <c r="H4507" s="958"/>
      <c r="I4507" s="959"/>
    </row>
    <row r="4508" spans="2:10" ht="13.5" customHeight="1" x14ac:dyDescent="0.15">
      <c r="B4508" s="925"/>
      <c r="C4508" s="926"/>
      <c r="D4508" s="926"/>
      <c r="E4508" s="926"/>
      <c r="F4508" s="927"/>
      <c r="G4508" s="11"/>
      <c r="H4508" s="960"/>
      <c r="I4508" s="961"/>
    </row>
    <row r="4509" spans="2:10" ht="21.75" customHeight="1" thickBot="1" x14ac:dyDescent="0.2">
      <c r="B4509" s="928"/>
      <c r="C4509" s="929"/>
      <c r="D4509" s="929"/>
      <c r="E4509" s="929"/>
      <c r="F4509" s="930"/>
      <c r="H4509" s="64" t="s">
        <v>45</v>
      </c>
      <c r="I4509" s="17" t="s">
        <v>319</v>
      </c>
    </row>
    <row r="4510" spans="2:10" x14ac:dyDescent="0.15">
      <c r="B4510" s="18"/>
      <c r="C4510" s="18"/>
      <c r="D4510" s="1"/>
      <c r="E4510" s="18"/>
      <c r="F4510" s="18"/>
      <c r="G4510" s="18"/>
      <c r="H4510" s="18"/>
      <c r="I4510" s="1"/>
    </row>
    <row r="4511" spans="2:10" ht="14" thickBot="1" x14ac:dyDescent="0.2">
      <c r="B4511" s="12" t="s">
        <v>21</v>
      </c>
      <c r="C4511" s="12"/>
      <c r="D4511" s="1"/>
      <c r="E4511" s="1"/>
      <c r="F4511" s="1"/>
      <c r="G4511" s="1"/>
      <c r="H4511" s="1"/>
      <c r="I4511" s="1"/>
    </row>
    <row r="4512" spans="2:10" x14ac:dyDescent="0.15">
      <c r="B4512" s="903" t="s">
        <v>22</v>
      </c>
      <c r="C4512" s="904"/>
      <c r="D4512" s="905"/>
      <c r="E4512" s="209" t="s">
        <v>23</v>
      </c>
      <c r="F4512" s="19" t="s">
        <v>47</v>
      </c>
      <c r="G4512" s="209" t="s">
        <v>24</v>
      </c>
      <c r="H4512" s="208" t="s">
        <v>25</v>
      </c>
      <c r="I4512" s="43"/>
    </row>
    <row r="4513" spans="2:9" x14ac:dyDescent="0.15">
      <c r="B4513" s="897" t="s">
        <v>56</v>
      </c>
      <c r="C4513" s="898"/>
      <c r="D4513" s="899"/>
      <c r="E4513" s="5"/>
      <c r="F4513" s="162"/>
      <c r="G4513" s="58"/>
      <c r="H4513" s="162">
        <f>I4533*0.05</f>
        <v>429.72125</v>
      </c>
      <c r="I4513" s="44"/>
    </row>
    <row r="4514" spans="2:9" ht="14" thickBot="1" x14ac:dyDescent="0.2">
      <c r="B4514" s="900"/>
      <c r="C4514" s="901"/>
      <c r="D4514" s="902"/>
      <c r="E4514" s="21"/>
      <c r="F4514" s="22"/>
      <c r="G4514" s="23"/>
      <c r="H4514" s="47"/>
      <c r="I4514" s="48"/>
    </row>
    <row r="4515" spans="2:9" ht="14" thickBot="1" x14ac:dyDescent="0.2">
      <c r="B4515" s="1"/>
      <c r="C4515" s="1"/>
      <c r="D4515" s="1"/>
      <c r="E4515" s="1"/>
      <c r="F4515" s="1"/>
      <c r="G4515" s="1"/>
      <c r="H4515" s="37" t="s">
        <v>26</v>
      </c>
      <c r="I4515" s="163">
        <f>SUM(H4513:H4514)</f>
        <v>429.72125</v>
      </c>
    </row>
    <row r="4516" spans="2:9" ht="14" thickBot="1" x14ac:dyDescent="0.2">
      <c r="B4516" s="12" t="s">
        <v>27</v>
      </c>
      <c r="C4516" s="12"/>
      <c r="D4516" s="1"/>
      <c r="E4516" s="1"/>
      <c r="F4516" s="1"/>
      <c r="G4516" s="1"/>
      <c r="H4516" s="1"/>
      <c r="I4516" s="1"/>
    </row>
    <row r="4517" spans="2:9" x14ac:dyDescent="0.15">
      <c r="B4517" s="903" t="s">
        <v>22</v>
      </c>
      <c r="C4517" s="904"/>
      <c r="D4517" s="905"/>
      <c r="E4517" s="209" t="s">
        <v>28</v>
      </c>
      <c r="F4517" s="209" t="s">
        <v>29</v>
      </c>
      <c r="G4517" s="209" t="s">
        <v>30</v>
      </c>
      <c r="H4517" s="208" t="s">
        <v>25</v>
      </c>
      <c r="I4517" s="43"/>
    </row>
    <row r="4518" spans="2:9" x14ac:dyDescent="0.15">
      <c r="B4518" s="4" t="s">
        <v>178</v>
      </c>
      <c r="C4518" s="24"/>
      <c r="D4518" s="6"/>
      <c r="E4518" s="3" t="s">
        <v>319</v>
      </c>
      <c r="F4518" s="164">
        <f>MATERIALES!F172</f>
        <v>18900</v>
      </c>
      <c r="G4518" s="65">
        <v>1</v>
      </c>
      <c r="H4518" s="165">
        <f>G4518*F4518</f>
        <v>18900</v>
      </c>
      <c r="I4518" s="44"/>
    </row>
    <row r="4519" spans="2:9" x14ac:dyDescent="0.15">
      <c r="B4519" s="4" t="s">
        <v>71</v>
      </c>
      <c r="C4519" s="24"/>
      <c r="D4519" s="6"/>
      <c r="E4519" s="3" t="s">
        <v>44</v>
      </c>
      <c r="F4519" s="166">
        <f>MATERIALES!F165</f>
        <v>27000</v>
      </c>
      <c r="G4519" s="65">
        <v>0.01</v>
      </c>
      <c r="H4519" s="165">
        <f>G4519*F4519</f>
        <v>270</v>
      </c>
      <c r="I4519" s="44"/>
    </row>
    <row r="4520" spans="2:9" ht="14" thickBot="1" x14ac:dyDescent="0.2">
      <c r="B4520" s="25"/>
      <c r="C4520" s="26"/>
      <c r="D4520" s="27"/>
      <c r="E4520" s="21"/>
      <c r="F4520" s="22"/>
      <c r="G4520" s="167"/>
      <c r="H4520" s="47"/>
      <c r="I4520" s="48"/>
    </row>
    <row r="4521" spans="2:9" ht="14" thickBot="1" x14ac:dyDescent="0.2">
      <c r="B4521" s="1"/>
      <c r="C4521" s="1"/>
      <c r="D4521" s="1"/>
      <c r="E4521" s="1"/>
      <c r="F4521" s="1"/>
      <c r="G4521" s="1"/>
      <c r="H4521" s="37" t="s">
        <v>26</v>
      </c>
      <c r="I4521" s="163">
        <f>SUM(H4518:H4520)</f>
        <v>19170</v>
      </c>
    </row>
    <row r="4522" spans="2:9" ht="14" thickBot="1" x14ac:dyDescent="0.2">
      <c r="B4522" s="28" t="s">
        <v>31</v>
      </c>
      <c r="C4522" s="28"/>
      <c r="D4522" s="26"/>
      <c r="E4522" s="1"/>
      <c r="F4522" s="1"/>
      <c r="G4522" s="1"/>
      <c r="H4522" s="1"/>
      <c r="I4522" s="1"/>
    </row>
    <row r="4523" spans="2:9" x14ac:dyDescent="0.15">
      <c r="B4523" s="51" t="s">
        <v>32</v>
      </c>
      <c r="C4523" s="52"/>
      <c r="D4523" s="97" t="s">
        <v>33</v>
      </c>
      <c r="E4523" s="209" t="s">
        <v>34</v>
      </c>
      <c r="F4523" s="209" t="s">
        <v>35</v>
      </c>
      <c r="G4523" s="209" t="s">
        <v>36</v>
      </c>
      <c r="H4523" s="59" t="s">
        <v>25</v>
      </c>
      <c r="I4523" s="43"/>
    </row>
    <row r="4524" spans="2:9" x14ac:dyDescent="0.15">
      <c r="B4524" s="4" t="s">
        <v>79</v>
      </c>
      <c r="C4524" s="6"/>
      <c r="D4524" s="53">
        <v>2.5000000000000001E-2</v>
      </c>
      <c r="E4524" s="2">
        <v>43</v>
      </c>
      <c r="F4524" s="2">
        <f>E4524*D4524</f>
        <v>1.075</v>
      </c>
      <c r="G4524" s="162">
        <v>1100</v>
      </c>
      <c r="H4524" s="20">
        <f>G4524*F4524</f>
        <v>1182.5</v>
      </c>
      <c r="I4524" s="44"/>
    </row>
    <row r="4525" spans="2:9" x14ac:dyDescent="0.15">
      <c r="B4525" s="107"/>
      <c r="C4525" s="66"/>
      <c r="D4525" s="67"/>
      <c r="E4525" s="68"/>
      <c r="F4525" s="68"/>
      <c r="G4525" s="69"/>
      <c r="H4525" s="65"/>
      <c r="I4525" s="44"/>
    </row>
    <row r="4526" spans="2:9" ht="14" thickBot="1" x14ac:dyDescent="0.2">
      <c r="B4526" s="33"/>
      <c r="C4526" s="54"/>
      <c r="D4526" s="21"/>
      <c r="E4526" s="22"/>
      <c r="F4526" s="23"/>
      <c r="G4526" s="47"/>
      <c r="H4526" s="21"/>
      <c r="I4526" s="48"/>
    </row>
    <row r="4527" spans="2:9" ht="14" thickBot="1" x14ac:dyDescent="0.2">
      <c r="B4527" s="1"/>
      <c r="C4527" s="1"/>
      <c r="D4527" s="1"/>
      <c r="E4527" s="1"/>
      <c r="F4527" s="1"/>
      <c r="G4527" s="1"/>
      <c r="H4527" s="37" t="s">
        <v>26</v>
      </c>
      <c r="I4527" s="163">
        <f>SUM(H4524:H4526)</f>
        <v>1182.5</v>
      </c>
    </row>
    <row r="4528" spans="2:9" ht="14" thickBot="1" x14ac:dyDescent="0.2">
      <c r="B4528" s="28" t="s">
        <v>37</v>
      </c>
      <c r="C4528" s="28"/>
      <c r="D4528" s="1"/>
      <c r="E4528" s="1"/>
      <c r="F4528" s="1"/>
      <c r="G4528" s="1"/>
      <c r="H4528" s="1"/>
      <c r="I4528" s="1"/>
    </row>
    <row r="4529" spans="2:9" x14ac:dyDescent="0.15">
      <c r="B4529" s="51" t="s">
        <v>38</v>
      </c>
      <c r="C4529" s="86"/>
      <c r="D4529" s="31" t="s">
        <v>39</v>
      </c>
      <c r="E4529" s="209" t="s">
        <v>40</v>
      </c>
      <c r="F4529" s="19" t="s">
        <v>41</v>
      </c>
      <c r="G4529" s="31" t="s">
        <v>24</v>
      </c>
      <c r="H4529" s="59" t="s">
        <v>25</v>
      </c>
      <c r="I4529" s="43"/>
    </row>
    <row r="4530" spans="2:9" x14ac:dyDescent="0.15">
      <c r="B4530" s="4" t="s">
        <v>106</v>
      </c>
      <c r="C4530" s="24"/>
      <c r="D4530" s="32">
        <f>'MANO DE OBRA'!E16</f>
        <v>95333</v>
      </c>
      <c r="E4530" s="168">
        <v>1.75</v>
      </c>
      <c r="F4530" s="164">
        <f>+E4530*D4530</f>
        <v>166832.75</v>
      </c>
      <c r="G4530" s="20">
        <v>30</v>
      </c>
      <c r="H4530" s="169">
        <f>+F4530/G4530</f>
        <v>5561.0916666666662</v>
      </c>
      <c r="I4530" s="44"/>
    </row>
    <row r="4531" spans="2:9" x14ac:dyDescent="0.15">
      <c r="B4531" s="4" t="s">
        <v>179</v>
      </c>
      <c r="C4531" s="24"/>
      <c r="D4531" s="32">
        <f>'MANO DE OBRA'!E14</f>
        <v>52000</v>
      </c>
      <c r="E4531" s="168">
        <v>1.75</v>
      </c>
      <c r="F4531" s="164">
        <f>+E4531*D4531</f>
        <v>91000</v>
      </c>
      <c r="G4531" s="20">
        <v>30</v>
      </c>
      <c r="H4531" s="169">
        <f>+F4531/G4531</f>
        <v>3033.3333333333335</v>
      </c>
      <c r="I4531" s="44"/>
    </row>
    <row r="4532" spans="2:9" ht="14" thickBot="1" x14ac:dyDescent="0.2">
      <c r="B4532" s="33"/>
      <c r="C4532" s="34"/>
      <c r="D4532" s="22"/>
      <c r="E4532" s="21"/>
      <c r="F4532" s="22"/>
      <c r="G4532" s="23"/>
      <c r="H4532" s="87"/>
      <c r="I4532" s="44"/>
    </row>
    <row r="4533" spans="2:9" ht="14" thickBot="1" x14ac:dyDescent="0.2">
      <c r="B4533" s="1"/>
      <c r="C4533" s="1"/>
      <c r="D4533" s="1"/>
      <c r="E4533" s="1"/>
      <c r="F4533" s="1"/>
      <c r="G4533" s="1"/>
      <c r="H4533" s="37" t="s">
        <v>26</v>
      </c>
      <c r="I4533" s="163">
        <f>SUM(H4530:H4532)</f>
        <v>8594.4249999999993</v>
      </c>
    </row>
    <row r="4534" spans="2:9" ht="14" thickBot="1" x14ac:dyDescent="0.2">
      <c r="B4534" s="1"/>
      <c r="C4534" s="1"/>
      <c r="D4534" s="1"/>
      <c r="E4534" s="1"/>
      <c r="F4534" s="1"/>
      <c r="G4534" s="1"/>
      <c r="H4534" s="61"/>
      <c r="I4534" s="1"/>
    </row>
    <row r="4535" spans="2:9" ht="15" thickBot="1" x14ac:dyDescent="0.2">
      <c r="B4535" s="1"/>
      <c r="C4535" s="1"/>
      <c r="D4535" s="1"/>
      <c r="E4535" s="1"/>
      <c r="F4535" s="35" t="s">
        <v>43</v>
      </c>
      <c r="G4535" s="16"/>
      <c r="H4535" s="16"/>
      <c r="I4535" s="232">
        <f>ROUND((I4515+I4521+I4527+I4533),0)</f>
        <v>29377</v>
      </c>
    </row>
    <row r="4536" spans="2:9" x14ac:dyDescent="0.15">
      <c r="B4536" s="12"/>
      <c r="C4536" s="12"/>
      <c r="D4536" s="1"/>
      <c r="E4536" s="1"/>
      <c r="F4536" s="1"/>
      <c r="G4536" s="1"/>
      <c r="H4536" s="172"/>
      <c r="I4536" s="172"/>
    </row>
    <row r="4537" spans="2:9" x14ac:dyDescent="0.15">
      <c r="B4537" s="16"/>
      <c r="C4537" s="16"/>
      <c r="D4537" s="16"/>
      <c r="E4537" s="16"/>
      <c r="F4537" s="16"/>
      <c r="G4537" s="61"/>
      <c r="H4537" s="173"/>
      <c r="I4537" s="172"/>
    </row>
    <row r="4538" spans="2:9" x14ac:dyDescent="0.15">
      <c r="B4538" s="1"/>
      <c r="C4538" s="1"/>
      <c r="D4538" s="1"/>
      <c r="E4538" s="1"/>
      <c r="F4538" s="1"/>
      <c r="G4538" s="161"/>
      <c r="H4538" s="172"/>
      <c r="I4538" s="172"/>
    </row>
    <row r="4539" spans="2:9" x14ac:dyDescent="0.15">
      <c r="B4539" s="1"/>
      <c r="C4539" s="1"/>
      <c r="D4539" s="1"/>
      <c r="E4539" s="1"/>
      <c r="F4539" s="1"/>
      <c r="G4539" s="161"/>
      <c r="H4539" s="172"/>
      <c r="I4539" s="172"/>
    </row>
    <row r="4540" spans="2:9" x14ac:dyDescent="0.15">
      <c r="B4540" s="1"/>
      <c r="C4540" s="1"/>
      <c r="D4540" s="1"/>
      <c r="E4540" s="1"/>
      <c r="F4540" s="1"/>
      <c r="G4540" s="161"/>
      <c r="H4540" s="172"/>
      <c r="I4540" s="172"/>
    </row>
    <row r="4541" spans="2:9" x14ac:dyDescent="0.15">
      <c r="B4541" s="1"/>
      <c r="C4541" s="1"/>
      <c r="D4541" s="1"/>
      <c r="E4541" s="1"/>
      <c r="F4541" s="1"/>
      <c r="G4541" s="1"/>
      <c r="H4541" s="37"/>
      <c r="I4541" s="172"/>
    </row>
    <row r="4542" spans="2:9" ht="14" x14ac:dyDescent="0.15">
      <c r="B4542" s="102"/>
      <c r="C4542" s="1"/>
      <c r="D4542" s="1"/>
      <c r="E4542" s="1"/>
      <c r="F4542" s="1"/>
      <c r="G4542" s="1"/>
      <c r="H4542" s="1"/>
      <c r="I4542" s="172"/>
    </row>
    <row r="4543" spans="2:9" ht="14" x14ac:dyDescent="0.15">
      <c r="B4543" s="83"/>
      <c r="C4543" s="11"/>
      <c r="D4543" s="1"/>
      <c r="E4543" s="916"/>
      <c r="F4543" s="916"/>
      <c r="G4543" s="916"/>
      <c r="H4543" s="916"/>
      <c r="I4543" s="171"/>
    </row>
    <row r="4544" spans="2:9" ht="14" x14ac:dyDescent="0.15">
      <c r="B4544" s="102"/>
      <c r="C4544" s="11"/>
      <c r="D4544" s="1"/>
      <c r="E4544" s="155"/>
      <c r="F4544" s="155"/>
      <c r="G4544" s="155"/>
      <c r="H4544" s="155"/>
      <c r="I4544" s="171"/>
    </row>
    <row r="4545" spans="2:10" ht="14" x14ac:dyDescent="0.15">
      <c r="B4545" s="83"/>
      <c r="C4545" s="11"/>
      <c r="D4545" s="1"/>
      <c r="E4545" s="155"/>
      <c r="F4545" s="155"/>
      <c r="G4545" s="155"/>
      <c r="H4545" s="155"/>
      <c r="I4545" s="171"/>
    </row>
    <row r="4546" spans="2:10" x14ac:dyDescent="0.15">
      <c r="B4546" s="11"/>
      <c r="C4546" s="11"/>
      <c r="D4546" s="1"/>
      <c r="E4546" s="155"/>
      <c r="F4546" s="155"/>
      <c r="G4546" s="155"/>
      <c r="H4546" s="155"/>
      <c r="I4546" s="171"/>
    </row>
    <row r="4547" spans="2:10" x14ac:dyDescent="0.15">
      <c r="B4547" s="11"/>
      <c r="C4547" s="11"/>
      <c r="D4547" s="1"/>
      <c r="E4547" s="155"/>
      <c r="F4547" s="155"/>
      <c r="G4547" s="155"/>
      <c r="H4547" s="155"/>
      <c r="I4547" s="171"/>
    </row>
    <row r="4548" spans="2:10" x14ac:dyDescent="0.15">
      <c r="B4548" s="11"/>
      <c r="C4548" s="11"/>
      <c r="D4548" s="1"/>
      <c r="E4548" s="155"/>
      <c r="F4548" s="155"/>
      <c r="G4548" s="155"/>
      <c r="H4548" s="155"/>
      <c r="I4548" s="171"/>
    </row>
    <row r="4549" spans="2:10" x14ac:dyDescent="0.15">
      <c r="B4549" s="11"/>
      <c r="C4549" s="11"/>
      <c r="D4549" s="1"/>
      <c r="E4549" s="155"/>
      <c r="F4549" s="155"/>
      <c r="G4549" s="155"/>
      <c r="H4549" s="155"/>
      <c r="I4549" s="171"/>
    </row>
    <row r="4550" spans="2:10" x14ac:dyDescent="0.15">
      <c r="B4550" s="11"/>
      <c r="C4550" s="11"/>
      <c r="D4550" s="1"/>
      <c r="E4550" s="155"/>
      <c r="F4550" s="155"/>
      <c r="G4550" s="155"/>
      <c r="H4550" s="155"/>
      <c r="I4550" s="171"/>
    </row>
    <row r="4551" spans="2:10" x14ac:dyDescent="0.15">
      <c r="B4551" s="11"/>
      <c r="C4551" s="11"/>
      <c r="D4551" s="1"/>
      <c r="E4551" s="155"/>
      <c r="F4551" s="155"/>
      <c r="G4551" s="155"/>
      <c r="H4551" s="155"/>
      <c r="I4551" s="171"/>
    </row>
    <row r="4552" spans="2:10" ht="14" x14ac:dyDescent="0.15">
      <c r="B4552" s="83"/>
      <c r="C4552" s="83"/>
      <c r="D4552" s="84"/>
      <c r="E4552" s="83"/>
      <c r="F4552" s="156"/>
      <c r="G4552" s="157"/>
      <c r="H4552" s="158"/>
      <c r="I4552" s="159"/>
      <c r="J4552" s="85"/>
    </row>
    <row r="4553" spans="2:10" ht="14" x14ac:dyDescent="0.15">
      <c r="B4553" s="83"/>
      <c r="C4553" s="11"/>
      <c r="D4553" s="11"/>
      <c r="E4553" s="11"/>
      <c r="F4553" s="938"/>
      <c r="G4553" s="938"/>
      <c r="H4553" s="938"/>
      <c r="I4553" s="938"/>
    </row>
    <row r="4554" spans="2:10" x14ac:dyDescent="0.15">
      <c r="B4554" s="11"/>
      <c r="C4554" s="11"/>
      <c r="D4554" s="1"/>
      <c r="E4554" s="155"/>
      <c r="F4554" s="155"/>
      <c r="G4554" s="155"/>
      <c r="H4554" s="155"/>
      <c r="I4554" s="171"/>
    </row>
    <row r="4555" spans="2:10" x14ac:dyDescent="0.15">
      <c r="B4555" s="11"/>
      <c r="C4555" s="11"/>
      <c r="D4555" s="1"/>
      <c r="E4555" s="155"/>
      <c r="F4555" s="155"/>
      <c r="G4555" s="155"/>
      <c r="H4555" s="155"/>
      <c r="I4555" s="171"/>
    </row>
    <row r="4556" spans="2:10" ht="14" thickBot="1" x14ac:dyDescent="0.2"/>
    <row r="4557" spans="2:10" ht="21" customHeight="1" x14ac:dyDescent="0.15">
      <c r="B4557" s="885" t="s">
        <v>874</v>
      </c>
      <c r="C4557" s="886"/>
      <c r="D4557" s="886"/>
      <c r="E4557" s="886"/>
      <c r="F4557" s="887"/>
      <c r="G4557" s="1"/>
      <c r="H4557" s="879" t="s">
        <v>20</v>
      </c>
      <c r="I4557" s="880"/>
    </row>
    <row r="4558" spans="2:10" ht="16.5" customHeight="1" x14ac:dyDescent="0.15">
      <c r="B4558" s="888" t="s">
        <v>875</v>
      </c>
      <c r="C4558" s="889"/>
      <c r="D4558" s="889"/>
      <c r="E4558" s="889"/>
      <c r="F4558" s="890"/>
      <c r="G4558" s="63"/>
      <c r="H4558" s="881"/>
      <c r="I4558" s="882"/>
    </row>
    <row r="4559" spans="2:10" ht="12.75" customHeight="1" x14ac:dyDescent="0.15">
      <c r="B4559" s="906" t="s">
        <v>876</v>
      </c>
      <c r="C4559" s="907"/>
      <c r="D4559" s="907"/>
      <c r="E4559" s="907"/>
      <c r="F4559" s="908"/>
      <c r="G4559" s="63"/>
      <c r="H4559" s="883"/>
      <c r="I4559" s="884"/>
    </row>
    <row r="4560" spans="2:10" ht="16.5" customHeight="1" thickBot="1" x14ac:dyDescent="0.2">
      <c r="B4560" s="909"/>
      <c r="C4560" s="910"/>
      <c r="D4560" s="910"/>
      <c r="E4560" s="910"/>
      <c r="F4560" s="911"/>
      <c r="G4560" s="1"/>
      <c r="H4560" s="956" t="s">
        <v>942</v>
      </c>
      <c r="I4560" s="957"/>
    </row>
    <row r="4561" spans="2:9" ht="13.5" customHeight="1" thickBot="1" x14ac:dyDescent="0.2">
      <c r="B4561" s="15"/>
      <c r="C4561" s="16"/>
      <c r="D4561" s="1"/>
      <c r="E4561" s="1"/>
      <c r="F4561" s="1"/>
      <c r="G4561" s="1"/>
      <c r="H4561" s="958"/>
      <c r="I4561" s="959"/>
    </row>
    <row r="4562" spans="2:9" ht="12.75" customHeight="1" x14ac:dyDescent="0.15">
      <c r="B4562" s="922" t="s">
        <v>836</v>
      </c>
      <c r="C4562" s="923"/>
      <c r="D4562" s="923"/>
      <c r="E4562" s="923"/>
      <c r="F4562" s="924"/>
      <c r="G4562" s="1"/>
      <c r="H4562" s="958"/>
      <c r="I4562" s="959"/>
    </row>
    <row r="4563" spans="2:9" ht="12.75" customHeight="1" x14ac:dyDescent="0.15">
      <c r="B4563" s="925"/>
      <c r="C4563" s="926"/>
      <c r="D4563" s="926"/>
      <c r="E4563" s="926"/>
      <c r="F4563" s="927"/>
      <c r="H4563" s="958"/>
      <c r="I4563" s="959"/>
    </row>
    <row r="4564" spans="2:9" ht="13.5" customHeight="1" x14ac:dyDescent="0.15">
      <c r="B4564" s="925"/>
      <c r="C4564" s="926"/>
      <c r="D4564" s="926"/>
      <c r="E4564" s="926"/>
      <c r="F4564" s="927"/>
      <c r="G4564" s="11"/>
      <c r="H4564" s="960"/>
      <c r="I4564" s="961"/>
    </row>
    <row r="4565" spans="2:9" ht="21.75" customHeight="1" thickBot="1" x14ac:dyDescent="0.2">
      <c r="B4565" s="928"/>
      <c r="C4565" s="929"/>
      <c r="D4565" s="929"/>
      <c r="E4565" s="929"/>
      <c r="F4565" s="930"/>
      <c r="H4565" s="64" t="s">
        <v>45</v>
      </c>
      <c r="I4565" s="17" t="s">
        <v>319</v>
      </c>
    </row>
    <row r="4566" spans="2:9" x14ac:dyDescent="0.15">
      <c r="B4566" s="18"/>
      <c r="C4566" s="18"/>
      <c r="D4566" s="1"/>
      <c r="E4566" s="18"/>
      <c r="F4566" s="18"/>
      <c r="G4566" s="18"/>
      <c r="H4566" s="18"/>
      <c r="I4566" s="1"/>
    </row>
    <row r="4567" spans="2:9" ht="14" thickBot="1" x14ac:dyDescent="0.2">
      <c r="B4567" s="12" t="s">
        <v>21</v>
      </c>
      <c r="C4567" s="12"/>
      <c r="D4567" s="1"/>
      <c r="E4567" s="1"/>
      <c r="F4567" s="1"/>
      <c r="G4567" s="1"/>
      <c r="H4567" s="1"/>
      <c r="I4567" s="1"/>
    </row>
    <row r="4568" spans="2:9" x14ac:dyDescent="0.15">
      <c r="B4568" s="903" t="s">
        <v>22</v>
      </c>
      <c r="C4568" s="904"/>
      <c r="D4568" s="905"/>
      <c r="E4568" s="209" t="s">
        <v>23</v>
      </c>
      <c r="F4568" s="19" t="s">
        <v>47</v>
      </c>
      <c r="G4568" s="209" t="s">
        <v>24</v>
      </c>
      <c r="H4568" s="208" t="s">
        <v>25</v>
      </c>
      <c r="I4568" s="43"/>
    </row>
    <row r="4569" spans="2:9" x14ac:dyDescent="0.15">
      <c r="B4569" s="897" t="s">
        <v>56</v>
      </c>
      <c r="C4569" s="898"/>
      <c r="D4569" s="899"/>
      <c r="E4569" s="5"/>
      <c r="F4569" s="162"/>
      <c r="G4569" s="58"/>
      <c r="H4569" s="162">
        <f>I4588*0.05</f>
        <v>429.72125</v>
      </c>
      <c r="I4569" s="44"/>
    </row>
    <row r="4570" spans="2:9" ht="14" thickBot="1" x14ac:dyDescent="0.2">
      <c r="B4570" s="900"/>
      <c r="C4570" s="901"/>
      <c r="D4570" s="902"/>
      <c r="E4570" s="21"/>
      <c r="F4570" s="22"/>
      <c r="G4570" s="23"/>
      <c r="H4570" s="47"/>
      <c r="I4570" s="48"/>
    </row>
    <row r="4571" spans="2:9" ht="14" thickBot="1" x14ac:dyDescent="0.2">
      <c r="B4571" s="1"/>
      <c r="C4571" s="1"/>
      <c r="D4571" s="1"/>
      <c r="E4571" s="1"/>
      <c r="F4571" s="1"/>
      <c r="G4571" s="1"/>
      <c r="H4571" s="37" t="s">
        <v>26</v>
      </c>
      <c r="I4571" s="163">
        <f>SUM(H4569:H4570)</f>
        <v>429.72125</v>
      </c>
    </row>
    <row r="4572" spans="2:9" ht="14" thickBot="1" x14ac:dyDescent="0.2">
      <c r="B4572" s="12" t="s">
        <v>27</v>
      </c>
      <c r="C4572" s="12"/>
      <c r="D4572" s="1"/>
      <c r="E4572" s="1"/>
      <c r="F4572" s="1"/>
      <c r="G4572" s="1"/>
      <c r="H4572" s="1"/>
      <c r="I4572" s="1"/>
    </row>
    <row r="4573" spans="2:9" x14ac:dyDescent="0.15">
      <c r="B4573" s="903" t="s">
        <v>22</v>
      </c>
      <c r="C4573" s="904"/>
      <c r="D4573" s="905"/>
      <c r="E4573" s="209" t="s">
        <v>28</v>
      </c>
      <c r="F4573" s="209" t="s">
        <v>29</v>
      </c>
      <c r="G4573" s="209" t="s">
        <v>30</v>
      </c>
      <c r="H4573" s="208" t="s">
        <v>25</v>
      </c>
      <c r="I4573" s="43"/>
    </row>
    <row r="4574" spans="2:9" x14ac:dyDescent="0.15">
      <c r="B4574" s="4" t="s">
        <v>943</v>
      </c>
      <c r="C4574" s="24"/>
      <c r="D4574" s="6"/>
      <c r="E4574" s="3" t="s">
        <v>319</v>
      </c>
      <c r="F4574" s="164">
        <f>MATERIALES!C173</f>
        <v>10800</v>
      </c>
      <c r="G4574" s="65">
        <v>1</v>
      </c>
      <c r="H4574" s="165">
        <f>G4574*F4574</f>
        <v>10800</v>
      </c>
      <c r="I4574" s="44"/>
    </row>
    <row r="4575" spans="2:9" x14ac:dyDescent="0.15">
      <c r="B4575" s="4" t="s">
        <v>71</v>
      </c>
      <c r="C4575" s="24"/>
      <c r="D4575" s="6"/>
      <c r="E4575" s="3" t="s">
        <v>44</v>
      </c>
      <c r="F4575" s="166">
        <f>MATERIALES!F165</f>
        <v>27000</v>
      </c>
      <c r="G4575" s="65">
        <v>0.01</v>
      </c>
      <c r="H4575" s="165">
        <f>G4575*F4575</f>
        <v>270</v>
      </c>
      <c r="I4575" s="44"/>
    </row>
    <row r="4576" spans="2:9" ht="14" thickBot="1" x14ac:dyDescent="0.2">
      <c r="B4576" s="25"/>
      <c r="C4576" s="26"/>
      <c r="D4576" s="27"/>
      <c r="E4576" s="21"/>
      <c r="F4576" s="22"/>
      <c r="G4576" s="167"/>
      <c r="H4576" s="47"/>
      <c r="I4576" s="48"/>
    </row>
    <row r="4577" spans="2:9" ht="14" thickBot="1" x14ac:dyDescent="0.2">
      <c r="B4577" s="1"/>
      <c r="C4577" s="1"/>
      <c r="D4577" s="1"/>
      <c r="E4577" s="1"/>
      <c r="F4577" s="1"/>
      <c r="G4577" s="1"/>
      <c r="H4577" s="37" t="s">
        <v>26</v>
      </c>
      <c r="I4577" s="163">
        <f>SUM(H4574:H4576)</f>
        <v>11070</v>
      </c>
    </row>
    <row r="4578" spans="2:9" ht="14" thickBot="1" x14ac:dyDescent="0.2">
      <c r="B4578" s="28" t="s">
        <v>31</v>
      </c>
      <c r="C4578" s="28"/>
      <c r="D4578" s="26"/>
      <c r="E4578" s="1"/>
      <c r="F4578" s="1"/>
      <c r="G4578" s="1"/>
      <c r="H4578" s="1"/>
      <c r="I4578" s="1"/>
    </row>
    <row r="4579" spans="2:9" x14ac:dyDescent="0.15">
      <c r="B4579" s="51" t="s">
        <v>32</v>
      </c>
      <c r="C4579" s="52"/>
      <c r="D4579" s="97" t="s">
        <v>33</v>
      </c>
      <c r="E4579" s="209" t="s">
        <v>34</v>
      </c>
      <c r="F4579" s="209" t="s">
        <v>35</v>
      </c>
      <c r="G4579" s="209" t="s">
        <v>36</v>
      </c>
      <c r="H4579" s="59" t="s">
        <v>25</v>
      </c>
      <c r="I4579" s="43"/>
    </row>
    <row r="4580" spans="2:9" x14ac:dyDescent="0.15">
      <c r="B4580" s="4" t="s">
        <v>79</v>
      </c>
      <c r="C4580" s="6"/>
      <c r="D4580" s="53">
        <v>2.5000000000000001E-2</v>
      </c>
      <c r="E4580" s="2">
        <v>15</v>
      </c>
      <c r="F4580" s="2">
        <f>E4580*D4580</f>
        <v>0.375</v>
      </c>
      <c r="G4580" s="162">
        <v>1100</v>
      </c>
      <c r="H4580" s="20">
        <f>G4580*F4580</f>
        <v>412.5</v>
      </c>
      <c r="I4580" s="44"/>
    </row>
    <row r="4581" spans="2:9" ht="14" thickBot="1" x14ac:dyDescent="0.2">
      <c r="B4581" s="33"/>
      <c r="C4581" s="54"/>
      <c r="D4581" s="21"/>
      <c r="E4581" s="22"/>
      <c r="F4581" s="23"/>
      <c r="G4581" s="47"/>
      <c r="H4581" s="21"/>
      <c r="I4581" s="48"/>
    </row>
    <row r="4582" spans="2:9" ht="14" thickBot="1" x14ac:dyDescent="0.2">
      <c r="B4582" s="1"/>
      <c r="C4582" s="1"/>
      <c r="D4582" s="1"/>
      <c r="E4582" s="1"/>
      <c r="F4582" s="1"/>
      <c r="G4582" s="1"/>
      <c r="H4582" s="37" t="s">
        <v>26</v>
      </c>
      <c r="I4582" s="163">
        <f>SUM(H4580:H4581)</f>
        <v>412.5</v>
      </c>
    </row>
    <row r="4583" spans="2:9" ht="14" thickBot="1" x14ac:dyDescent="0.2">
      <c r="B4583" s="28" t="s">
        <v>37</v>
      </c>
      <c r="C4583" s="28"/>
      <c r="D4583" s="1"/>
      <c r="E4583" s="1"/>
      <c r="F4583" s="1"/>
      <c r="G4583" s="1"/>
      <c r="H4583" s="1"/>
      <c r="I4583" s="1"/>
    </row>
    <row r="4584" spans="2:9" x14ac:dyDescent="0.15">
      <c r="B4584" s="51" t="s">
        <v>38</v>
      </c>
      <c r="C4584" s="86"/>
      <c r="D4584" s="31" t="s">
        <v>39</v>
      </c>
      <c r="E4584" s="209" t="s">
        <v>40</v>
      </c>
      <c r="F4584" s="19" t="s">
        <v>41</v>
      </c>
      <c r="G4584" s="31" t="s">
        <v>24</v>
      </c>
      <c r="H4584" s="59" t="s">
        <v>25</v>
      </c>
      <c r="I4584" s="43"/>
    </row>
    <row r="4585" spans="2:9" x14ac:dyDescent="0.15">
      <c r="B4585" s="4" t="s">
        <v>106</v>
      </c>
      <c r="C4585" s="24"/>
      <c r="D4585" s="32">
        <f>'MANO DE OBRA'!E16</f>
        <v>95333</v>
      </c>
      <c r="E4585" s="168">
        <v>1.75</v>
      </c>
      <c r="F4585" s="164">
        <f>+E4585*D4585</f>
        <v>166832.75</v>
      </c>
      <c r="G4585" s="20">
        <v>30</v>
      </c>
      <c r="H4585" s="169">
        <f>+F4585/G4585</f>
        <v>5561.0916666666662</v>
      </c>
      <c r="I4585" s="44"/>
    </row>
    <row r="4586" spans="2:9" x14ac:dyDescent="0.15">
      <c r="B4586" s="4" t="s">
        <v>179</v>
      </c>
      <c r="C4586" s="24"/>
      <c r="D4586" s="32">
        <f>'MANO DE OBRA'!E14</f>
        <v>52000</v>
      </c>
      <c r="E4586" s="168">
        <v>1.75</v>
      </c>
      <c r="F4586" s="164">
        <f>+E4586*D4586</f>
        <v>91000</v>
      </c>
      <c r="G4586" s="20">
        <v>30</v>
      </c>
      <c r="H4586" s="169">
        <f>+F4586/G4586</f>
        <v>3033.3333333333335</v>
      </c>
      <c r="I4586" s="44"/>
    </row>
    <row r="4587" spans="2:9" ht="14" thickBot="1" x14ac:dyDescent="0.2">
      <c r="B4587" s="33"/>
      <c r="C4587" s="34"/>
      <c r="D4587" s="22"/>
      <c r="E4587" s="21"/>
      <c r="F4587" s="22"/>
      <c r="G4587" s="23"/>
      <c r="H4587" s="87"/>
      <c r="I4587" s="44"/>
    </row>
    <row r="4588" spans="2:9" ht="14" thickBot="1" x14ac:dyDescent="0.2">
      <c r="B4588" s="1"/>
      <c r="C4588" s="1"/>
      <c r="D4588" s="1"/>
      <c r="E4588" s="1"/>
      <c r="F4588" s="1"/>
      <c r="G4588" s="1"/>
      <c r="H4588" s="37" t="s">
        <v>26</v>
      </c>
      <c r="I4588" s="163">
        <f>SUM(H4585:H4587)</f>
        <v>8594.4249999999993</v>
      </c>
    </row>
    <row r="4589" spans="2:9" ht="14" thickBot="1" x14ac:dyDescent="0.2">
      <c r="B4589" s="1"/>
      <c r="C4589" s="1"/>
      <c r="D4589" s="1"/>
      <c r="E4589" s="1"/>
      <c r="F4589" s="1"/>
      <c r="G4589" s="1"/>
      <c r="H4589" s="61"/>
      <c r="I4589" s="1"/>
    </row>
    <row r="4590" spans="2:9" ht="15" thickBot="1" x14ac:dyDescent="0.2">
      <c r="B4590" s="1"/>
      <c r="C4590" s="1"/>
      <c r="D4590" s="1"/>
      <c r="E4590" s="1"/>
      <c r="F4590" s="35" t="s">
        <v>43</v>
      </c>
      <c r="G4590" s="16"/>
      <c r="H4590" s="16"/>
      <c r="I4590" s="232">
        <f>ROUND((I4571+I4577+I4582+I4588),0)</f>
        <v>20507</v>
      </c>
    </row>
    <row r="4591" spans="2:9" x14ac:dyDescent="0.15">
      <c r="B4591" s="12"/>
      <c r="C4591" s="12"/>
      <c r="D4591" s="1"/>
      <c r="E4591" s="1"/>
      <c r="F4591" s="1"/>
      <c r="G4591" s="1"/>
      <c r="H4591" s="172"/>
      <c r="I4591" s="172"/>
    </row>
    <row r="4592" spans="2:9" x14ac:dyDescent="0.15">
      <c r="B4592" s="16"/>
      <c r="C4592" s="16"/>
      <c r="D4592" s="16"/>
      <c r="E4592" s="16"/>
      <c r="F4592" s="16"/>
      <c r="G4592" s="61"/>
      <c r="H4592" s="173"/>
      <c r="I4592" s="172"/>
    </row>
    <row r="4593" spans="2:9" x14ac:dyDescent="0.15">
      <c r="B4593" s="1"/>
      <c r="C4593" s="1"/>
      <c r="D4593" s="1"/>
      <c r="E4593" s="1"/>
      <c r="F4593" s="1"/>
      <c r="G4593" s="161"/>
      <c r="H4593" s="172"/>
      <c r="I4593" s="172"/>
    </row>
    <row r="4594" spans="2:9" x14ac:dyDescent="0.15">
      <c r="B4594" s="1"/>
      <c r="C4594" s="1"/>
      <c r="D4594" s="1"/>
      <c r="E4594" s="1"/>
      <c r="F4594" s="1"/>
      <c r="G4594" s="161"/>
      <c r="H4594" s="172"/>
      <c r="I4594" s="172"/>
    </row>
    <row r="4595" spans="2:9" x14ac:dyDescent="0.15">
      <c r="B4595" s="1"/>
      <c r="C4595" s="1"/>
      <c r="D4595" s="1"/>
      <c r="E4595" s="1"/>
      <c r="F4595" s="1"/>
      <c r="G4595" s="161"/>
      <c r="H4595" s="172"/>
      <c r="I4595" s="172"/>
    </row>
    <row r="4596" spans="2:9" x14ac:dyDescent="0.15">
      <c r="B4596" s="1"/>
      <c r="C4596" s="1"/>
      <c r="D4596" s="1"/>
      <c r="E4596" s="1"/>
      <c r="F4596" s="1"/>
      <c r="G4596" s="1"/>
      <c r="H4596" s="37"/>
      <c r="I4596" s="172"/>
    </row>
    <row r="4597" spans="2:9" ht="14" x14ac:dyDescent="0.15">
      <c r="B4597" s="102"/>
      <c r="C4597" s="1"/>
      <c r="D4597" s="1"/>
      <c r="E4597" s="1"/>
      <c r="F4597" s="1"/>
      <c r="G4597" s="1"/>
      <c r="H4597" s="1"/>
      <c r="I4597" s="172"/>
    </row>
    <row r="4598" spans="2:9" ht="14" x14ac:dyDescent="0.15">
      <c r="B4598" s="83"/>
      <c r="C4598" s="11"/>
      <c r="D4598" s="1"/>
      <c r="E4598" s="916"/>
      <c r="F4598" s="916"/>
      <c r="G4598" s="916"/>
      <c r="H4598" s="916"/>
      <c r="I4598" s="171"/>
    </row>
    <row r="4599" spans="2:9" ht="14" x14ac:dyDescent="0.15">
      <c r="B4599" s="102"/>
      <c r="C4599" s="11"/>
      <c r="D4599" s="1"/>
      <c r="E4599" s="155"/>
      <c r="F4599" s="155"/>
      <c r="G4599" s="155"/>
      <c r="H4599" s="155"/>
      <c r="I4599" s="171"/>
    </row>
    <row r="4600" spans="2:9" ht="14" x14ac:dyDescent="0.15">
      <c r="B4600" s="83"/>
      <c r="C4600" s="11"/>
      <c r="D4600" s="1"/>
      <c r="E4600" s="155"/>
      <c r="F4600" s="155"/>
      <c r="G4600" s="155"/>
      <c r="H4600" s="155"/>
      <c r="I4600" s="171"/>
    </row>
    <row r="4601" spans="2:9" x14ac:dyDescent="0.15">
      <c r="B4601" s="11"/>
      <c r="C4601" s="11"/>
      <c r="D4601" s="1"/>
      <c r="E4601" s="155"/>
      <c r="F4601" s="155"/>
      <c r="G4601" s="155"/>
      <c r="H4601" s="155"/>
      <c r="I4601" s="171"/>
    </row>
    <row r="4602" spans="2:9" x14ac:dyDescent="0.15">
      <c r="B4602" s="11"/>
      <c r="C4602" s="11"/>
      <c r="D4602" s="1"/>
      <c r="E4602" s="155"/>
      <c r="F4602" s="155"/>
      <c r="G4602" s="155"/>
      <c r="H4602" s="155"/>
      <c r="I4602" s="171"/>
    </row>
    <row r="4603" spans="2:9" x14ac:dyDescent="0.15">
      <c r="B4603" s="11"/>
      <c r="C4603" s="11"/>
      <c r="D4603" s="1"/>
      <c r="E4603" s="155"/>
      <c r="F4603" s="155"/>
      <c r="G4603" s="155"/>
      <c r="H4603" s="155"/>
      <c r="I4603" s="171"/>
    </row>
    <row r="4604" spans="2:9" x14ac:dyDescent="0.15">
      <c r="B4604" s="11"/>
      <c r="C4604" s="11"/>
      <c r="D4604" s="1"/>
      <c r="E4604" s="155"/>
      <c r="F4604" s="155"/>
      <c r="G4604" s="155"/>
      <c r="H4604" s="155"/>
      <c r="I4604" s="171"/>
    </row>
    <row r="4605" spans="2:9" x14ac:dyDescent="0.15">
      <c r="B4605" s="11"/>
      <c r="C4605" s="11"/>
      <c r="D4605" s="1"/>
      <c r="E4605" s="155"/>
      <c r="F4605" s="155"/>
      <c r="G4605" s="155"/>
      <c r="H4605" s="155"/>
      <c r="I4605" s="171"/>
    </row>
    <row r="4606" spans="2:9" x14ac:dyDescent="0.15">
      <c r="B4606" s="11"/>
      <c r="C4606" s="11"/>
      <c r="D4606" s="1"/>
      <c r="E4606" s="155"/>
      <c r="F4606" s="155"/>
      <c r="G4606" s="155"/>
      <c r="H4606" s="155"/>
      <c r="I4606" s="171"/>
    </row>
    <row r="4607" spans="2:9" x14ac:dyDescent="0.15">
      <c r="B4607" s="11"/>
      <c r="C4607" s="11"/>
      <c r="D4607" s="1"/>
      <c r="E4607" s="155"/>
      <c r="F4607" s="155"/>
      <c r="G4607" s="155"/>
      <c r="H4607" s="155"/>
      <c r="I4607" s="171"/>
    </row>
    <row r="4608" spans="2:9" x14ac:dyDescent="0.15">
      <c r="B4608" s="11"/>
      <c r="C4608" s="11"/>
      <c r="D4608" s="1"/>
      <c r="E4608" s="155"/>
      <c r="F4608" s="155"/>
      <c r="G4608" s="155"/>
      <c r="H4608" s="155"/>
      <c r="I4608" s="171"/>
    </row>
    <row r="4609" spans="2:10" ht="14" x14ac:dyDescent="0.15">
      <c r="B4609" s="102"/>
      <c r="C4609" s="83"/>
      <c r="D4609" s="84"/>
      <c r="E4609" s="83"/>
      <c r="F4609" s="160"/>
      <c r="G4609" s="157"/>
      <c r="H4609" s="83"/>
      <c r="I4609" s="83"/>
      <c r="J4609" s="85"/>
    </row>
    <row r="4610" spans="2:10" ht="14" x14ac:dyDescent="0.15">
      <c r="B4610" s="83"/>
      <c r="C4610" s="83"/>
      <c r="D4610" s="84"/>
      <c r="E4610" s="83"/>
      <c r="F4610" s="156"/>
      <c r="G4610" s="157"/>
      <c r="H4610" s="158"/>
      <c r="I4610" s="159"/>
      <c r="J4610" s="85"/>
    </row>
    <row r="4611" spans="2:10" ht="14" x14ac:dyDescent="0.15">
      <c r="B4611" s="83"/>
      <c r="C4611" s="11"/>
      <c r="D4611" s="11"/>
      <c r="E4611" s="11"/>
      <c r="F4611" s="938"/>
      <c r="G4611" s="938"/>
      <c r="H4611" s="938"/>
      <c r="I4611" s="938"/>
    </row>
    <row r="4612" spans="2:10" ht="14" thickBot="1" x14ac:dyDescent="0.2">
      <c r="B4612" s="11"/>
      <c r="C4612" s="11"/>
      <c r="D4612" s="1"/>
      <c r="E4612" s="155"/>
      <c r="F4612" s="155"/>
      <c r="G4612" s="155"/>
      <c r="H4612" s="155"/>
      <c r="I4612" s="171"/>
    </row>
    <row r="4613" spans="2:10" ht="21" customHeight="1" x14ac:dyDescent="0.15">
      <c r="B4613" s="885" t="s">
        <v>874</v>
      </c>
      <c r="C4613" s="886"/>
      <c r="D4613" s="886"/>
      <c r="E4613" s="886"/>
      <c r="F4613" s="887"/>
      <c r="G4613" s="1"/>
      <c r="H4613" s="879" t="s">
        <v>20</v>
      </c>
      <c r="I4613" s="880"/>
    </row>
    <row r="4614" spans="2:10" ht="16.5" customHeight="1" x14ac:dyDescent="0.15">
      <c r="B4614" s="888" t="s">
        <v>875</v>
      </c>
      <c r="C4614" s="889"/>
      <c r="D4614" s="889"/>
      <c r="E4614" s="889"/>
      <c r="F4614" s="890"/>
      <c r="G4614" s="63"/>
      <c r="H4614" s="881"/>
      <c r="I4614" s="882"/>
    </row>
    <row r="4615" spans="2:10" ht="12.75" customHeight="1" x14ac:dyDescent="0.15">
      <c r="B4615" s="906" t="s">
        <v>876</v>
      </c>
      <c r="C4615" s="907"/>
      <c r="D4615" s="907"/>
      <c r="E4615" s="907"/>
      <c r="F4615" s="908"/>
      <c r="G4615" s="63"/>
      <c r="H4615" s="883"/>
      <c r="I4615" s="884"/>
    </row>
    <row r="4616" spans="2:10" ht="16.5" customHeight="1" thickBot="1" x14ac:dyDescent="0.2">
      <c r="B4616" s="909"/>
      <c r="C4616" s="910"/>
      <c r="D4616" s="910"/>
      <c r="E4616" s="910"/>
      <c r="F4616" s="911"/>
      <c r="G4616" s="1"/>
      <c r="H4616" s="956" t="s">
        <v>945</v>
      </c>
      <c r="I4616" s="957"/>
    </row>
    <row r="4617" spans="2:10" ht="13.5" customHeight="1" thickBot="1" x14ac:dyDescent="0.2">
      <c r="B4617" s="15"/>
      <c r="C4617" s="16"/>
      <c r="D4617" s="1"/>
      <c r="E4617" s="1"/>
      <c r="F4617" s="1"/>
      <c r="G4617" s="1"/>
      <c r="H4617" s="958"/>
      <c r="I4617" s="959"/>
    </row>
    <row r="4618" spans="2:10" ht="12.75" customHeight="1" x14ac:dyDescent="0.15">
      <c r="B4618" s="922" t="s">
        <v>836</v>
      </c>
      <c r="C4618" s="923"/>
      <c r="D4618" s="923"/>
      <c r="E4618" s="923"/>
      <c r="F4618" s="924"/>
      <c r="G4618" s="1"/>
      <c r="H4618" s="958"/>
      <c r="I4618" s="959"/>
    </row>
    <row r="4619" spans="2:10" ht="12.75" customHeight="1" x14ac:dyDescent="0.15">
      <c r="B4619" s="925"/>
      <c r="C4619" s="926"/>
      <c r="D4619" s="926"/>
      <c r="E4619" s="926"/>
      <c r="F4619" s="927"/>
      <c r="H4619" s="958"/>
      <c r="I4619" s="959"/>
    </row>
    <row r="4620" spans="2:10" ht="13.5" customHeight="1" x14ac:dyDescent="0.15">
      <c r="B4620" s="925"/>
      <c r="C4620" s="926"/>
      <c r="D4620" s="926"/>
      <c r="E4620" s="926"/>
      <c r="F4620" s="927"/>
      <c r="G4620" s="11"/>
      <c r="H4620" s="960"/>
      <c r="I4620" s="961"/>
    </row>
    <row r="4621" spans="2:10" ht="21.75" customHeight="1" thickBot="1" x14ac:dyDescent="0.2">
      <c r="B4621" s="928"/>
      <c r="C4621" s="929"/>
      <c r="D4621" s="929"/>
      <c r="E4621" s="929"/>
      <c r="F4621" s="930"/>
      <c r="H4621" s="64" t="s">
        <v>45</v>
      </c>
      <c r="I4621" s="17" t="s">
        <v>319</v>
      </c>
    </row>
    <row r="4622" spans="2:10" x14ac:dyDescent="0.15">
      <c r="B4622" s="18"/>
      <c r="C4622" s="18"/>
      <c r="D4622" s="1"/>
      <c r="E4622" s="18"/>
      <c r="F4622" s="18"/>
      <c r="G4622" s="18"/>
      <c r="H4622" s="18"/>
      <c r="I4622" s="1"/>
    </row>
    <row r="4623" spans="2:10" ht="14" thickBot="1" x14ac:dyDescent="0.2">
      <c r="B4623" s="12" t="s">
        <v>21</v>
      </c>
      <c r="C4623" s="12"/>
      <c r="D4623" s="1"/>
      <c r="E4623" s="1"/>
      <c r="F4623" s="1"/>
      <c r="G4623" s="1"/>
      <c r="H4623" s="1"/>
      <c r="I4623" s="1"/>
    </row>
    <row r="4624" spans="2:10" x14ac:dyDescent="0.15">
      <c r="B4624" s="903" t="s">
        <v>22</v>
      </c>
      <c r="C4624" s="904"/>
      <c r="D4624" s="905"/>
      <c r="E4624" s="209" t="s">
        <v>23</v>
      </c>
      <c r="F4624" s="19" t="s">
        <v>47</v>
      </c>
      <c r="G4624" s="209" t="s">
        <v>24</v>
      </c>
      <c r="H4624" s="208" t="s">
        <v>25</v>
      </c>
      <c r="I4624" s="43"/>
    </row>
    <row r="4625" spans="2:9" x14ac:dyDescent="0.15">
      <c r="B4625" s="897" t="s">
        <v>56</v>
      </c>
      <c r="C4625" s="898"/>
      <c r="D4625" s="899"/>
      <c r="E4625" s="5"/>
      <c r="F4625" s="162"/>
      <c r="G4625" s="58"/>
      <c r="H4625" s="162">
        <f>I4644*0.05</f>
        <v>859.4425</v>
      </c>
      <c r="I4625" s="44"/>
    </row>
    <row r="4626" spans="2:9" ht="14" thickBot="1" x14ac:dyDescent="0.2">
      <c r="B4626" s="900"/>
      <c r="C4626" s="901"/>
      <c r="D4626" s="902"/>
      <c r="E4626" s="21"/>
      <c r="F4626" s="22"/>
      <c r="G4626" s="23"/>
      <c r="H4626" s="47"/>
      <c r="I4626" s="48"/>
    </row>
    <row r="4627" spans="2:9" ht="14" thickBot="1" x14ac:dyDescent="0.2">
      <c r="B4627" s="1"/>
      <c r="C4627" s="1"/>
      <c r="D4627" s="1"/>
      <c r="E4627" s="1"/>
      <c r="F4627" s="1"/>
      <c r="G4627" s="1"/>
      <c r="H4627" s="37" t="s">
        <v>26</v>
      </c>
      <c r="I4627" s="163">
        <f>SUM(H4625:H4626)</f>
        <v>859.4425</v>
      </c>
    </row>
    <row r="4628" spans="2:9" ht="14" thickBot="1" x14ac:dyDescent="0.2">
      <c r="B4628" s="12" t="s">
        <v>27</v>
      </c>
      <c r="C4628" s="12"/>
      <c r="D4628" s="1"/>
      <c r="E4628" s="1"/>
      <c r="F4628" s="1"/>
      <c r="G4628" s="1"/>
      <c r="H4628" s="1"/>
      <c r="I4628" s="1"/>
    </row>
    <row r="4629" spans="2:9" x14ac:dyDescent="0.15">
      <c r="B4629" s="903" t="s">
        <v>22</v>
      </c>
      <c r="C4629" s="904"/>
      <c r="D4629" s="905"/>
      <c r="E4629" s="209" t="s">
        <v>28</v>
      </c>
      <c r="F4629" s="209" t="s">
        <v>29</v>
      </c>
      <c r="G4629" s="209" t="s">
        <v>30</v>
      </c>
      <c r="H4629" s="208" t="s">
        <v>25</v>
      </c>
      <c r="I4629" s="43"/>
    </row>
    <row r="4630" spans="2:9" x14ac:dyDescent="0.15">
      <c r="B4630" s="4" t="s">
        <v>944</v>
      </c>
      <c r="C4630" s="24"/>
      <c r="D4630" s="6"/>
      <c r="E4630" s="3" t="s">
        <v>319</v>
      </c>
      <c r="F4630" s="164">
        <f>MATERIALES!F175</f>
        <v>33750</v>
      </c>
      <c r="G4630" s="65">
        <v>1</v>
      </c>
      <c r="H4630" s="165">
        <f>G4630*F4630</f>
        <v>33750</v>
      </c>
      <c r="I4630" s="44"/>
    </row>
    <row r="4631" spans="2:9" x14ac:dyDescent="0.15">
      <c r="B4631" s="4" t="s">
        <v>69</v>
      </c>
      <c r="C4631" s="24"/>
      <c r="D4631" s="6"/>
      <c r="E4631" s="3" t="s">
        <v>19</v>
      </c>
      <c r="F4631" s="166">
        <v>5000</v>
      </c>
      <c r="G4631" s="65">
        <v>1</v>
      </c>
      <c r="H4631" s="165">
        <f>G4631*F4631</f>
        <v>5000</v>
      </c>
      <c r="I4631" s="44"/>
    </row>
    <row r="4632" spans="2:9" ht="14" thickBot="1" x14ac:dyDescent="0.2">
      <c r="B4632" s="25"/>
      <c r="C4632" s="26"/>
      <c r="D4632" s="27"/>
      <c r="E4632" s="21"/>
      <c r="F4632" s="22"/>
      <c r="G4632" s="167"/>
      <c r="H4632" s="47"/>
      <c r="I4632" s="48"/>
    </row>
    <row r="4633" spans="2:9" ht="14" thickBot="1" x14ac:dyDescent="0.2">
      <c r="B4633" s="1"/>
      <c r="C4633" s="1"/>
      <c r="D4633" s="1"/>
      <c r="E4633" s="1"/>
      <c r="F4633" s="1"/>
      <c r="G4633" s="1"/>
      <c r="H4633" s="37" t="s">
        <v>26</v>
      </c>
      <c r="I4633" s="163">
        <f>SUM(H4630:H4631)</f>
        <v>38750</v>
      </c>
    </row>
    <row r="4634" spans="2:9" ht="14" thickBot="1" x14ac:dyDescent="0.2">
      <c r="B4634" s="28" t="s">
        <v>31</v>
      </c>
      <c r="C4634" s="28"/>
      <c r="D4634" s="26"/>
      <c r="E4634" s="1"/>
      <c r="F4634" s="1"/>
      <c r="G4634" s="1"/>
      <c r="H4634" s="1"/>
      <c r="I4634" s="1"/>
    </row>
    <row r="4635" spans="2:9" x14ac:dyDescent="0.15">
      <c r="B4635" s="51" t="s">
        <v>32</v>
      </c>
      <c r="C4635" s="52"/>
      <c r="D4635" s="97" t="s">
        <v>33</v>
      </c>
      <c r="E4635" s="209" t="s">
        <v>34</v>
      </c>
      <c r="F4635" s="209" t="s">
        <v>35</v>
      </c>
      <c r="G4635" s="209" t="s">
        <v>36</v>
      </c>
      <c r="H4635" s="59" t="s">
        <v>25</v>
      </c>
      <c r="I4635" s="43"/>
    </row>
    <row r="4636" spans="2:9" x14ac:dyDescent="0.15">
      <c r="B4636" s="4" t="s">
        <v>79</v>
      </c>
      <c r="C4636" s="6"/>
      <c r="D4636" s="53">
        <v>0.05</v>
      </c>
      <c r="E4636" s="2">
        <v>43</v>
      </c>
      <c r="F4636" s="2">
        <f>E4636*D4636</f>
        <v>2.15</v>
      </c>
      <c r="G4636" s="162">
        <v>1100</v>
      </c>
      <c r="H4636" s="20">
        <f>G4636*F4636</f>
        <v>2365</v>
      </c>
      <c r="I4636" s="44"/>
    </row>
    <row r="4637" spans="2:9" ht="14" thickBot="1" x14ac:dyDescent="0.2">
      <c r="B4637" s="33"/>
      <c r="C4637" s="54"/>
      <c r="D4637" s="21"/>
      <c r="E4637" s="22"/>
      <c r="F4637" s="23"/>
      <c r="G4637" s="47"/>
      <c r="H4637" s="21"/>
      <c r="I4637" s="48"/>
    </row>
    <row r="4638" spans="2:9" ht="14" thickBot="1" x14ac:dyDescent="0.2">
      <c r="B4638" s="1"/>
      <c r="C4638" s="1"/>
      <c r="D4638" s="1"/>
      <c r="E4638" s="1"/>
      <c r="F4638" s="1"/>
      <c r="G4638" s="1"/>
      <c r="H4638" s="37" t="s">
        <v>26</v>
      </c>
      <c r="I4638" s="163">
        <f>SUM(H4636:H4637)</f>
        <v>2365</v>
      </c>
    </row>
    <row r="4639" spans="2:9" ht="14" thickBot="1" x14ac:dyDescent="0.2">
      <c r="B4639" s="28" t="s">
        <v>37</v>
      </c>
      <c r="C4639" s="28"/>
      <c r="D4639" s="1"/>
      <c r="E4639" s="1"/>
      <c r="F4639" s="1"/>
      <c r="G4639" s="1"/>
      <c r="H4639" s="1"/>
      <c r="I4639" s="1"/>
    </row>
    <row r="4640" spans="2:9" x14ac:dyDescent="0.15">
      <c r="B4640" s="51" t="s">
        <v>38</v>
      </c>
      <c r="C4640" s="86"/>
      <c r="D4640" s="31" t="s">
        <v>39</v>
      </c>
      <c r="E4640" s="209" t="s">
        <v>40</v>
      </c>
      <c r="F4640" s="19" t="s">
        <v>41</v>
      </c>
      <c r="G4640" s="31" t="s">
        <v>24</v>
      </c>
      <c r="H4640" s="59" t="s">
        <v>25</v>
      </c>
      <c r="I4640" s="43"/>
    </row>
    <row r="4641" spans="2:9" x14ac:dyDescent="0.15">
      <c r="B4641" s="4" t="s">
        <v>106</v>
      </c>
      <c r="C4641" s="24"/>
      <c r="D4641" s="32">
        <f>'MANO DE OBRA'!E16</f>
        <v>95333</v>
      </c>
      <c r="E4641" s="168">
        <v>1.75</v>
      </c>
      <c r="F4641" s="164">
        <f>+E4641*D4641</f>
        <v>166832.75</v>
      </c>
      <c r="G4641" s="20">
        <v>15</v>
      </c>
      <c r="H4641" s="169">
        <f>+F4641/G4641</f>
        <v>11122.183333333332</v>
      </c>
      <c r="I4641" s="44"/>
    </row>
    <row r="4642" spans="2:9" x14ac:dyDescent="0.15">
      <c r="B4642" s="4" t="s">
        <v>179</v>
      </c>
      <c r="C4642" s="24"/>
      <c r="D4642" s="32">
        <f>'MANO DE OBRA'!E14</f>
        <v>52000</v>
      </c>
      <c r="E4642" s="168">
        <v>1.75</v>
      </c>
      <c r="F4642" s="164">
        <f>+E4642*D4642</f>
        <v>91000</v>
      </c>
      <c r="G4642" s="20">
        <v>15</v>
      </c>
      <c r="H4642" s="169">
        <f>+F4642/G4642</f>
        <v>6066.666666666667</v>
      </c>
      <c r="I4642" s="44"/>
    </row>
    <row r="4643" spans="2:9" ht="14" thickBot="1" x14ac:dyDescent="0.2">
      <c r="B4643" s="33"/>
      <c r="C4643" s="34"/>
      <c r="D4643" s="22"/>
      <c r="E4643" s="21"/>
      <c r="F4643" s="22"/>
      <c r="G4643" s="23"/>
      <c r="H4643" s="87"/>
      <c r="I4643" s="44"/>
    </row>
    <row r="4644" spans="2:9" ht="14" thickBot="1" x14ac:dyDescent="0.2">
      <c r="B4644" s="1"/>
      <c r="C4644" s="1"/>
      <c r="D4644" s="1"/>
      <c r="E4644" s="1"/>
      <c r="F4644" s="1"/>
      <c r="G4644" s="1"/>
      <c r="H4644" s="37" t="s">
        <v>26</v>
      </c>
      <c r="I4644" s="163">
        <f>SUM(H4641:H4643)</f>
        <v>17188.849999999999</v>
      </c>
    </row>
    <row r="4645" spans="2:9" ht="14" thickBot="1" x14ac:dyDescent="0.2">
      <c r="B4645" s="1"/>
      <c r="C4645" s="1"/>
      <c r="D4645" s="1"/>
      <c r="E4645" s="1"/>
      <c r="F4645" s="1"/>
      <c r="G4645" s="1"/>
      <c r="H4645" s="61"/>
      <c r="I4645" s="1"/>
    </row>
    <row r="4646" spans="2:9" ht="15" thickBot="1" x14ac:dyDescent="0.2">
      <c r="B4646" s="1"/>
      <c r="C4646" s="1"/>
      <c r="D4646" s="1"/>
      <c r="E4646" s="1"/>
      <c r="F4646" s="35" t="s">
        <v>43</v>
      </c>
      <c r="G4646" s="16"/>
      <c r="H4646" s="16"/>
      <c r="I4646" s="232">
        <f>ROUND((I4627+I4633+I4638+I4644),0)</f>
        <v>59163</v>
      </c>
    </row>
    <row r="4647" spans="2:9" x14ac:dyDescent="0.15">
      <c r="B4647" s="12"/>
      <c r="C4647" s="12"/>
      <c r="D4647" s="1"/>
      <c r="E4647" s="1"/>
      <c r="F4647" s="1"/>
      <c r="G4647" s="1"/>
      <c r="H4647" s="172"/>
      <c r="I4647" s="172"/>
    </row>
    <row r="4648" spans="2:9" x14ac:dyDescent="0.15">
      <c r="B4648" s="16"/>
      <c r="C4648" s="16"/>
      <c r="D4648" s="16"/>
      <c r="E4648" s="16"/>
      <c r="F4648" s="16"/>
      <c r="G4648" s="61"/>
      <c r="H4648" s="173"/>
      <c r="I4648" s="172"/>
    </row>
    <row r="4649" spans="2:9" x14ac:dyDescent="0.15">
      <c r="B4649" s="1"/>
      <c r="C4649" s="1"/>
      <c r="D4649" s="1"/>
      <c r="E4649" s="1"/>
      <c r="F4649" s="1"/>
      <c r="G4649" s="161"/>
      <c r="H4649" s="172"/>
      <c r="I4649" s="172"/>
    </row>
    <row r="4650" spans="2:9" x14ac:dyDescent="0.15">
      <c r="B4650" s="1"/>
      <c r="C4650" s="1"/>
      <c r="D4650" s="1"/>
      <c r="E4650" s="1"/>
      <c r="F4650" s="1"/>
      <c r="G4650" s="161"/>
      <c r="H4650" s="172"/>
      <c r="I4650" s="172"/>
    </row>
    <row r="4651" spans="2:9" x14ac:dyDescent="0.15">
      <c r="B4651" s="1"/>
      <c r="C4651" s="1"/>
      <c r="D4651" s="1"/>
      <c r="E4651" s="1"/>
      <c r="F4651" s="1"/>
      <c r="G4651" s="161"/>
      <c r="H4651" s="172"/>
      <c r="I4651" s="172"/>
    </row>
    <row r="4652" spans="2:9" x14ac:dyDescent="0.15">
      <c r="B4652" s="1"/>
      <c r="C4652" s="1"/>
      <c r="D4652" s="1"/>
      <c r="E4652" s="1"/>
      <c r="F4652" s="1"/>
      <c r="G4652" s="1"/>
      <c r="H4652" s="37"/>
      <c r="I4652" s="172"/>
    </row>
    <row r="4653" spans="2:9" ht="14" x14ac:dyDescent="0.15">
      <c r="B4653" s="102"/>
      <c r="C4653" s="1"/>
      <c r="D4653" s="1"/>
      <c r="E4653" s="1"/>
      <c r="F4653" s="1"/>
      <c r="G4653" s="1"/>
      <c r="H4653" s="1"/>
      <c r="I4653" s="172"/>
    </row>
    <row r="4654" spans="2:9" ht="14" x14ac:dyDescent="0.15">
      <c r="B4654" s="83"/>
      <c r="C4654" s="11"/>
      <c r="D4654" s="1"/>
      <c r="E4654" s="916"/>
      <c r="F4654" s="916"/>
      <c r="G4654" s="916"/>
      <c r="H4654" s="916"/>
      <c r="I4654" s="171"/>
    </row>
    <row r="4655" spans="2:9" ht="14" x14ac:dyDescent="0.15">
      <c r="B4655" s="102"/>
      <c r="C4655" s="11"/>
      <c r="D4655" s="1"/>
      <c r="E4655" s="155"/>
      <c r="F4655" s="155"/>
      <c r="G4655" s="155"/>
      <c r="H4655" s="155"/>
      <c r="I4655" s="171"/>
    </row>
    <row r="4656" spans="2:9" ht="14" x14ac:dyDescent="0.15">
      <c r="B4656" s="83"/>
      <c r="C4656" s="11"/>
      <c r="D4656" s="1"/>
      <c r="E4656" s="155"/>
      <c r="F4656" s="155"/>
      <c r="G4656" s="155"/>
      <c r="H4656" s="155"/>
      <c r="I4656" s="171"/>
    </row>
    <row r="4657" spans="2:10" x14ac:dyDescent="0.15">
      <c r="B4657" s="11"/>
      <c r="C4657" s="11"/>
      <c r="D4657" s="1"/>
      <c r="E4657" s="155"/>
      <c r="F4657" s="155"/>
      <c r="G4657" s="155"/>
      <c r="H4657" s="155"/>
      <c r="I4657" s="171"/>
    </row>
    <row r="4658" spans="2:10" x14ac:dyDescent="0.15">
      <c r="B4658" s="11"/>
      <c r="C4658" s="11"/>
      <c r="D4658" s="1"/>
      <c r="E4658" s="155"/>
      <c r="F4658" s="155"/>
      <c r="G4658" s="155"/>
      <c r="H4658" s="155"/>
      <c r="I4658" s="171"/>
    </row>
    <row r="4659" spans="2:10" x14ac:dyDescent="0.15">
      <c r="B4659" s="11"/>
      <c r="C4659" s="11"/>
      <c r="D4659" s="1"/>
      <c r="E4659" s="155"/>
      <c r="F4659" s="155"/>
      <c r="G4659" s="155"/>
      <c r="H4659" s="155"/>
      <c r="I4659" s="171"/>
    </row>
    <row r="4660" spans="2:10" x14ac:dyDescent="0.15">
      <c r="B4660" s="11"/>
      <c r="C4660" s="11"/>
      <c r="D4660" s="1"/>
      <c r="E4660" s="155"/>
      <c r="F4660" s="155"/>
      <c r="G4660" s="155"/>
      <c r="H4660" s="155"/>
      <c r="I4660" s="171"/>
    </row>
    <row r="4661" spans="2:10" x14ac:dyDescent="0.15">
      <c r="B4661" s="11"/>
      <c r="C4661" s="11"/>
      <c r="D4661" s="1"/>
      <c r="E4661" s="155"/>
      <c r="F4661" s="155"/>
      <c r="G4661" s="155"/>
      <c r="H4661" s="155"/>
      <c r="I4661" s="171"/>
    </row>
    <row r="4665" spans="2:10" ht="14" x14ac:dyDescent="0.15">
      <c r="B4665" s="83"/>
      <c r="C4665" s="83"/>
      <c r="D4665" s="84"/>
      <c r="E4665" s="83"/>
      <c r="F4665" s="156"/>
      <c r="G4665" s="157"/>
      <c r="H4665" s="158"/>
      <c r="I4665" s="159"/>
      <c r="J4665" s="85"/>
    </row>
    <row r="4666" spans="2:10" ht="14" x14ac:dyDescent="0.15">
      <c r="B4666" s="83"/>
      <c r="C4666" s="11"/>
      <c r="D4666" s="11"/>
      <c r="E4666" s="11"/>
      <c r="F4666" s="938"/>
      <c r="G4666" s="938"/>
      <c r="H4666" s="938"/>
      <c r="I4666" s="938"/>
    </row>
    <row r="4667" spans="2:10" x14ac:dyDescent="0.15">
      <c r="B4667" s="11"/>
      <c r="C4667" s="11"/>
      <c r="D4667" s="1"/>
      <c r="E4667" s="155"/>
      <c r="F4667" s="155"/>
      <c r="G4667" s="155"/>
      <c r="H4667" s="155"/>
      <c r="I4667" s="171"/>
    </row>
    <row r="4668" spans="2:10" ht="14" thickBot="1" x14ac:dyDescent="0.2"/>
    <row r="4669" spans="2:10" ht="21" customHeight="1" x14ac:dyDescent="0.15">
      <c r="B4669" s="885" t="s">
        <v>874</v>
      </c>
      <c r="C4669" s="886"/>
      <c r="D4669" s="886"/>
      <c r="E4669" s="886"/>
      <c r="F4669" s="887"/>
      <c r="G4669" s="1"/>
      <c r="H4669" s="879" t="s">
        <v>20</v>
      </c>
      <c r="I4669" s="880"/>
    </row>
    <row r="4670" spans="2:10" ht="16.5" customHeight="1" x14ac:dyDescent="0.15">
      <c r="B4670" s="888" t="s">
        <v>875</v>
      </c>
      <c r="C4670" s="889"/>
      <c r="D4670" s="889"/>
      <c r="E4670" s="889"/>
      <c r="F4670" s="890"/>
      <c r="G4670" s="63"/>
      <c r="H4670" s="881"/>
      <c r="I4670" s="882"/>
    </row>
    <row r="4671" spans="2:10" ht="12.75" customHeight="1" x14ac:dyDescent="0.15">
      <c r="B4671" s="906" t="s">
        <v>876</v>
      </c>
      <c r="C4671" s="907"/>
      <c r="D4671" s="907"/>
      <c r="E4671" s="907"/>
      <c r="F4671" s="908"/>
      <c r="G4671" s="63"/>
      <c r="H4671" s="883"/>
      <c r="I4671" s="884"/>
    </row>
    <row r="4672" spans="2:10" ht="16.5" customHeight="1" thickBot="1" x14ac:dyDescent="0.2">
      <c r="B4672" s="909"/>
      <c r="C4672" s="910"/>
      <c r="D4672" s="910"/>
      <c r="E4672" s="910"/>
      <c r="F4672" s="911"/>
      <c r="G4672" s="1"/>
      <c r="H4672" s="891" t="s">
        <v>946</v>
      </c>
      <c r="I4672" s="892"/>
    </row>
    <row r="4673" spans="2:9" ht="14" thickBot="1" x14ac:dyDescent="0.2">
      <c r="B4673" s="15"/>
      <c r="C4673" s="16"/>
      <c r="D4673" s="1"/>
      <c r="E4673" s="1"/>
      <c r="F4673" s="1"/>
      <c r="G4673" s="1"/>
      <c r="H4673" s="893"/>
      <c r="I4673" s="894"/>
    </row>
    <row r="4674" spans="2:9" ht="12.75" customHeight="1" x14ac:dyDescent="0.15">
      <c r="B4674" s="922" t="s">
        <v>836</v>
      </c>
      <c r="C4674" s="923"/>
      <c r="D4674" s="923"/>
      <c r="E4674" s="923"/>
      <c r="F4674" s="924"/>
      <c r="G4674" s="1"/>
      <c r="H4674" s="893"/>
      <c r="I4674" s="894"/>
    </row>
    <row r="4675" spans="2:9" ht="12.75" customHeight="1" x14ac:dyDescent="0.15">
      <c r="B4675" s="925"/>
      <c r="C4675" s="926"/>
      <c r="D4675" s="926"/>
      <c r="E4675" s="926"/>
      <c r="F4675" s="927"/>
      <c r="H4675" s="893"/>
      <c r="I4675" s="894"/>
    </row>
    <row r="4676" spans="2:9" ht="13.5" customHeight="1" x14ac:dyDescent="0.15">
      <c r="B4676" s="925"/>
      <c r="C4676" s="926"/>
      <c r="D4676" s="926"/>
      <c r="E4676" s="926"/>
      <c r="F4676" s="927"/>
      <c r="G4676" s="11"/>
      <c r="H4676" s="895"/>
      <c r="I4676" s="896"/>
    </row>
    <row r="4677" spans="2:9" ht="21.75" customHeight="1" thickBot="1" x14ac:dyDescent="0.2">
      <c r="B4677" s="928"/>
      <c r="C4677" s="929"/>
      <c r="D4677" s="929"/>
      <c r="E4677" s="929"/>
      <c r="F4677" s="930"/>
      <c r="H4677" s="64" t="s">
        <v>45</v>
      </c>
      <c r="I4677" s="17" t="s">
        <v>319</v>
      </c>
    </row>
    <row r="4678" spans="2:9" x14ac:dyDescent="0.15">
      <c r="B4678" s="18"/>
      <c r="C4678" s="18"/>
      <c r="D4678" s="1"/>
      <c r="E4678" s="18"/>
      <c r="F4678" s="18"/>
      <c r="G4678" s="18"/>
      <c r="H4678" s="18"/>
      <c r="I4678" s="1"/>
    </row>
    <row r="4679" spans="2:9" ht="14" thickBot="1" x14ac:dyDescent="0.2">
      <c r="B4679" s="12" t="s">
        <v>21</v>
      </c>
      <c r="C4679" s="12"/>
      <c r="D4679" s="1"/>
      <c r="E4679" s="1"/>
      <c r="F4679" s="1"/>
      <c r="G4679" s="1"/>
      <c r="H4679" s="1"/>
      <c r="I4679" s="1"/>
    </row>
    <row r="4680" spans="2:9" x14ac:dyDescent="0.15">
      <c r="B4680" s="903" t="s">
        <v>22</v>
      </c>
      <c r="C4680" s="904"/>
      <c r="D4680" s="905"/>
      <c r="E4680" s="209" t="s">
        <v>23</v>
      </c>
      <c r="F4680" s="19" t="s">
        <v>47</v>
      </c>
      <c r="G4680" s="209" t="s">
        <v>24</v>
      </c>
      <c r="H4680" s="208" t="s">
        <v>25</v>
      </c>
      <c r="I4680" s="43"/>
    </row>
    <row r="4681" spans="2:9" x14ac:dyDescent="0.15">
      <c r="B4681" s="897" t="s">
        <v>56</v>
      </c>
      <c r="C4681" s="898"/>
      <c r="D4681" s="899"/>
      <c r="E4681" s="5"/>
      <c r="F4681" s="162"/>
      <c r="G4681" s="58"/>
      <c r="H4681" s="162">
        <f>I4700*0.05</f>
        <v>1744.1637500000002</v>
      </c>
      <c r="I4681" s="44"/>
    </row>
    <row r="4682" spans="2:9" ht="14" thickBot="1" x14ac:dyDescent="0.2">
      <c r="B4682" s="900"/>
      <c r="C4682" s="901"/>
      <c r="D4682" s="902"/>
      <c r="E4682" s="21"/>
      <c r="F4682" s="22"/>
      <c r="G4682" s="23"/>
      <c r="H4682" s="47"/>
      <c r="I4682" s="48"/>
    </row>
    <row r="4683" spans="2:9" ht="14" thickBot="1" x14ac:dyDescent="0.2">
      <c r="B4683" s="1"/>
      <c r="C4683" s="1"/>
      <c r="D4683" s="1"/>
      <c r="E4683" s="1"/>
      <c r="F4683" s="1"/>
      <c r="G4683" s="1"/>
      <c r="H4683" s="37" t="s">
        <v>26</v>
      </c>
      <c r="I4683" s="163">
        <f>SUM(H4681:H4682)</f>
        <v>1744.1637500000002</v>
      </c>
    </row>
    <row r="4684" spans="2:9" ht="14" thickBot="1" x14ac:dyDescent="0.2">
      <c r="B4684" s="12" t="s">
        <v>27</v>
      </c>
      <c r="C4684" s="12"/>
      <c r="D4684" s="1"/>
      <c r="E4684" s="1"/>
      <c r="F4684" s="1"/>
      <c r="G4684" s="1"/>
      <c r="H4684" s="1"/>
      <c r="I4684" s="1"/>
    </row>
    <row r="4685" spans="2:9" x14ac:dyDescent="0.15">
      <c r="B4685" s="903" t="s">
        <v>22</v>
      </c>
      <c r="C4685" s="904"/>
      <c r="D4685" s="905"/>
      <c r="E4685" s="209" t="s">
        <v>28</v>
      </c>
      <c r="F4685" s="209" t="s">
        <v>29</v>
      </c>
      <c r="G4685" s="209" t="s">
        <v>30</v>
      </c>
      <c r="H4685" s="208" t="s">
        <v>25</v>
      </c>
      <c r="I4685" s="43"/>
    </row>
    <row r="4686" spans="2:9" x14ac:dyDescent="0.15">
      <c r="B4686" s="4" t="s">
        <v>333</v>
      </c>
      <c r="C4686" s="24"/>
      <c r="D4686" s="6"/>
      <c r="E4686" s="3" t="s">
        <v>319</v>
      </c>
      <c r="F4686" s="166">
        <f>MATERIALES!F176</f>
        <v>391500</v>
      </c>
      <c r="G4686" s="65">
        <v>1</v>
      </c>
      <c r="H4686" s="165">
        <f>G4686*F4686</f>
        <v>391500</v>
      </c>
      <c r="I4686" s="44"/>
    </row>
    <row r="4687" spans="2:9" x14ac:dyDescent="0.15">
      <c r="B4687" s="4" t="s">
        <v>69</v>
      </c>
      <c r="C4687" s="24"/>
      <c r="D4687" s="6"/>
      <c r="E4687" s="3" t="s">
        <v>19</v>
      </c>
      <c r="F4687" s="166">
        <v>12000</v>
      </c>
      <c r="G4687" s="65">
        <v>1</v>
      </c>
      <c r="H4687" s="165">
        <f>G4687*F4687</f>
        <v>12000</v>
      </c>
      <c r="I4687" s="44"/>
    </row>
    <row r="4688" spans="2:9" ht="14" thickBot="1" x14ac:dyDescent="0.2">
      <c r="B4688" s="25"/>
      <c r="C4688" s="26"/>
      <c r="D4688" s="27"/>
      <c r="E4688" s="21"/>
      <c r="F4688" s="22"/>
      <c r="G4688" s="167"/>
      <c r="H4688" s="47"/>
      <c r="I4688" s="48"/>
    </row>
    <row r="4689" spans="2:9" ht="14" thickBot="1" x14ac:dyDescent="0.2">
      <c r="B4689" s="1"/>
      <c r="C4689" s="1"/>
      <c r="D4689" s="1"/>
      <c r="E4689" s="1"/>
      <c r="F4689" s="1"/>
      <c r="G4689" s="1"/>
      <c r="H4689" s="37" t="s">
        <v>26</v>
      </c>
      <c r="I4689" s="163">
        <f>SUM(H4686:H4688)</f>
        <v>403500</v>
      </c>
    </row>
    <row r="4690" spans="2:9" ht="14" thickBot="1" x14ac:dyDescent="0.2">
      <c r="B4690" s="28" t="s">
        <v>31</v>
      </c>
      <c r="C4690" s="28"/>
      <c r="D4690" s="26"/>
      <c r="E4690" s="1"/>
      <c r="F4690" s="1"/>
      <c r="G4690" s="1"/>
      <c r="H4690" s="1"/>
      <c r="I4690" s="1"/>
    </row>
    <row r="4691" spans="2:9" x14ac:dyDescent="0.15">
      <c r="B4691" s="51" t="s">
        <v>32</v>
      </c>
      <c r="C4691" s="52"/>
      <c r="D4691" s="97" t="s">
        <v>33</v>
      </c>
      <c r="E4691" s="209" t="s">
        <v>34</v>
      </c>
      <c r="F4691" s="209" t="s">
        <v>35</v>
      </c>
      <c r="G4691" s="209" t="s">
        <v>36</v>
      </c>
      <c r="H4691" s="59" t="s">
        <v>25</v>
      </c>
      <c r="I4691" s="43"/>
    </row>
    <row r="4692" spans="2:9" x14ac:dyDescent="0.15">
      <c r="B4692" s="4" t="s">
        <v>79</v>
      </c>
      <c r="C4692" s="6"/>
      <c r="D4692" s="53">
        <v>0.5</v>
      </c>
      <c r="E4692" s="2">
        <v>43</v>
      </c>
      <c r="F4692" s="2">
        <f>E4692*D4692</f>
        <v>21.5</v>
      </c>
      <c r="G4692" s="65">
        <v>1100</v>
      </c>
      <c r="H4692" s="20">
        <f>G4692*F4692</f>
        <v>23650</v>
      </c>
      <c r="I4692" s="44"/>
    </row>
    <row r="4693" spans="2:9" ht="14" thickBot="1" x14ac:dyDescent="0.2">
      <c r="B4693" s="33"/>
      <c r="C4693" s="54"/>
      <c r="D4693" s="21"/>
      <c r="E4693" s="22"/>
      <c r="F4693" s="23"/>
      <c r="G4693" s="47"/>
      <c r="H4693" s="21"/>
      <c r="I4693" s="48"/>
    </row>
    <row r="4694" spans="2:9" ht="14" thickBot="1" x14ac:dyDescent="0.2">
      <c r="B4694" s="1"/>
      <c r="C4694" s="1"/>
      <c r="D4694" s="1"/>
      <c r="E4694" s="1"/>
      <c r="F4694" s="1"/>
      <c r="G4694" s="1"/>
      <c r="H4694" s="37" t="s">
        <v>26</v>
      </c>
      <c r="I4694" s="163">
        <f>SUM(H4692:H4693)</f>
        <v>23650</v>
      </c>
    </row>
    <row r="4695" spans="2:9" ht="14" thickBot="1" x14ac:dyDescent="0.2">
      <c r="B4695" s="28" t="s">
        <v>37</v>
      </c>
      <c r="C4695" s="28"/>
      <c r="D4695" s="1"/>
      <c r="E4695" s="1"/>
      <c r="F4695" s="1"/>
      <c r="G4695" s="1"/>
      <c r="H4695" s="1"/>
      <c r="I4695" s="1"/>
    </row>
    <row r="4696" spans="2:9" x14ac:dyDescent="0.15">
      <c r="B4696" s="51" t="s">
        <v>38</v>
      </c>
      <c r="C4696" s="86"/>
      <c r="D4696" s="31" t="s">
        <v>39</v>
      </c>
      <c r="E4696" s="209" t="s">
        <v>40</v>
      </c>
      <c r="F4696" s="19" t="s">
        <v>41</v>
      </c>
      <c r="G4696" s="31" t="s">
        <v>24</v>
      </c>
      <c r="H4696" s="208" t="s">
        <v>25</v>
      </c>
      <c r="I4696" s="43"/>
    </row>
    <row r="4697" spans="2:9" x14ac:dyDescent="0.15">
      <c r="B4697" s="4" t="s">
        <v>106</v>
      </c>
      <c r="C4697" s="24"/>
      <c r="D4697" s="32">
        <f>'MANO DE OBRA'!E16</f>
        <v>95333</v>
      </c>
      <c r="E4697" s="168">
        <v>1.75</v>
      </c>
      <c r="F4697" s="164">
        <f>+E4697*D4697</f>
        <v>166832.75</v>
      </c>
      <c r="G4697" s="20">
        <v>10</v>
      </c>
      <c r="H4697" s="169">
        <f>+F4697/G4697</f>
        <v>16683.275000000001</v>
      </c>
      <c r="I4697" s="44"/>
    </row>
    <row r="4698" spans="2:9" x14ac:dyDescent="0.15">
      <c r="B4698" s="4" t="s">
        <v>55</v>
      </c>
      <c r="C4698" s="24"/>
      <c r="D4698" s="32">
        <f>'MANO DE OBRA'!E14*2</f>
        <v>104000</v>
      </c>
      <c r="E4698" s="168">
        <v>1.75</v>
      </c>
      <c r="F4698" s="164">
        <f>+E4698*D4698</f>
        <v>182000</v>
      </c>
      <c r="G4698" s="20">
        <v>10</v>
      </c>
      <c r="H4698" s="169">
        <f>+F4698/G4698</f>
        <v>18200</v>
      </c>
      <c r="I4698" s="44"/>
    </row>
    <row r="4699" spans="2:9" ht="14" thickBot="1" x14ac:dyDescent="0.2">
      <c r="B4699" s="33"/>
      <c r="C4699" s="34"/>
      <c r="D4699" s="22"/>
      <c r="E4699" s="21"/>
      <c r="F4699" s="22"/>
      <c r="G4699" s="23"/>
      <c r="H4699" s="47"/>
      <c r="I4699" s="48"/>
    </row>
    <row r="4700" spans="2:9" ht="14" thickBot="1" x14ac:dyDescent="0.2">
      <c r="B4700" s="1"/>
      <c r="C4700" s="1"/>
      <c r="D4700" s="1"/>
      <c r="E4700" s="1"/>
      <c r="F4700" s="1"/>
      <c r="G4700" s="1"/>
      <c r="H4700" s="37" t="s">
        <v>26</v>
      </c>
      <c r="I4700" s="177">
        <f>SUM(H4697:H4699)</f>
        <v>34883.275000000001</v>
      </c>
    </row>
    <row r="4701" spans="2:9" ht="14" thickBot="1" x14ac:dyDescent="0.2">
      <c r="B4701" s="1"/>
      <c r="C4701" s="1"/>
      <c r="D4701" s="1"/>
      <c r="E4701" s="1"/>
      <c r="F4701" s="1"/>
      <c r="G4701" s="1"/>
      <c r="H4701" s="61"/>
      <c r="I4701" s="1"/>
    </row>
    <row r="4702" spans="2:9" ht="15" thickBot="1" x14ac:dyDescent="0.2">
      <c r="B4702" s="1"/>
      <c r="C4702" s="1"/>
      <c r="D4702" s="1"/>
      <c r="E4702" s="1"/>
      <c r="F4702" s="35" t="s">
        <v>43</v>
      </c>
      <c r="G4702" s="16"/>
      <c r="H4702" s="16"/>
      <c r="I4702" s="232">
        <f>ROUND((I4683+I4689+I4694+I4700),0)</f>
        <v>463777</v>
      </c>
    </row>
    <row r="4703" spans="2:9" x14ac:dyDescent="0.15">
      <c r="B4703" s="12"/>
      <c r="C4703" s="12"/>
      <c r="D4703" s="1"/>
      <c r="E4703" s="1"/>
      <c r="F4703" s="1"/>
      <c r="G4703" s="1"/>
      <c r="H4703" s="172"/>
      <c r="I4703" s="172"/>
    </row>
    <row r="4704" spans="2:9" x14ac:dyDescent="0.15">
      <c r="B4704" s="16"/>
      <c r="C4704" s="16"/>
      <c r="D4704" s="16"/>
      <c r="E4704" s="16"/>
      <c r="F4704" s="16"/>
      <c r="G4704" s="61"/>
      <c r="H4704" s="173"/>
      <c r="I4704" s="172"/>
    </row>
    <row r="4705" spans="2:10" x14ac:dyDescent="0.15">
      <c r="B4705" s="1"/>
      <c r="C4705" s="1"/>
      <c r="D4705" s="1"/>
      <c r="E4705" s="1"/>
      <c r="F4705" s="1"/>
      <c r="G4705" s="161"/>
      <c r="H4705" s="172"/>
      <c r="I4705" s="172"/>
    </row>
    <row r="4706" spans="2:10" x14ac:dyDescent="0.15">
      <c r="B4706" s="1"/>
      <c r="C4706" s="1"/>
      <c r="D4706" s="1"/>
      <c r="E4706" s="1"/>
      <c r="F4706" s="1"/>
      <c r="G4706" s="161"/>
      <c r="H4706" s="172"/>
      <c r="I4706" s="172"/>
    </row>
    <row r="4707" spans="2:10" x14ac:dyDescent="0.15">
      <c r="B4707" s="1"/>
      <c r="C4707" s="1"/>
      <c r="D4707" s="1"/>
      <c r="E4707" s="1"/>
      <c r="F4707" s="1"/>
      <c r="G4707" s="161"/>
      <c r="H4707" s="172"/>
      <c r="I4707" s="172"/>
    </row>
    <row r="4708" spans="2:10" x14ac:dyDescent="0.15">
      <c r="B4708" s="1"/>
      <c r="C4708" s="1"/>
      <c r="D4708" s="1"/>
      <c r="E4708" s="1"/>
      <c r="F4708" s="1"/>
      <c r="G4708" s="1"/>
      <c r="H4708" s="37"/>
      <c r="I4708" s="172"/>
    </row>
    <row r="4709" spans="2:10" ht="14" x14ac:dyDescent="0.15">
      <c r="B4709" s="102"/>
      <c r="C4709" s="1"/>
      <c r="D4709" s="1"/>
      <c r="E4709" s="1"/>
      <c r="F4709" s="1"/>
      <c r="G4709" s="1"/>
      <c r="H4709" s="1"/>
      <c r="I4709" s="172"/>
    </row>
    <row r="4710" spans="2:10" ht="14" x14ac:dyDescent="0.15">
      <c r="B4710" s="83"/>
      <c r="C4710" s="11"/>
      <c r="D4710" s="1"/>
      <c r="E4710" s="916"/>
      <c r="F4710" s="916"/>
      <c r="G4710" s="916"/>
      <c r="H4710" s="916"/>
      <c r="I4710" s="171"/>
    </row>
    <row r="4711" spans="2:10" ht="14" x14ac:dyDescent="0.15">
      <c r="B4711" s="102"/>
      <c r="C4711" s="11"/>
      <c r="D4711" s="1"/>
      <c r="E4711" s="155"/>
      <c r="F4711" s="155"/>
      <c r="G4711" s="155"/>
      <c r="H4711" s="155"/>
      <c r="I4711" s="171"/>
    </row>
    <row r="4712" spans="2:10" ht="14" x14ac:dyDescent="0.15">
      <c r="B4712" s="83"/>
      <c r="C4712" s="11"/>
      <c r="D4712" s="1"/>
      <c r="E4712" s="155"/>
      <c r="F4712" s="155"/>
      <c r="G4712" s="155"/>
      <c r="H4712" s="155"/>
      <c r="I4712" s="171"/>
    </row>
    <row r="4713" spans="2:10" x14ac:dyDescent="0.15">
      <c r="B4713" s="11"/>
      <c r="C4713" s="11"/>
      <c r="D4713" s="1"/>
      <c r="E4713" s="155"/>
      <c r="F4713" s="155"/>
      <c r="G4713" s="155"/>
      <c r="H4713" s="155"/>
      <c r="I4713" s="171"/>
    </row>
    <row r="4714" spans="2:10" x14ac:dyDescent="0.15">
      <c r="B4714" s="11"/>
      <c r="C4714" s="11"/>
      <c r="D4714" s="1"/>
      <c r="E4714" s="155"/>
      <c r="F4714" s="155"/>
      <c r="G4714" s="155"/>
      <c r="H4714" s="155"/>
      <c r="I4714" s="171"/>
    </row>
    <row r="4715" spans="2:10" x14ac:dyDescent="0.15">
      <c r="B4715" s="11"/>
      <c r="C4715" s="11"/>
      <c r="D4715" s="1"/>
      <c r="E4715" s="155"/>
      <c r="F4715" s="155"/>
      <c r="G4715" s="155"/>
      <c r="H4715" s="155"/>
      <c r="I4715" s="171"/>
    </row>
    <row r="4716" spans="2:10" x14ac:dyDescent="0.15">
      <c r="B4716" s="11"/>
      <c r="C4716" s="11"/>
      <c r="D4716" s="1"/>
      <c r="E4716" s="155"/>
      <c r="F4716" s="155"/>
      <c r="G4716" s="155"/>
      <c r="H4716" s="155"/>
      <c r="I4716" s="171"/>
    </row>
    <row r="4717" spans="2:10" x14ac:dyDescent="0.15">
      <c r="B4717" s="11"/>
      <c r="C4717" s="11"/>
      <c r="D4717" s="1"/>
      <c r="E4717" s="155"/>
      <c r="F4717" s="155"/>
      <c r="G4717" s="155"/>
      <c r="H4717" s="155"/>
      <c r="I4717" s="171"/>
    </row>
    <row r="4719" spans="2:10" ht="14" x14ac:dyDescent="0.15">
      <c r="B4719" s="102"/>
      <c r="C4719" s="83"/>
      <c r="D4719" s="84"/>
      <c r="E4719" s="83"/>
      <c r="F4719" s="83"/>
      <c r="G4719" s="103"/>
      <c r="H4719" s="83"/>
      <c r="I4719" s="85"/>
      <c r="J4719" s="85"/>
    </row>
    <row r="4720" spans="2:10" ht="14" x14ac:dyDescent="0.15">
      <c r="B4720" s="102"/>
      <c r="C4720" s="83"/>
      <c r="D4720" s="84"/>
      <c r="E4720" s="83"/>
      <c r="F4720" s="83"/>
      <c r="G4720" s="103"/>
      <c r="H4720" s="83"/>
      <c r="I4720" s="85"/>
      <c r="J4720" s="85"/>
    </row>
    <row r="4721" spans="2:10" ht="14" x14ac:dyDescent="0.15">
      <c r="B4721" s="83"/>
      <c r="C4721" s="83"/>
      <c r="D4721" s="84"/>
      <c r="E4721" s="83"/>
      <c r="F4721" s="83"/>
      <c r="G4721" s="104"/>
      <c r="H4721" s="83"/>
      <c r="I4721" s="85"/>
      <c r="J4721" s="85"/>
    </row>
    <row r="4724" spans="2:10" ht="14" thickBot="1" x14ac:dyDescent="0.2"/>
    <row r="4725" spans="2:10" ht="16" x14ac:dyDescent="0.15">
      <c r="B4725" s="885" t="s">
        <v>527</v>
      </c>
      <c r="C4725" s="886"/>
      <c r="D4725" s="886"/>
      <c r="E4725" s="886"/>
      <c r="F4725" s="887"/>
      <c r="G4725" s="1"/>
      <c r="H4725" s="879" t="s">
        <v>20</v>
      </c>
      <c r="I4725" s="880"/>
    </row>
    <row r="4726" spans="2:10" ht="16" x14ac:dyDescent="0.15">
      <c r="B4726" s="888" t="s">
        <v>528</v>
      </c>
      <c r="C4726" s="889"/>
      <c r="D4726" s="889"/>
      <c r="E4726" s="889"/>
      <c r="F4726" s="890"/>
      <c r="G4726" s="63"/>
      <c r="H4726" s="881"/>
      <c r="I4726" s="882"/>
    </row>
    <row r="4727" spans="2:10" x14ac:dyDescent="0.15">
      <c r="B4727" s="906" t="s">
        <v>529</v>
      </c>
      <c r="C4727" s="907"/>
      <c r="D4727" s="907"/>
      <c r="E4727" s="907"/>
      <c r="F4727" s="908"/>
      <c r="G4727" s="63"/>
      <c r="H4727" s="883"/>
      <c r="I4727" s="884"/>
    </row>
    <row r="4728" spans="2:10" ht="14" thickBot="1" x14ac:dyDescent="0.2">
      <c r="B4728" s="909"/>
      <c r="C4728" s="910"/>
      <c r="D4728" s="910"/>
      <c r="E4728" s="910"/>
      <c r="F4728" s="911"/>
      <c r="G4728" s="1"/>
      <c r="H4728" s="956" t="s">
        <v>1358</v>
      </c>
      <c r="I4728" s="957"/>
    </row>
    <row r="4729" spans="2:10" ht="14" thickBot="1" x14ac:dyDescent="0.2">
      <c r="B4729" s="15"/>
      <c r="C4729" s="16"/>
      <c r="D4729" s="1"/>
      <c r="E4729" s="1"/>
      <c r="F4729" s="1"/>
      <c r="G4729" s="1"/>
      <c r="H4729" s="958"/>
      <c r="I4729" s="959"/>
    </row>
    <row r="4730" spans="2:10" x14ac:dyDescent="0.15">
      <c r="B4730" s="947" t="s">
        <v>1283</v>
      </c>
      <c r="C4730" s="948"/>
      <c r="D4730" s="948"/>
      <c r="E4730" s="948"/>
      <c r="F4730" s="949"/>
      <c r="G4730" s="1"/>
      <c r="H4730" s="958"/>
      <c r="I4730" s="959"/>
    </row>
    <row r="4731" spans="2:10" x14ac:dyDescent="0.15">
      <c r="B4731" s="950"/>
      <c r="C4731" s="951"/>
      <c r="D4731" s="951"/>
      <c r="E4731" s="951"/>
      <c r="F4731" s="952"/>
      <c r="H4731" s="958"/>
      <c r="I4731" s="959"/>
    </row>
    <row r="4732" spans="2:10" x14ac:dyDescent="0.15">
      <c r="B4732" s="950"/>
      <c r="C4732" s="951"/>
      <c r="D4732" s="951"/>
      <c r="E4732" s="951"/>
      <c r="F4732" s="952"/>
      <c r="G4732" s="11"/>
      <c r="H4732" s="960"/>
      <c r="I4732" s="961"/>
    </row>
    <row r="4733" spans="2:10" ht="14" thickBot="1" x14ac:dyDescent="0.2">
      <c r="B4733" s="953"/>
      <c r="C4733" s="954"/>
      <c r="D4733" s="954"/>
      <c r="E4733" s="954"/>
      <c r="F4733" s="955"/>
      <c r="H4733" s="64" t="s">
        <v>45</v>
      </c>
      <c r="I4733" s="17" t="s">
        <v>319</v>
      </c>
    </row>
    <row r="4734" spans="2:10" x14ac:dyDescent="0.15">
      <c r="B4734" s="18"/>
      <c r="C4734" s="18"/>
      <c r="D4734" s="1"/>
      <c r="E4734" s="18"/>
      <c r="F4734" s="18"/>
      <c r="G4734" s="18"/>
      <c r="H4734" s="18"/>
      <c r="I4734" s="1"/>
    </row>
    <row r="4735" spans="2:10" ht="14" thickBot="1" x14ac:dyDescent="0.2">
      <c r="B4735" s="12" t="s">
        <v>21</v>
      </c>
      <c r="C4735" s="12"/>
      <c r="D4735" s="1"/>
      <c r="E4735" s="1"/>
      <c r="F4735" s="1"/>
      <c r="G4735" s="1"/>
      <c r="H4735" s="1"/>
      <c r="I4735" s="1"/>
    </row>
    <row r="4736" spans="2:10" x14ac:dyDescent="0.15">
      <c r="B4736" s="903" t="s">
        <v>22</v>
      </c>
      <c r="C4736" s="904"/>
      <c r="D4736" s="905"/>
      <c r="E4736" s="209" t="s">
        <v>23</v>
      </c>
      <c r="F4736" s="19" t="s">
        <v>47</v>
      </c>
      <c r="G4736" s="209" t="s">
        <v>24</v>
      </c>
      <c r="H4736" s="208" t="s">
        <v>25</v>
      </c>
      <c r="I4736" s="43"/>
    </row>
    <row r="4737" spans="2:9" x14ac:dyDescent="0.15">
      <c r="B4737" s="897" t="s">
        <v>56</v>
      </c>
      <c r="C4737" s="898"/>
      <c r="D4737" s="899"/>
      <c r="E4737" s="5"/>
      <c r="F4737" s="162"/>
      <c r="G4737" s="58"/>
      <c r="H4737" s="162">
        <f>I4761*0.05</f>
        <v>2906.9395833333333</v>
      </c>
      <c r="I4737" s="44"/>
    </row>
    <row r="4738" spans="2:9" ht="14" thickBot="1" x14ac:dyDescent="0.2">
      <c r="B4738" s="900"/>
      <c r="C4738" s="901"/>
      <c r="D4738" s="902"/>
      <c r="E4738" s="21"/>
      <c r="F4738" s="22"/>
      <c r="G4738" s="23"/>
      <c r="H4738" s="47"/>
      <c r="I4738" s="48"/>
    </row>
    <row r="4739" spans="2:9" ht="14" thickBot="1" x14ac:dyDescent="0.2">
      <c r="B4739" s="1"/>
      <c r="C4739" s="1"/>
      <c r="D4739" s="1"/>
      <c r="E4739" s="1"/>
      <c r="F4739" s="1"/>
      <c r="G4739" s="1"/>
      <c r="H4739" s="37" t="s">
        <v>26</v>
      </c>
      <c r="I4739" s="163">
        <f>SUM(H4737:H4738)</f>
        <v>2906.9395833333333</v>
      </c>
    </row>
    <row r="4740" spans="2:9" ht="14" thickBot="1" x14ac:dyDescent="0.2">
      <c r="B4740" s="12" t="s">
        <v>27</v>
      </c>
      <c r="C4740" s="12"/>
      <c r="D4740" s="1"/>
      <c r="E4740" s="1"/>
      <c r="F4740" s="1"/>
      <c r="G4740" s="1"/>
      <c r="H4740" s="1"/>
      <c r="I4740" s="1"/>
    </row>
    <row r="4741" spans="2:9" x14ac:dyDescent="0.15">
      <c r="B4741" s="903" t="s">
        <v>22</v>
      </c>
      <c r="C4741" s="904"/>
      <c r="D4741" s="905"/>
      <c r="E4741" s="209" t="s">
        <v>28</v>
      </c>
      <c r="F4741" s="209" t="s">
        <v>29</v>
      </c>
      <c r="G4741" s="209" t="s">
        <v>30</v>
      </c>
      <c r="H4741" s="208" t="s">
        <v>25</v>
      </c>
      <c r="I4741" s="43"/>
    </row>
    <row r="4742" spans="2:9" x14ac:dyDescent="0.15">
      <c r="B4742" s="4" t="s">
        <v>176</v>
      </c>
      <c r="C4742" s="24"/>
      <c r="D4742" s="6"/>
      <c r="E4742" s="3" t="s">
        <v>193</v>
      </c>
      <c r="F4742" s="164">
        <f>MATERIALES!C168</f>
        <v>2250</v>
      </c>
      <c r="G4742" s="65">
        <v>6</v>
      </c>
      <c r="H4742" s="165">
        <f t="shared" ref="H4742:H4748" si="30">G4742*F4742</f>
        <v>13500</v>
      </c>
      <c r="I4742" s="44"/>
    </row>
    <row r="4743" spans="2:9" x14ac:dyDescent="0.15">
      <c r="B4743" s="4" t="s">
        <v>118</v>
      </c>
      <c r="C4743" s="24"/>
      <c r="D4743" s="6"/>
      <c r="E4743" s="3" t="s">
        <v>319</v>
      </c>
      <c r="F4743" s="164">
        <f>MATERIALES!C169</f>
        <v>3375</v>
      </c>
      <c r="G4743" s="65">
        <v>1</v>
      </c>
      <c r="H4743" s="165">
        <f t="shared" si="30"/>
        <v>3375</v>
      </c>
      <c r="I4743" s="44"/>
    </row>
    <row r="4744" spans="2:9" x14ac:dyDescent="0.15">
      <c r="B4744" s="4" t="s">
        <v>89</v>
      </c>
      <c r="C4744" s="24"/>
      <c r="D4744" s="6"/>
      <c r="E4744" s="3" t="s">
        <v>319</v>
      </c>
      <c r="F4744" s="164">
        <f>MATERIALES!C170</f>
        <v>2565</v>
      </c>
      <c r="G4744" s="65">
        <v>1</v>
      </c>
      <c r="H4744" s="165">
        <f t="shared" si="30"/>
        <v>2565</v>
      </c>
      <c r="I4744" s="44"/>
    </row>
    <row r="4745" spans="2:9" x14ac:dyDescent="0.15">
      <c r="B4745" s="4" t="s">
        <v>1356</v>
      </c>
      <c r="C4745" s="24"/>
      <c r="D4745" s="6"/>
      <c r="E4745" s="3" t="s">
        <v>193</v>
      </c>
      <c r="F4745" s="164">
        <f>MATERIALES!C164</f>
        <v>3240</v>
      </c>
      <c r="G4745" s="65">
        <v>24</v>
      </c>
      <c r="H4745" s="165">
        <f t="shared" si="30"/>
        <v>77760</v>
      </c>
      <c r="I4745" s="44"/>
    </row>
    <row r="4746" spans="2:9" x14ac:dyDescent="0.15">
      <c r="B4746" s="4" t="s">
        <v>70</v>
      </c>
      <c r="C4746" s="24"/>
      <c r="D4746" s="6"/>
      <c r="E4746" s="3" t="s">
        <v>319</v>
      </c>
      <c r="F4746" s="164">
        <f>MATERIALES!C166</f>
        <v>3375</v>
      </c>
      <c r="G4746" s="65">
        <v>2</v>
      </c>
      <c r="H4746" s="165">
        <f t="shared" si="30"/>
        <v>6750</v>
      </c>
      <c r="I4746" s="44"/>
    </row>
    <row r="4747" spans="2:9" x14ac:dyDescent="0.15">
      <c r="B4747" s="4" t="s">
        <v>135</v>
      </c>
      <c r="C4747" s="24"/>
      <c r="D4747" s="6"/>
      <c r="E4747" s="3" t="s">
        <v>103</v>
      </c>
      <c r="F4747" s="164">
        <f>MATERIALES!C27</f>
        <v>286200</v>
      </c>
      <c r="G4747" s="65">
        <v>2.5000000000000001E-3</v>
      </c>
      <c r="H4747" s="165">
        <f t="shared" si="30"/>
        <v>715.5</v>
      </c>
      <c r="I4747" s="44"/>
    </row>
    <row r="4748" spans="2:9" x14ac:dyDescent="0.15">
      <c r="B4748" s="4" t="s">
        <v>71</v>
      </c>
      <c r="C4748" s="24"/>
      <c r="D4748" s="6"/>
      <c r="E4748" s="3" t="s">
        <v>44</v>
      </c>
      <c r="F4748" s="164">
        <f>MATERIALES!C165</f>
        <v>27000</v>
      </c>
      <c r="G4748" s="65">
        <v>0.02</v>
      </c>
      <c r="H4748" s="165">
        <f t="shared" si="30"/>
        <v>540</v>
      </c>
      <c r="I4748" s="44"/>
    </row>
    <row r="4749" spans="2:9" ht="14" thickBot="1" x14ac:dyDescent="0.2">
      <c r="B4749" s="25"/>
      <c r="C4749" s="26"/>
      <c r="D4749" s="27"/>
      <c r="E4749" s="21"/>
      <c r="F4749" s="22"/>
      <c r="G4749" s="167"/>
      <c r="H4749" s="47"/>
      <c r="I4749" s="48"/>
    </row>
    <row r="4750" spans="2:9" ht="14" thickBot="1" x14ac:dyDescent="0.2">
      <c r="B4750" s="1"/>
      <c r="C4750" s="1"/>
      <c r="D4750" s="1"/>
      <c r="E4750" s="1"/>
      <c r="F4750" s="1"/>
      <c r="G4750" s="1"/>
      <c r="H4750" s="37" t="s">
        <v>26</v>
      </c>
      <c r="I4750" s="163">
        <f>SUM(H4742:H4749)</f>
        <v>105205.5</v>
      </c>
    </row>
    <row r="4751" spans="2:9" ht="14" thickBot="1" x14ac:dyDescent="0.2">
      <c r="B4751" s="28" t="s">
        <v>31</v>
      </c>
      <c r="C4751" s="28"/>
      <c r="D4751" s="26"/>
      <c r="E4751" s="1"/>
      <c r="F4751" s="1"/>
      <c r="G4751" s="1"/>
      <c r="H4751" s="1"/>
      <c r="I4751" s="1"/>
    </row>
    <row r="4752" spans="2:9" x14ac:dyDescent="0.15">
      <c r="B4752" s="51" t="s">
        <v>32</v>
      </c>
      <c r="C4752" s="52"/>
      <c r="D4752" s="97" t="s">
        <v>33</v>
      </c>
      <c r="E4752" s="209" t="s">
        <v>34</v>
      </c>
      <c r="F4752" s="209" t="s">
        <v>35</v>
      </c>
      <c r="G4752" s="209" t="s">
        <v>36</v>
      </c>
      <c r="H4752" s="59" t="s">
        <v>25</v>
      </c>
      <c r="I4752" s="43"/>
    </row>
    <row r="4753" spans="1:10" x14ac:dyDescent="0.15">
      <c r="B4753" s="4" t="s">
        <v>79</v>
      </c>
      <c r="C4753" s="6"/>
      <c r="D4753" s="53">
        <v>0.25</v>
      </c>
      <c r="E4753" s="2">
        <v>43</v>
      </c>
      <c r="F4753" s="2">
        <f>E4753*D4753</f>
        <v>10.75</v>
      </c>
      <c r="G4753" s="162">
        <v>1100</v>
      </c>
      <c r="H4753" s="20">
        <f>G4753*F4753</f>
        <v>11825</v>
      </c>
      <c r="I4753" s="44"/>
    </row>
    <row r="4754" spans="1:10" ht="14" thickBot="1" x14ac:dyDescent="0.2">
      <c r="B4754" s="33"/>
      <c r="C4754" s="54"/>
      <c r="D4754" s="21"/>
      <c r="E4754" s="22"/>
      <c r="F4754" s="23"/>
      <c r="G4754" s="47"/>
      <c r="H4754" s="21"/>
      <c r="I4754" s="48"/>
    </row>
    <row r="4755" spans="1:10" ht="14" thickBot="1" x14ac:dyDescent="0.2">
      <c r="B4755" s="1"/>
      <c r="C4755" s="1"/>
      <c r="D4755" s="1"/>
      <c r="E4755" s="1"/>
      <c r="F4755" s="1"/>
      <c r="G4755" s="1"/>
      <c r="H4755" s="37" t="s">
        <v>26</v>
      </c>
      <c r="I4755" s="163">
        <f>SUM(H4753:H4754)</f>
        <v>11825</v>
      </c>
    </row>
    <row r="4756" spans="1:10" ht="14" thickBot="1" x14ac:dyDescent="0.2">
      <c r="B4756" s="28" t="s">
        <v>37</v>
      </c>
      <c r="C4756" s="28"/>
      <c r="D4756" s="1"/>
      <c r="E4756" s="1"/>
      <c r="F4756" s="1"/>
      <c r="G4756" s="1"/>
      <c r="H4756" s="1"/>
      <c r="I4756" s="1"/>
    </row>
    <row r="4757" spans="1:10" x14ac:dyDescent="0.15">
      <c r="B4757" s="51" t="s">
        <v>38</v>
      </c>
      <c r="C4757" s="86"/>
      <c r="D4757" s="31" t="s">
        <v>39</v>
      </c>
      <c r="E4757" s="209" t="s">
        <v>40</v>
      </c>
      <c r="F4757" s="19" t="s">
        <v>41</v>
      </c>
      <c r="G4757" s="31" t="s">
        <v>24</v>
      </c>
      <c r="H4757" s="59" t="s">
        <v>25</v>
      </c>
      <c r="I4757" s="43"/>
    </row>
    <row r="4758" spans="1:10" x14ac:dyDescent="0.15">
      <c r="A4758" s="11"/>
      <c r="B4758" s="4" t="s">
        <v>106</v>
      </c>
      <c r="C4758" s="24"/>
      <c r="D4758" s="32">
        <f>'MANO DE OBRA'!E16</f>
        <v>95333</v>
      </c>
      <c r="E4758" s="168">
        <v>1.75</v>
      </c>
      <c r="F4758" s="164">
        <f>+E4758*D4758</f>
        <v>166832.75</v>
      </c>
      <c r="G4758" s="20">
        <v>6</v>
      </c>
      <c r="H4758" s="169">
        <f>+F4758/G4758</f>
        <v>27805.458333333332</v>
      </c>
      <c r="I4758" s="44"/>
      <c r="J4758" s="11"/>
    </row>
    <row r="4759" spans="1:10" x14ac:dyDescent="0.15">
      <c r="B4759" s="4" t="s">
        <v>177</v>
      </c>
      <c r="C4759" s="24"/>
      <c r="D4759" s="32">
        <f>'MANO DE OBRA'!E14*2</f>
        <v>104000</v>
      </c>
      <c r="E4759" s="168">
        <v>1.75</v>
      </c>
      <c r="F4759" s="164">
        <f>+E4759*D4759</f>
        <v>182000</v>
      </c>
      <c r="G4759" s="20">
        <v>6</v>
      </c>
      <c r="H4759" s="169">
        <f>+F4759/G4759</f>
        <v>30333.333333333332</v>
      </c>
      <c r="I4759" s="44"/>
    </row>
    <row r="4760" spans="1:10" ht="14" thickBot="1" x14ac:dyDescent="0.2">
      <c r="B4760" s="33"/>
      <c r="C4760" s="34"/>
      <c r="D4760" s="22"/>
      <c r="E4760" s="21"/>
      <c r="F4760" s="22"/>
      <c r="G4760" s="23"/>
      <c r="H4760" s="87"/>
      <c r="I4760" s="44"/>
    </row>
    <row r="4761" spans="1:10" ht="14" thickBot="1" x14ac:dyDescent="0.2">
      <c r="B4761" s="1"/>
      <c r="C4761" s="1"/>
      <c r="D4761" s="1"/>
      <c r="E4761" s="1"/>
      <c r="F4761" s="1"/>
      <c r="G4761" s="1"/>
      <c r="H4761" s="37" t="s">
        <v>26</v>
      </c>
      <c r="I4761" s="163">
        <f>SUM(H4758:H4760)</f>
        <v>58138.791666666664</v>
      </c>
    </row>
    <row r="4762" spans="1:10" ht="14" thickBot="1" x14ac:dyDescent="0.2">
      <c r="B4762" s="1"/>
      <c r="C4762" s="1"/>
      <c r="D4762" s="1"/>
      <c r="E4762" s="1"/>
      <c r="F4762" s="1"/>
      <c r="G4762" s="1"/>
      <c r="H4762" s="61"/>
      <c r="I4762" s="1"/>
    </row>
    <row r="4763" spans="1:10" ht="15" thickBot="1" x14ac:dyDescent="0.2">
      <c r="B4763" s="1"/>
      <c r="C4763" s="1"/>
      <c r="D4763" s="1"/>
      <c r="E4763" s="1"/>
      <c r="F4763" s="35" t="s">
        <v>43</v>
      </c>
      <c r="G4763" s="16"/>
      <c r="H4763" s="16"/>
      <c r="I4763" s="477">
        <f>ROUND((I4739+I4750+I4755+I4761),0)</f>
        <v>178076</v>
      </c>
    </row>
    <row r="4764" spans="1:10" x14ac:dyDescent="0.15">
      <c r="B4764" s="12"/>
      <c r="C4764" s="12"/>
      <c r="D4764" s="1"/>
      <c r="E4764" s="1"/>
      <c r="F4764" s="1"/>
      <c r="G4764" s="1"/>
      <c r="H4764" s="172"/>
      <c r="I4764" s="172"/>
    </row>
    <row r="4765" spans="1:10" x14ac:dyDescent="0.15">
      <c r="B4765" s="16"/>
      <c r="C4765" s="16"/>
      <c r="D4765" s="16"/>
      <c r="E4765" s="16"/>
      <c r="F4765" s="16"/>
      <c r="G4765" s="61"/>
      <c r="H4765" s="173"/>
      <c r="I4765" s="172"/>
    </row>
    <row r="4766" spans="1:10" x14ac:dyDescent="0.15">
      <c r="B4766" s="1"/>
      <c r="C4766" s="1"/>
      <c r="D4766" s="1"/>
      <c r="E4766" s="1"/>
      <c r="F4766" s="1"/>
      <c r="G4766" s="161"/>
      <c r="H4766" s="172"/>
      <c r="I4766" s="172"/>
    </row>
    <row r="4767" spans="1:10" x14ac:dyDescent="0.15">
      <c r="B4767" s="1"/>
      <c r="C4767" s="1"/>
      <c r="D4767" s="1"/>
      <c r="E4767" s="1"/>
      <c r="F4767" s="1"/>
      <c r="G4767" s="161"/>
      <c r="H4767" s="172"/>
      <c r="I4767" s="172"/>
    </row>
    <row r="4768" spans="1:10" x14ac:dyDescent="0.15">
      <c r="B4768" s="1"/>
      <c r="C4768" s="1"/>
      <c r="D4768" s="1"/>
      <c r="E4768" s="1"/>
      <c r="F4768" s="1"/>
      <c r="G4768" s="161"/>
      <c r="H4768" s="172"/>
      <c r="I4768" s="172"/>
    </row>
    <row r="4769" spans="1:10" x14ac:dyDescent="0.15">
      <c r="B4769" s="1"/>
      <c r="C4769" s="1"/>
      <c r="D4769" s="1"/>
      <c r="E4769" s="1"/>
      <c r="F4769" s="1"/>
      <c r="G4769" s="1"/>
      <c r="H4769" s="37"/>
      <c r="I4769" s="172"/>
    </row>
    <row r="4770" spans="1:10" x14ac:dyDescent="0.15">
      <c r="B4770" s="1"/>
      <c r="C4770" s="1"/>
      <c r="D4770" s="1"/>
      <c r="E4770" s="1"/>
      <c r="F4770" s="1"/>
      <c r="G4770" s="1"/>
      <c r="H4770" s="37"/>
      <c r="I4770" s="172"/>
    </row>
    <row r="4771" spans="1:10" ht="14" x14ac:dyDescent="0.15">
      <c r="B4771" s="102"/>
      <c r="C4771" s="1"/>
      <c r="D4771" s="1"/>
      <c r="E4771" s="1"/>
      <c r="F4771" s="1"/>
      <c r="G4771" s="1"/>
      <c r="H4771" s="1"/>
      <c r="I4771" s="172"/>
    </row>
    <row r="4772" spans="1:10" ht="14" x14ac:dyDescent="0.15">
      <c r="B4772" s="102"/>
      <c r="C4772" s="1"/>
      <c r="D4772" s="1"/>
      <c r="E4772" s="1"/>
      <c r="F4772" s="1"/>
      <c r="G4772" s="1"/>
      <c r="H4772" s="1"/>
      <c r="I4772" s="172"/>
    </row>
    <row r="4773" spans="1:10" ht="14" x14ac:dyDescent="0.15">
      <c r="B4773" s="83"/>
      <c r="C4773" s="11"/>
      <c r="D4773" s="1"/>
      <c r="E4773" s="916"/>
      <c r="F4773" s="916"/>
      <c r="G4773" s="916"/>
      <c r="H4773" s="916"/>
      <c r="I4773" s="171"/>
    </row>
    <row r="4774" spans="1:10" x14ac:dyDescent="0.15">
      <c r="B4774" s="11"/>
      <c r="C4774" s="11"/>
      <c r="D4774" s="1"/>
      <c r="E4774" s="155"/>
      <c r="F4774" s="155"/>
      <c r="G4774" s="155"/>
      <c r="H4774" s="155"/>
      <c r="I4774" s="171"/>
    </row>
    <row r="4775" spans="1:10" x14ac:dyDescent="0.15">
      <c r="B4775" s="11"/>
      <c r="C4775" s="11"/>
      <c r="D4775" s="1"/>
      <c r="E4775" s="155"/>
      <c r="F4775" s="155"/>
      <c r="G4775" s="155"/>
      <c r="H4775" s="155"/>
      <c r="I4775" s="171"/>
    </row>
    <row r="4776" spans="1:10" x14ac:dyDescent="0.15">
      <c r="B4776" s="11"/>
      <c r="C4776" s="11"/>
      <c r="D4776" s="1"/>
      <c r="E4776" s="155"/>
      <c r="F4776" s="155"/>
      <c r="G4776" s="155"/>
      <c r="H4776" s="155"/>
      <c r="I4776" s="171"/>
    </row>
    <row r="4777" spans="1:10" x14ac:dyDescent="0.15">
      <c r="B4777" s="11"/>
      <c r="C4777" s="11"/>
      <c r="D4777" s="1"/>
      <c r="E4777" s="155"/>
      <c r="F4777" s="155"/>
      <c r="G4777" s="155"/>
      <c r="H4777" s="155"/>
      <c r="I4777" s="171"/>
    </row>
    <row r="4778" spans="1:10" x14ac:dyDescent="0.15">
      <c r="B4778" s="11"/>
      <c r="C4778" s="11"/>
      <c r="D4778" s="1"/>
      <c r="E4778" s="155"/>
      <c r="F4778" s="155"/>
      <c r="G4778" s="155"/>
      <c r="H4778" s="155"/>
      <c r="I4778" s="171"/>
    </row>
    <row r="4779" spans="1:10" x14ac:dyDescent="0.15">
      <c r="B4779" s="11"/>
      <c r="C4779" s="11"/>
      <c r="D4779" s="1"/>
      <c r="E4779" s="155"/>
      <c r="F4779" s="155"/>
      <c r="G4779" s="155"/>
      <c r="H4779" s="155"/>
      <c r="I4779" s="171"/>
    </row>
    <row r="4780" spans="1:10" x14ac:dyDescent="0.15">
      <c r="B4780" s="11"/>
      <c r="C4780" s="11"/>
      <c r="D4780" s="1"/>
      <c r="E4780" s="155"/>
      <c r="F4780" s="155"/>
      <c r="G4780" s="155"/>
      <c r="H4780" s="155"/>
      <c r="I4780" s="171"/>
    </row>
    <row r="4781" spans="1:10" ht="14" x14ac:dyDescent="0.15">
      <c r="A4781" s="85"/>
      <c r="B4781" s="83"/>
      <c r="C4781" s="83"/>
      <c r="D4781" s="84"/>
      <c r="E4781" s="83"/>
      <c r="F4781" s="156"/>
      <c r="G4781" s="157"/>
      <c r="H4781" s="158"/>
      <c r="I4781" s="159"/>
      <c r="J4781" s="85"/>
    </row>
    <row r="4782" spans="1:10" ht="15" thickBot="1" x14ac:dyDescent="0.2">
      <c r="B4782" s="83"/>
      <c r="C4782" s="11"/>
      <c r="D4782" s="11"/>
      <c r="E4782" s="11"/>
      <c r="F4782" s="938"/>
      <c r="G4782" s="938"/>
      <c r="H4782" s="938"/>
      <c r="I4782" s="938"/>
    </row>
    <row r="4783" spans="1:10" ht="16" x14ac:dyDescent="0.15">
      <c r="B4783" s="885" t="s">
        <v>527</v>
      </c>
      <c r="C4783" s="886"/>
      <c r="D4783" s="886"/>
      <c r="E4783" s="886"/>
      <c r="F4783" s="887"/>
      <c r="G4783" s="1"/>
      <c r="H4783" s="879" t="s">
        <v>20</v>
      </c>
      <c r="I4783" s="880"/>
    </row>
    <row r="4784" spans="1:10" ht="16" x14ac:dyDescent="0.15">
      <c r="B4784" s="888" t="s">
        <v>528</v>
      </c>
      <c r="C4784" s="889"/>
      <c r="D4784" s="889"/>
      <c r="E4784" s="889"/>
      <c r="F4784" s="890"/>
      <c r="G4784" s="63"/>
      <c r="H4784" s="881"/>
      <c r="I4784" s="882"/>
    </row>
    <row r="4785" spans="2:9" x14ac:dyDescent="0.15">
      <c r="B4785" s="906" t="s">
        <v>529</v>
      </c>
      <c r="C4785" s="907"/>
      <c r="D4785" s="907"/>
      <c r="E4785" s="907"/>
      <c r="F4785" s="908"/>
      <c r="G4785" s="63"/>
      <c r="H4785" s="883"/>
      <c r="I4785" s="884"/>
    </row>
    <row r="4786" spans="2:9" ht="14" thickBot="1" x14ac:dyDescent="0.2">
      <c r="B4786" s="909"/>
      <c r="C4786" s="910"/>
      <c r="D4786" s="910"/>
      <c r="E4786" s="910"/>
      <c r="F4786" s="911"/>
      <c r="G4786" s="1"/>
      <c r="H4786" s="956" t="s">
        <v>1359</v>
      </c>
      <c r="I4786" s="957"/>
    </row>
    <row r="4787" spans="2:9" ht="14" thickBot="1" x14ac:dyDescent="0.2">
      <c r="B4787" s="15"/>
      <c r="C4787" s="16"/>
      <c r="D4787" s="1"/>
      <c r="E4787" s="1"/>
      <c r="F4787" s="1"/>
      <c r="G4787" s="1"/>
      <c r="H4787" s="958"/>
      <c r="I4787" s="959"/>
    </row>
    <row r="4788" spans="2:9" x14ac:dyDescent="0.15">
      <c r="B4788" s="947" t="s">
        <v>1283</v>
      </c>
      <c r="C4788" s="948"/>
      <c r="D4788" s="948"/>
      <c r="E4788" s="948"/>
      <c r="F4788" s="949"/>
      <c r="G4788" s="1"/>
      <c r="H4788" s="958"/>
      <c r="I4788" s="959"/>
    </row>
    <row r="4789" spans="2:9" x14ac:dyDescent="0.15">
      <c r="B4789" s="950"/>
      <c r="C4789" s="951"/>
      <c r="D4789" s="951"/>
      <c r="E4789" s="951"/>
      <c r="F4789" s="952"/>
      <c r="H4789" s="958"/>
      <c r="I4789" s="959"/>
    </row>
    <row r="4790" spans="2:9" x14ac:dyDescent="0.15">
      <c r="B4790" s="950"/>
      <c r="C4790" s="951"/>
      <c r="D4790" s="951"/>
      <c r="E4790" s="951"/>
      <c r="F4790" s="952"/>
      <c r="G4790" s="11"/>
      <c r="H4790" s="960"/>
      <c r="I4790" s="961"/>
    </row>
    <row r="4791" spans="2:9" ht="14" thickBot="1" x14ac:dyDescent="0.2">
      <c r="B4791" s="953"/>
      <c r="C4791" s="954"/>
      <c r="D4791" s="954"/>
      <c r="E4791" s="954"/>
      <c r="F4791" s="955"/>
      <c r="H4791" s="64" t="s">
        <v>45</v>
      </c>
      <c r="I4791" s="17" t="s">
        <v>319</v>
      </c>
    </row>
    <row r="4792" spans="2:9" x14ac:dyDescent="0.15">
      <c r="B4792" s="18"/>
      <c r="C4792" s="18"/>
      <c r="D4792" s="1"/>
      <c r="E4792" s="18"/>
      <c r="F4792" s="18"/>
      <c r="G4792" s="18"/>
      <c r="H4792" s="18"/>
      <c r="I4792" s="1"/>
    </row>
    <row r="4793" spans="2:9" ht="14" thickBot="1" x14ac:dyDescent="0.2">
      <c r="B4793" s="12" t="s">
        <v>21</v>
      </c>
      <c r="C4793" s="12"/>
      <c r="D4793" s="1"/>
      <c r="E4793" s="1"/>
      <c r="F4793" s="1"/>
      <c r="G4793" s="1"/>
      <c r="H4793" s="1"/>
      <c r="I4793" s="1"/>
    </row>
    <row r="4794" spans="2:9" x14ac:dyDescent="0.15">
      <c r="B4794" s="903" t="s">
        <v>22</v>
      </c>
      <c r="C4794" s="904"/>
      <c r="D4794" s="905"/>
      <c r="E4794" s="209" t="s">
        <v>23</v>
      </c>
      <c r="F4794" s="19" t="s">
        <v>47</v>
      </c>
      <c r="G4794" s="209" t="s">
        <v>24</v>
      </c>
      <c r="H4794" s="208" t="s">
        <v>25</v>
      </c>
      <c r="I4794" s="43"/>
    </row>
    <row r="4795" spans="2:9" x14ac:dyDescent="0.15">
      <c r="B4795" s="897" t="s">
        <v>56</v>
      </c>
      <c r="C4795" s="898"/>
      <c r="D4795" s="899"/>
      <c r="E4795" s="5"/>
      <c r="F4795" s="162"/>
      <c r="G4795" s="58"/>
      <c r="H4795" s="162">
        <f>I4819*0.05</f>
        <v>2906.9395833333333</v>
      </c>
      <c r="I4795" s="44"/>
    </row>
    <row r="4796" spans="2:9" ht="14" thickBot="1" x14ac:dyDescent="0.2">
      <c r="B4796" s="900"/>
      <c r="C4796" s="901"/>
      <c r="D4796" s="902"/>
      <c r="E4796" s="21"/>
      <c r="F4796" s="22"/>
      <c r="G4796" s="23"/>
      <c r="H4796" s="47"/>
      <c r="I4796" s="48"/>
    </row>
    <row r="4797" spans="2:9" ht="14" thickBot="1" x14ac:dyDescent="0.2">
      <c r="B4797" s="1"/>
      <c r="C4797" s="1"/>
      <c r="D4797" s="1"/>
      <c r="E4797" s="1"/>
      <c r="F4797" s="1"/>
      <c r="G4797" s="1"/>
      <c r="H4797" s="37" t="s">
        <v>26</v>
      </c>
      <c r="I4797" s="163">
        <f>SUM(H4795:H4796)</f>
        <v>2906.9395833333333</v>
      </c>
    </row>
    <row r="4798" spans="2:9" ht="14" thickBot="1" x14ac:dyDescent="0.2">
      <c r="B4798" s="12" t="s">
        <v>27</v>
      </c>
      <c r="C4798" s="12"/>
      <c r="D4798" s="1"/>
      <c r="E4798" s="1"/>
      <c r="F4798" s="1"/>
      <c r="G4798" s="1"/>
      <c r="H4798" s="1"/>
      <c r="I4798" s="1"/>
    </row>
    <row r="4799" spans="2:9" x14ac:dyDescent="0.15">
      <c r="B4799" s="903" t="s">
        <v>22</v>
      </c>
      <c r="C4799" s="904"/>
      <c r="D4799" s="905"/>
      <c r="E4799" s="209" t="s">
        <v>28</v>
      </c>
      <c r="F4799" s="209" t="s">
        <v>29</v>
      </c>
      <c r="G4799" s="209" t="s">
        <v>30</v>
      </c>
      <c r="H4799" s="208" t="s">
        <v>25</v>
      </c>
      <c r="I4799" s="43"/>
    </row>
    <row r="4800" spans="2:9" x14ac:dyDescent="0.15">
      <c r="B4800" s="4" t="s">
        <v>176</v>
      </c>
      <c r="C4800" s="24"/>
      <c r="D4800" s="6"/>
      <c r="E4800" s="3" t="s">
        <v>193</v>
      </c>
      <c r="F4800" s="164">
        <f>MATERIALES!C168</f>
        <v>2250</v>
      </c>
      <c r="G4800" s="65">
        <v>13</v>
      </c>
      <c r="H4800" s="165">
        <f t="shared" ref="H4800:H4806" si="31">G4800*F4800</f>
        <v>29250</v>
      </c>
      <c r="I4800" s="44"/>
    </row>
    <row r="4801" spans="1:10" x14ac:dyDescent="0.15">
      <c r="B4801" s="4" t="s">
        <v>118</v>
      </c>
      <c r="C4801" s="24"/>
      <c r="D4801" s="6"/>
      <c r="E4801" s="3" t="s">
        <v>319</v>
      </c>
      <c r="F4801" s="164">
        <f>MATERIALES!C169</f>
        <v>3375</v>
      </c>
      <c r="G4801" s="65">
        <v>1</v>
      </c>
      <c r="H4801" s="165">
        <f t="shared" si="31"/>
        <v>3375</v>
      </c>
      <c r="I4801" s="44"/>
    </row>
    <row r="4802" spans="1:10" x14ac:dyDescent="0.15">
      <c r="B4802" s="4" t="s">
        <v>89</v>
      </c>
      <c r="C4802" s="24"/>
      <c r="D4802" s="6"/>
      <c r="E4802" s="3" t="s">
        <v>319</v>
      </c>
      <c r="F4802" s="164">
        <f>MATERIALES!C170</f>
        <v>2565</v>
      </c>
      <c r="G4802" s="65">
        <v>1</v>
      </c>
      <c r="H4802" s="165">
        <f t="shared" si="31"/>
        <v>2565</v>
      </c>
      <c r="I4802" s="44"/>
    </row>
    <row r="4803" spans="1:10" x14ac:dyDescent="0.15">
      <c r="B4803" s="4" t="s">
        <v>1356</v>
      </c>
      <c r="C4803" s="24"/>
      <c r="D4803" s="6"/>
      <c r="E4803" s="3" t="s">
        <v>193</v>
      </c>
      <c r="F4803" s="164">
        <f>MATERIALES!C164</f>
        <v>3240</v>
      </c>
      <c r="G4803" s="65">
        <v>36</v>
      </c>
      <c r="H4803" s="165">
        <f t="shared" si="31"/>
        <v>116640</v>
      </c>
      <c r="I4803" s="44"/>
    </row>
    <row r="4804" spans="1:10" x14ac:dyDescent="0.15">
      <c r="B4804" s="4" t="s">
        <v>70</v>
      </c>
      <c r="C4804" s="24"/>
      <c r="D4804" s="6"/>
      <c r="E4804" s="3" t="s">
        <v>319</v>
      </c>
      <c r="F4804" s="164">
        <f>MATERIALES!C166</f>
        <v>3375</v>
      </c>
      <c r="G4804" s="65">
        <v>2</v>
      </c>
      <c r="H4804" s="165">
        <f t="shared" si="31"/>
        <v>6750</v>
      </c>
      <c r="I4804" s="44"/>
    </row>
    <row r="4805" spans="1:10" x14ac:dyDescent="0.15">
      <c r="B4805" s="4" t="s">
        <v>135</v>
      </c>
      <c r="C4805" s="24"/>
      <c r="D4805" s="6"/>
      <c r="E4805" s="3" t="s">
        <v>103</v>
      </c>
      <c r="F4805" s="164">
        <f>MATERIALES!C27</f>
        <v>286200</v>
      </c>
      <c r="G4805" s="65">
        <v>0.01</v>
      </c>
      <c r="H4805" s="165">
        <f t="shared" si="31"/>
        <v>2862</v>
      </c>
      <c r="I4805" s="44"/>
    </row>
    <row r="4806" spans="1:10" x14ac:dyDescent="0.15">
      <c r="B4806" s="4" t="s">
        <v>71</v>
      </c>
      <c r="C4806" s="24"/>
      <c r="D4806" s="6"/>
      <c r="E4806" s="3" t="s">
        <v>319</v>
      </c>
      <c r="F4806" s="164">
        <f>MATERIALES!C165</f>
        <v>27000</v>
      </c>
      <c r="G4806" s="65">
        <v>0.02</v>
      </c>
      <c r="H4806" s="165">
        <f t="shared" si="31"/>
        <v>540</v>
      </c>
      <c r="I4806" s="44"/>
    </row>
    <row r="4807" spans="1:10" ht="14" thickBot="1" x14ac:dyDescent="0.2">
      <c r="B4807" s="25"/>
      <c r="C4807" s="26"/>
      <c r="D4807" s="27"/>
      <c r="E4807" s="21"/>
      <c r="F4807" s="22"/>
      <c r="G4807" s="167"/>
      <c r="H4807" s="47"/>
      <c r="I4807" s="48"/>
    </row>
    <row r="4808" spans="1:10" ht="14" thickBot="1" x14ac:dyDescent="0.2">
      <c r="B4808" s="1"/>
      <c r="C4808" s="1"/>
      <c r="D4808" s="1"/>
      <c r="E4808" s="1"/>
      <c r="F4808" s="1"/>
      <c r="G4808" s="1"/>
      <c r="H4808" s="37" t="s">
        <v>26</v>
      </c>
      <c r="I4808" s="163">
        <f>SUM(H4800:H4807)</f>
        <v>161982</v>
      </c>
    </row>
    <row r="4809" spans="1:10" ht="14" thickBot="1" x14ac:dyDescent="0.2">
      <c r="B4809" s="28" t="s">
        <v>31</v>
      </c>
      <c r="C4809" s="28"/>
      <c r="D4809" s="26"/>
      <c r="E4809" s="1"/>
      <c r="F4809" s="1"/>
      <c r="G4809" s="1"/>
      <c r="H4809" s="1"/>
      <c r="I4809" s="1"/>
    </row>
    <row r="4810" spans="1:10" x14ac:dyDescent="0.15">
      <c r="B4810" s="51" t="s">
        <v>32</v>
      </c>
      <c r="C4810" s="52"/>
      <c r="D4810" s="97" t="s">
        <v>33</v>
      </c>
      <c r="E4810" s="209" t="s">
        <v>34</v>
      </c>
      <c r="F4810" s="209" t="s">
        <v>35</v>
      </c>
      <c r="G4810" s="209" t="s">
        <v>36</v>
      </c>
      <c r="H4810" s="59" t="s">
        <v>25</v>
      </c>
      <c r="I4810" s="43"/>
    </row>
    <row r="4811" spans="1:10" x14ac:dyDescent="0.15">
      <c r="B4811" s="4" t="s">
        <v>79</v>
      </c>
      <c r="C4811" s="6"/>
      <c r="D4811" s="53">
        <v>0.25</v>
      </c>
      <c r="E4811" s="2">
        <v>43</v>
      </c>
      <c r="F4811" s="2">
        <f>E4811*D4811</f>
        <v>10.75</v>
      </c>
      <c r="G4811" s="162">
        <v>1100</v>
      </c>
      <c r="H4811" s="20">
        <f>G4811*F4811</f>
        <v>11825</v>
      </c>
      <c r="I4811" s="44"/>
    </row>
    <row r="4812" spans="1:10" ht="14" thickBot="1" x14ac:dyDescent="0.2">
      <c r="B4812" s="33"/>
      <c r="C4812" s="54"/>
      <c r="D4812" s="21"/>
      <c r="E4812" s="22"/>
      <c r="F4812" s="23"/>
      <c r="G4812" s="47"/>
      <c r="H4812" s="21"/>
      <c r="I4812" s="48"/>
    </row>
    <row r="4813" spans="1:10" ht="14" thickBot="1" x14ac:dyDescent="0.2">
      <c r="B4813" s="1"/>
      <c r="C4813" s="1"/>
      <c r="D4813" s="1"/>
      <c r="E4813" s="1"/>
      <c r="F4813" s="1"/>
      <c r="G4813" s="1"/>
      <c r="H4813" s="37" t="s">
        <v>26</v>
      </c>
      <c r="I4813" s="163">
        <f>SUM(H4811:H4812)</f>
        <v>11825</v>
      </c>
    </row>
    <row r="4814" spans="1:10" ht="14" thickBot="1" x14ac:dyDescent="0.2">
      <c r="B4814" s="28" t="s">
        <v>37</v>
      </c>
      <c r="C4814" s="28"/>
      <c r="D4814" s="1"/>
      <c r="E4814" s="1"/>
      <c r="F4814" s="1"/>
      <c r="G4814" s="1"/>
      <c r="H4814" s="1"/>
      <c r="I4814" s="1"/>
    </row>
    <row r="4815" spans="1:10" x14ac:dyDescent="0.15">
      <c r="B4815" s="51" t="s">
        <v>38</v>
      </c>
      <c r="C4815" s="86"/>
      <c r="D4815" s="31" t="s">
        <v>39</v>
      </c>
      <c r="E4815" s="209" t="s">
        <v>40</v>
      </c>
      <c r="F4815" s="19" t="s">
        <v>41</v>
      </c>
      <c r="G4815" s="31" t="s">
        <v>24</v>
      </c>
      <c r="H4815" s="59" t="s">
        <v>25</v>
      </c>
      <c r="I4815" s="43"/>
    </row>
    <row r="4816" spans="1:10" x14ac:dyDescent="0.15">
      <c r="A4816" s="11"/>
      <c r="B4816" s="4" t="s">
        <v>106</v>
      </c>
      <c r="C4816" s="24"/>
      <c r="D4816" s="32">
        <f>'MANO DE OBRA'!E16</f>
        <v>95333</v>
      </c>
      <c r="E4816" s="168">
        <v>1.75</v>
      </c>
      <c r="F4816" s="164">
        <f>+E4816*D4816</f>
        <v>166832.75</v>
      </c>
      <c r="G4816" s="20">
        <v>6</v>
      </c>
      <c r="H4816" s="169">
        <f>+F4816/G4816</f>
        <v>27805.458333333332</v>
      </c>
      <c r="I4816" s="44"/>
      <c r="J4816" s="11"/>
    </row>
    <row r="4817" spans="2:9" x14ac:dyDescent="0.15">
      <c r="B4817" s="4" t="s">
        <v>177</v>
      </c>
      <c r="C4817" s="24"/>
      <c r="D4817" s="32">
        <f>'MANO DE OBRA'!E14*2</f>
        <v>104000</v>
      </c>
      <c r="E4817" s="168">
        <v>1.75</v>
      </c>
      <c r="F4817" s="164">
        <f>+E4817*D4817</f>
        <v>182000</v>
      </c>
      <c r="G4817" s="20">
        <v>6</v>
      </c>
      <c r="H4817" s="169">
        <f>+F4817/G4817</f>
        <v>30333.333333333332</v>
      </c>
      <c r="I4817" s="44"/>
    </row>
    <row r="4818" spans="2:9" ht="14" thickBot="1" x14ac:dyDescent="0.2">
      <c r="B4818" s="33"/>
      <c r="C4818" s="34"/>
      <c r="D4818" s="22"/>
      <c r="E4818" s="21"/>
      <c r="F4818" s="22"/>
      <c r="G4818" s="23"/>
      <c r="H4818" s="87"/>
      <c r="I4818" s="44"/>
    </row>
    <row r="4819" spans="2:9" ht="14" thickBot="1" x14ac:dyDescent="0.2">
      <c r="B4819" s="1"/>
      <c r="C4819" s="1"/>
      <c r="D4819" s="1"/>
      <c r="E4819" s="1"/>
      <c r="F4819" s="1"/>
      <c r="G4819" s="1"/>
      <c r="H4819" s="37" t="s">
        <v>26</v>
      </c>
      <c r="I4819" s="163">
        <f>SUM(H4816:H4818)</f>
        <v>58138.791666666664</v>
      </c>
    </row>
    <row r="4820" spans="2:9" ht="14" thickBot="1" x14ac:dyDescent="0.2">
      <c r="B4820" s="1"/>
      <c r="C4820" s="1"/>
      <c r="D4820" s="1"/>
      <c r="E4820" s="1"/>
      <c r="F4820" s="1"/>
      <c r="G4820" s="1"/>
      <c r="H4820" s="61"/>
      <c r="I4820" s="1"/>
    </row>
    <row r="4821" spans="2:9" ht="15" thickBot="1" x14ac:dyDescent="0.2">
      <c r="B4821" s="1"/>
      <c r="C4821" s="1"/>
      <c r="D4821" s="1"/>
      <c r="E4821" s="1"/>
      <c r="F4821" s="35" t="s">
        <v>43</v>
      </c>
      <c r="G4821" s="16"/>
      <c r="H4821" s="16"/>
      <c r="I4821" s="477">
        <f>ROUND((I4797+I4808+I4813+I4819),0)</f>
        <v>234853</v>
      </c>
    </row>
    <row r="4822" spans="2:9" x14ac:dyDescent="0.15">
      <c r="B4822" s="12"/>
      <c r="C4822" s="12"/>
      <c r="D4822" s="1"/>
      <c r="E4822" s="1"/>
      <c r="F4822" s="1"/>
      <c r="G4822" s="1"/>
      <c r="H4822" s="172"/>
      <c r="I4822" s="172"/>
    </row>
    <row r="4823" spans="2:9" x14ac:dyDescent="0.15">
      <c r="B4823" s="16"/>
      <c r="C4823" s="16"/>
      <c r="D4823" s="16"/>
      <c r="E4823" s="16"/>
      <c r="F4823" s="16"/>
      <c r="G4823" s="61"/>
      <c r="H4823" s="173"/>
      <c r="I4823" s="172"/>
    </row>
    <row r="4824" spans="2:9" x14ac:dyDescent="0.15">
      <c r="B4824" s="1"/>
      <c r="C4824" s="1"/>
      <c r="D4824" s="1"/>
      <c r="E4824" s="1"/>
      <c r="F4824" s="1"/>
      <c r="G4824" s="161"/>
      <c r="H4824" s="172"/>
      <c r="I4824" s="172"/>
    </row>
    <row r="4825" spans="2:9" x14ac:dyDescent="0.15">
      <c r="B4825" s="1"/>
      <c r="C4825" s="1"/>
      <c r="D4825" s="1"/>
      <c r="E4825" s="1"/>
      <c r="F4825" s="1"/>
      <c r="G4825" s="161"/>
      <c r="H4825" s="172"/>
      <c r="I4825" s="172"/>
    </row>
    <row r="4826" spans="2:9" x14ac:dyDescent="0.15">
      <c r="B4826" s="1"/>
      <c r="C4826" s="1"/>
      <c r="D4826" s="1"/>
      <c r="E4826" s="1"/>
      <c r="F4826" s="1"/>
      <c r="G4826" s="161"/>
      <c r="H4826" s="172"/>
      <c r="I4826" s="172"/>
    </row>
    <row r="4827" spans="2:9" x14ac:dyDescent="0.15">
      <c r="B4827" s="1"/>
      <c r="C4827" s="1"/>
      <c r="D4827" s="1"/>
      <c r="E4827" s="1"/>
      <c r="F4827" s="1"/>
      <c r="G4827" s="161"/>
      <c r="H4827" s="172"/>
      <c r="I4827" s="172"/>
    </row>
    <row r="4828" spans="2:9" x14ac:dyDescent="0.15">
      <c r="B4828" s="1"/>
      <c r="C4828" s="1"/>
      <c r="D4828" s="1"/>
      <c r="E4828" s="1"/>
      <c r="F4828" s="1"/>
      <c r="G4828" s="1"/>
      <c r="H4828" s="37"/>
      <c r="I4828" s="172"/>
    </row>
    <row r="4829" spans="2:9" x14ac:dyDescent="0.15">
      <c r="B4829" s="1"/>
      <c r="C4829" s="1"/>
      <c r="D4829" s="1"/>
      <c r="E4829" s="1"/>
      <c r="F4829" s="1"/>
      <c r="G4829" s="1"/>
      <c r="H4829" s="37"/>
      <c r="I4829" s="172"/>
    </row>
    <row r="4830" spans="2:9" ht="14" x14ac:dyDescent="0.15">
      <c r="B4830" s="102"/>
      <c r="C4830" s="1"/>
      <c r="D4830" s="1"/>
      <c r="E4830" s="1"/>
      <c r="F4830" s="1"/>
      <c r="G4830" s="1"/>
      <c r="H4830" s="1"/>
      <c r="I4830" s="172"/>
    </row>
    <row r="4831" spans="2:9" ht="14" x14ac:dyDescent="0.15">
      <c r="B4831" s="83"/>
      <c r="C4831" s="11"/>
      <c r="D4831" s="1"/>
      <c r="E4831" s="916"/>
      <c r="F4831" s="916"/>
      <c r="G4831" s="916"/>
      <c r="H4831" s="916"/>
      <c r="I4831" s="171"/>
    </row>
    <row r="4832" spans="2:9" x14ac:dyDescent="0.15">
      <c r="B4832" s="11"/>
      <c r="C4832" s="11"/>
      <c r="D4832" s="1"/>
      <c r="E4832" s="155"/>
      <c r="F4832" s="155"/>
      <c r="G4832" s="155"/>
      <c r="H4832" s="155"/>
      <c r="I4832" s="171"/>
    </row>
    <row r="4833" spans="1:10" x14ac:dyDescent="0.15">
      <c r="B4833" s="11"/>
      <c r="C4833" s="11"/>
      <c r="D4833" s="1"/>
      <c r="E4833" s="155"/>
      <c r="F4833" s="155"/>
      <c r="G4833" s="155"/>
      <c r="H4833" s="155"/>
      <c r="I4833" s="171"/>
    </row>
    <row r="4834" spans="1:10" x14ac:dyDescent="0.15">
      <c r="B4834" s="11"/>
      <c r="C4834" s="11"/>
      <c r="D4834" s="1"/>
      <c r="E4834" s="155"/>
      <c r="F4834" s="155"/>
      <c r="G4834" s="155"/>
      <c r="H4834" s="155"/>
      <c r="I4834" s="171"/>
    </row>
    <row r="4835" spans="1:10" x14ac:dyDescent="0.15">
      <c r="B4835" s="11"/>
      <c r="C4835" s="11"/>
      <c r="D4835" s="1"/>
      <c r="E4835" s="155"/>
      <c r="F4835" s="155"/>
      <c r="G4835" s="155"/>
      <c r="H4835" s="155"/>
      <c r="I4835" s="171"/>
    </row>
    <row r="4836" spans="1:10" x14ac:dyDescent="0.15">
      <c r="B4836" s="11"/>
      <c r="C4836" s="11"/>
      <c r="D4836" s="1"/>
      <c r="E4836" s="155"/>
      <c r="F4836" s="155"/>
      <c r="G4836" s="155"/>
      <c r="H4836" s="155"/>
      <c r="I4836" s="171"/>
    </row>
    <row r="4837" spans="1:10" ht="14" x14ac:dyDescent="0.15">
      <c r="A4837" s="85"/>
      <c r="B4837" s="102"/>
      <c r="C4837" s="83"/>
      <c r="D4837" s="84"/>
      <c r="E4837" s="83"/>
      <c r="F4837" s="160"/>
      <c r="G4837" s="157"/>
      <c r="H4837" s="83"/>
      <c r="I4837" s="83"/>
      <c r="J4837" s="85"/>
    </row>
    <row r="4838" spans="1:10" ht="14" x14ac:dyDescent="0.15">
      <c r="A4838" s="85"/>
      <c r="B4838" s="83"/>
      <c r="C4838" s="83"/>
      <c r="D4838" s="84"/>
      <c r="E4838" s="83"/>
      <c r="F4838" s="156"/>
      <c r="G4838" s="157"/>
      <c r="H4838" s="158"/>
      <c r="I4838" s="159"/>
      <c r="J4838" s="85"/>
    </row>
    <row r="4839" spans="1:10" ht="14" x14ac:dyDescent="0.15">
      <c r="B4839" s="83"/>
      <c r="C4839" s="11"/>
      <c r="D4839" s="11"/>
      <c r="E4839" s="11"/>
      <c r="F4839" s="938"/>
      <c r="G4839" s="938"/>
      <c r="H4839" s="938"/>
      <c r="I4839" s="938"/>
    </row>
    <row r="4840" spans="1:10" ht="14" thickBot="1" x14ac:dyDescent="0.2"/>
    <row r="4841" spans="1:10" ht="16" x14ac:dyDescent="0.15">
      <c r="B4841" s="885" t="s">
        <v>527</v>
      </c>
      <c r="C4841" s="886"/>
      <c r="D4841" s="886"/>
      <c r="E4841" s="886"/>
      <c r="F4841" s="887"/>
      <c r="G4841" s="1"/>
      <c r="H4841" s="879" t="s">
        <v>20</v>
      </c>
      <c r="I4841" s="880"/>
    </row>
    <row r="4842" spans="1:10" ht="16" x14ac:dyDescent="0.15">
      <c r="B4842" s="888" t="s">
        <v>528</v>
      </c>
      <c r="C4842" s="889"/>
      <c r="D4842" s="889"/>
      <c r="E4842" s="889"/>
      <c r="F4842" s="890"/>
      <c r="G4842" s="63"/>
      <c r="H4842" s="881"/>
      <c r="I4842" s="882"/>
    </row>
    <row r="4843" spans="1:10" x14ac:dyDescent="0.15">
      <c r="B4843" s="906" t="s">
        <v>529</v>
      </c>
      <c r="C4843" s="907"/>
      <c r="D4843" s="907"/>
      <c r="E4843" s="907"/>
      <c r="F4843" s="908"/>
      <c r="G4843" s="63"/>
      <c r="H4843" s="883"/>
      <c r="I4843" s="884"/>
    </row>
    <row r="4844" spans="1:10" ht="14" thickBot="1" x14ac:dyDescent="0.2">
      <c r="B4844" s="909"/>
      <c r="C4844" s="910"/>
      <c r="D4844" s="910"/>
      <c r="E4844" s="910"/>
      <c r="F4844" s="911"/>
      <c r="G4844" s="1"/>
      <c r="H4844" s="956" t="s">
        <v>1360</v>
      </c>
      <c r="I4844" s="957"/>
    </row>
    <row r="4845" spans="1:10" ht="14" thickBot="1" x14ac:dyDescent="0.2">
      <c r="B4845" s="15"/>
      <c r="C4845" s="16"/>
      <c r="D4845" s="1"/>
      <c r="E4845" s="1"/>
      <c r="F4845" s="1"/>
      <c r="G4845" s="1"/>
      <c r="H4845" s="958"/>
      <c r="I4845" s="959"/>
    </row>
    <row r="4846" spans="1:10" x14ac:dyDescent="0.15">
      <c r="B4846" s="947" t="s">
        <v>1283</v>
      </c>
      <c r="C4846" s="948"/>
      <c r="D4846" s="948"/>
      <c r="E4846" s="948"/>
      <c r="F4846" s="949"/>
      <c r="G4846" s="1"/>
      <c r="H4846" s="958"/>
      <c r="I4846" s="959"/>
    </row>
    <row r="4847" spans="1:10" x14ac:dyDescent="0.15">
      <c r="B4847" s="950"/>
      <c r="C4847" s="951"/>
      <c r="D4847" s="951"/>
      <c r="E4847" s="951"/>
      <c r="F4847" s="952"/>
      <c r="H4847" s="958"/>
      <c r="I4847" s="959"/>
    </row>
    <row r="4848" spans="1:10" x14ac:dyDescent="0.15">
      <c r="B4848" s="950"/>
      <c r="C4848" s="951"/>
      <c r="D4848" s="951"/>
      <c r="E4848" s="951"/>
      <c r="F4848" s="952"/>
      <c r="G4848" s="11"/>
      <c r="H4848" s="960"/>
      <c r="I4848" s="961"/>
    </row>
    <row r="4849" spans="2:9" ht="14" thickBot="1" x14ac:dyDescent="0.2">
      <c r="B4849" s="953"/>
      <c r="C4849" s="954"/>
      <c r="D4849" s="954"/>
      <c r="E4849" s="954"/>
      <c r="F4849" s="955"/>
      <c r="H4849" s="64" t="s">
        <v>45</v>
      </c>
      <c r="I4849" s="17" t="s">
        <v>319</v>
      </c>
    </row>
    <row r="4850" spans="2:9" x14ac:dyDescent="0.15">
      <c r="B4850" s="18"/>
      <c r="C4850" s="18"/>
      <c r="D4850" s="1"/>
      <c r="E4850" s="18"/>
      <c r="F4850" s="18"/>
      <c r="G4850" s="18"/>
      <c r="H4850" s="18"/>
      <c r="I4850" s="1"/>
    </row>
    <row r="4851" spans="2:9" ht="14" thickBot="1" x14ac:dyDescent="0.2">
      <c r="B4851" s="12" t="s">
        <v>21</v>
      </c>
      <c r="C4851" s="12"/>
      <c r="D4851" s="1"/>
      <c r="E4851" s="1"/>
      <c r="F4851" s="1"/>
      <c r="G4851" s="1"/>
      <c r="H4851" s="1"/>
      <c r="I4851" s="1"/>
    </row>
    <row r="4852" spans="2:9" x14ac:dyDescent="0.15">
      <c r="B4852" s="903" t="s">
        <v>22</v>
      </c>
      <c r="C4852" s="904"/>
      <c r="D4852" s="905"/>
      <c r="E4852" s="209" t="s">
        <v>23</v>
      </c>
      <c r="F4852" s="19" t="s">
        <v>47</v>
      </c>
      <c r="G4852" s="209" t="s">
        <v>24</v>
      </c>
      <c r="H4852" s="208" t="s">
        <v>25</v>
      </c>
      <c r="I4852" s="43"/>
    </row>
    <row r="4853" spans="2:9" x14ac:dyDescent="0.15">
      <c r="B4853" s="897" t="s">
        <v>56</v>
      </c>
      <c r="C4853" s="898"/>
      <c r="D4853" s="899"/>
      <c r="E4853" s="5"/>
      <c r="F4853" s="162"/>
      <c r="G4853" s="58"/>
      <c r="H4853" s="162">
        <f>I4872*0.05</f>
        <v>138.48296875000003</v>
      </c>
      <c r="I4853" s="44"/>
    </row>
    <row r="4854" spans="2:9" ht="14" thickBot="1" x14ac:dyDescent="0.2">
      <c r="B4854" s="900"/>
      <c r="C4854" s="901"/>
      <c r="D4854" s="902"/>
      <c r="E4854" s="21"/>
      <c r="F4854" s="22"/>
      <c r="G4854" s="23"/>
      <c r="H4854" s="47"/>
      <c r="I4854" s="48"/>
    </row>
    <row r="4855" spans="2:9" ht="14" thickBot="1" x14ac:dyDescent="0.2">
      <c r="B4855" s="1"/>
      <c r="C4855" s="1"/>
      <c r="D4855" s="1"/>
      <c r="E4855" s="1"/>
      <c r="F4855" s="1"/>
      <c r="G4855" s="1"/>
      <c r="H4855" s="37" t="s">
        <v>26</v>
      </c>
      <c r="I4855" s="163">
        <f>SUM(H4853:H4854)</f>
        <v>138.48296875000003</v>
      </c>
    </row>
    <row r="4856" spans="2:9" ht="14" thickBot="1" x14ac:dyDescent="0.2">
      <c r="B4856" s="12" t="s">
        <v>27</v>
      </c>
      <c r="C4856" s="12"/>
      <c r="D4856" s="1"/>
      <c r="E4856" s="1"/>
      <c r="F4856" s="1"/>
      <c r="G4856" s="1"/>
      <c r="H4856" s="1"/>
      <c r="I4856" s="1"/>
    </row>
    <row r="4857" spans="2:9" x14ac:dyDescent="0.15">
      <c r="B4857" s="903" t="s">
        <v>22</v>
      </c>
      <c r="C4857" s="904"/>
      <c r="D4857" s="905"/>
      <c r="E4857" s="209" t="s">
        <v>28</v>
      </c>
      <c r="F4857" s="209" t="s">
        <v>29</v>
      </c>
      <c r="G4857" s="209" t="s">
        <v>30</v>
      </c>
      <c r="H4857" s="208" t="s">
        <v>25</v>
      </c>
      <c r="I4857" s="43"/>
    </row>
    <row r="4858" spans="2:9" x14ac:dyDescent="0.15">
      <c r="B4858" s="4" t="s">
        <v>1355</v>
      </c>
      <c r="C4858" s="24"/>
      <c r="D4858" s="6"/>
      <c r="E4858" s="3" t="s">
        <v>319</v>
      </c>
      <c r="F4858" s="164">
        <f>MATERIALES!C171</f>
        <v>20250</v>
      </c>
      <c r="G4858" s="65">
        <v>1</v>
      </c>
      <c r="H4858" s="165">
        <f>G4858*F4858</f>
        <v>20250</v>
      </c>
      <c r="I4858" s="44"/>
    </row>
    <row r="4859" spans="2:9" x14ac:dyDescent="0.15">
      <c r="B4859" s="4" t="s">
        <v>71</v>
      </c>
      <c r="C4859" s="24"/>
      <c r="D4859" s="6"/>
      <c r="E4859" s="3" t="s">
        <v>319</v>
      </c>
      <c r="F4859" s="166">
        <f>MATERIALES!C165</f>
        <v>27000</v>
      </c>
      <c r="G4859" s="65">
        <v>0.01</v>
      </c>
      <c r="H4859" s="165">
        <f>G4859*F4859</f>
        <v>270</v>
      </c>
      <c r="I4859" s="44"/>
    </row>
    <row r="4860" spans="2:9" ht="14" thickBot="1" x14ac:dyDescent="0.2">
      <c r="B4860" s="25"/>
      <c r="C4860" s="26"/>
      <c r="D4860" s="27"/>
      <c r="E4860" s="21"/>
      <c r="F4860" s="22"/>
      <c r="G4860" s="167"/>
      <c r="H4860" s="47"/>
      <c r="I4860" s="48"/>
    </row>
    <row r="4861" spans="2:9" ht="14" thickBot="1" x14ac:dyDescent="0.2">
      <c r="B4861" s="1"/>
      <c r="C4861" s="1"/>
      <c r="D4861" s="1"/>
      <c r="E4861" s="1"/>
      <c r="F4861" s="1"/>
      <c r="G4861" s="1"/>
      <c r="H4861" s="37" t="s">
        <v>26</v>
      </c>
      <c r="I4861" s="163">
        <f>SUM(H4858:H4860)</f>
        <v>20520</v>
      </c>
    </row>
    <row r="4862" spans="2:9" ht="14" thickBot="1" x14ac:dyDescent="0.2">
      <c r="B4862" s="28" t="s">
        <v>31</v>
      </c>
      <c r="C4862" s="28"/>
      <c r="D4862" s="26"/>
      <c r="E4862" s="1"/>
      <c r="F4862" s="1"/>
      <c r="G4862" s="1"/>
      <c r="H4862" s="1"/>
      <c r="I4862" s="1"/>
    </row>
    <row r="4863" spans="2:9" x14ac:dyDescent="0.15">
      <c r="B4863" s="51" t="s">
        <v>32</v>
      </c>
      <c r="C4863" s="52"/>
      <c r="D4863" s="97" t="s">
        <v>33</v>
      </c>
      <c r="E4863" s="209" t="s">
        <v>34</v>
      </c>
      <c r="F4863" s="209" t="s">
        <v>35</v>
      </c>
      <c r="G4863" s="209" t="s">
        <v>36</v>
      </c>
      <c r="H4863" s="59" t="s">
        <v>25</v>
      </c>
      <c r="I4863" s="43"/>
    </row>
    <row r="4864" spans="2:9" x14ac:dyDescent="0.15">
      <c r="B4864" s="4" t="s">
        <v>79</v>
      </c>
      <c r="C4864" s="6"/>
      <c r="D4864" s="53">
        <v>2.5000000000000001E-2</v>
      </c>
      <c r="E4864" s="2">
        <v>43</v>
      </c>
      <c r="F4864" s="2">
        <f>E4864*D4864</f>
        <v>1.075</v>
      </c>
      <c r="G4864" s="162">
        <v>1100</v>
      </c>
      <c r="H4864" s="20">
        <f>G4864*F4864</f>
        <v>1182.5</v>
      </c>
      <c r="I4864" s="44"/>
    </row>
    <row r="4865" spans="2:9" ht="14" thickBot="1" x14ac:dyDescent="0.2">
      <c r="B4865" s="33"/>
      <c r="C4865" s="54"/>
      <c r="D4865" s="21"/>
      <c r="E4865" s="22"/>
      <c r="F4865" s="23"/>
      <c r="G4865" s="47"/>
      <c r="H4865" s="21"/>
      <c r="I4865" s="48"/>
    </row>
    <row r="4866" spans="2:9" ht="14" thickBot="1" x14ac:dyDescent="0.2">
      <c r="B4866" s="1"/>
      <c r="C4866" s="1"/>
      <c r="D4866" s="1"/>
      <c r="E4866" s="1"/>
      <c r="F4866" s="1"/>
      <c r="G4866" s="1"/>
      <c r="H4866" s="37" t="s">
        <v>26</v>
      </c>
      <c r="I4866" s="163">
        <f>SUM(H4864:H4865)</f>
        <v>1182.5</v>
      </c>
    </row>
    <row r="4867" spans="2:9" ht="14" thickBot="1" x14ac:dyDescent="0.2">
      <c r="B4867" s="28" t="s">
        <v>37</v>
      </c>
      <c r="C4867" s="28"/>
      <c r="D4867" s="1"/>
      <c r="E4867" s="1"/>
      <c r="F4867" s="1"/>
      <c r="G4867" s="1"/>
      <c r="H4867" s="1"/>
      <c r="I4867" s="1"/>
    </row>
    <row r="4868" spans="2:9" x14ac:dyDescent="0.15">
      <c r="B4868" s="51" t="s">
        <v>38</v>
      </c>
      <c r="C4868" s="86"/>
      <c r="D4868" s="31" t="s">
        <v>39</v>
      </c>
      <c r="E4868" s="209" t="s">
        <v>40</v>
      </c>
      <c r="F4868" s="19" t="s">
        <v>41</v>
      </c>
      <c r="G4868" s="31" t="s">
        <v>24</v>
      </c>
      <c r="H4868" s="59" t="s">
        <v>25</v>
      </c>
      <c r="I4868" s="43"/>
    </row>
    <row r="4869" spans="2:9" x14ac:dyDescent="0.15">
      <c r="B4869" s="4" t="s">
        <v>106</v>
      </c>
      <c r="C4869" s="24"/>
      <c r="D4869" s="32">
        <f>'[2]MANO DE OBRA'!E14</f>
        <v>81926</v>
      </c>
      <c r="E4869" s="168">
        <v>1.75</v>
      </c>
      <c r="F4869" s="164">
        <f>+E4869*D4869</f>
        <v>143370.5</v>
      </c>
      <c r="G4869" s="20">
        <v>80</v>
      </c>
      <c r="H4869" s="169">
        <f>+F4869/G4869</f>
        <v>1792.1312499999999</v>
      </c>
      <c r="I4869" s="44"/>
    </row>
    <row r="4870" spans="2:9" x14ac:dyDescent="0.15">
      <c r="B4870" s="4" t="s">
        <v>179</v>
      </c>
      <c r="C4870" s="24"/>
      <c r="D4870" s="32">
        <f>'[2]MANO DE OBRA'!E12</f>
        <v>44687</v>
      </c>
      <c r="E4870" s="168">
        <v>1.75</v>
      </c>
      <c r="F4870" s="164">
        <f>+E4870*D4870</f>
        <v>78202.25</v>
      </c>
      <c r="G4870" s="20">
        <v>80</v>
      </c>
      <c r="H4870" s="169">
        <f>+F4870/G4870</f>
        <v>977.52812500000005</v>
      </c>
      <c r="I4870" s="44"/>
    </row>
    <row r="4871" spans="2:9" ht="14" thickBot="1" x14ac:dyDescent="0.2">
      <c r="B4871" s="33"/>
      <c r="C4871" s="34"/>
      <c r="D4871" s="22"/>
      <c r="E4871" s="21"/>
      <c r="F4871" s="22"/>
      <c r="G4871" s="23"/>
      <c r="H4871" s="87"/>
      <c r="I4871" s="44"/>
    </row>
    <row r="4872" spans="2:9" ht="14" thickBot="1" x14ac:dyDescent="0.2">
      <c r="B4872" s="1"/>
      <c r="C4872" s="1"/>
      <c r="D4872" s="1"/>
      <c r="E4872" s="1"/>
      <c r="F4872" s="1"/>
      <c r="G4872" s="1"/>
      <c r="H4872" s="37" t="s">
        <v>26</v>
      </c>
      <c r="I4872" s="163">
        <f>SUM(H4869:H4871)</f>
        <v>2769.6593750000002</v>
      </c>
    </row>
    <row r="4873" spans="2:9" ht="14" thickBot="1" x14ac:dyDescent="0.2">
      <c r="B4873" s="1"/>
      <c r="C4873" s="1"/>
      <c r="D4873" s="1"/>
      <c r="E4873" s="1"/>
      <c r="F4873" s="1"/>
      <c r="G4873" s="1"/>
      <c r="H4873" s="61"/>
      <c r="I4873" s="1"/>
    </row>
    <row r="4874" spans="2:9" ht="15" thickBot="1" x14ac:dyDescent="0.2">
      <c r="B4874" s="1"/>
      <c r="C4874" s="1"/>
      <c r="D4874" s="1"/>
      <c r="E4874" s="1"/>
      <c r="F4874" s="35" t="s">
        <v>43</v>
      </c>
      <c r="G4874" s="16"/>
      <c r="H4874" s="16"/>
      <c r="I4874" s="477">
        <f>ROUND((I4855+I4861+I4866+I4872),0)</f>
        <v>24611</v>
      </c>
    </row>
    <row r="4875" spans="2:9" x14ac:dyDescent="0.15">
      <c r="B4875" s="12"/>
      <c r="C4875" s="12"/>
      <c r="D4875" s="1"/>
      <c r="E4875" s="1"/>
      <c r="F4875" s="1"/>
      <c r="G4875" s="1"/>
      <c r="H4875" s="172"/>
      <c r="I4875" s="172"/>
    </row>
    <row r="4876" spans="2:9" x14ac:dyDescent="0.15">
      <c r="B4876" s="16"/>
      <c r="C4876" s="16"/>
      <c r="D4876" s="16"/>
      <c r="E4876" s="16"/>
      <c r="F4876" s="16"/>
      <c r="G4876" s="61"/>
      <c r="H4876" s="173"/>
      <c r="I4876" s="172"/>
    </row>
    <row r="4877" spans="2:9" x14ac:dyDescent="0.15">
      <c r="B4877" s="1"/>
      <c r="C4877" s="1"/>
      <c r="D4877" s="1"/>
      <c r="E4877" s="1"/>
      <c r="F4877" s="1"/>
      <c r="G4877" s="161"/>
      <c r="H4877" s="172"/>
      <c r="I4877" s="172"/>
    </row>
    <row r="4878" spans="2:9" x14ac:dyDescent="0.15">
      <c r="B4878" s="1"/>
      <c r="C4878" s="1"/>
      <c r="D4878" s="1"/>
      <c r="E4878" s="1"/>
      <c r="F4878" s="1"/>
      <c r="G4878" s="161"/>
      <c r="H4878" s="172"/>
      <c r="I4878" s="172"/>
    </row>
    <row r="4879" spans="2:9" x14ac:dyDescent="0.15">
      <c r="B4879" s="1"/>
      <c r="C4879" s="1"/>
      <c r="D4879" s="1"/>
      <c r="E4879" s="1"/>
      <c r="F4879" s="1"/>
      <c r="G4879" s="161"/>
      <c r="H4879" s="172"/>
      <c r="I4879" s="172"/>
    </row>
    <row r="4880" spans="2:9" x14ac:dyDescent="0.15">
      <c r="B4880" s="1"/>
      <c r="C4880" s="1"/>
      <c r="D4880" s="1"/>
      <c r="E4880" s="1"/>
      <c r="F4880" s="1"/>
      <c r="G4880" s="1"/>
      <c r="H4880" s="37"/>
      <c r="I4880" s="172"/>
    </row>
    <row r="4881" spans="1:10" ht="14" x14ac:dyDescent="0.15">
      <c r="B4881" s="102"/>
      <c r="C4881" s="1"/>
      <c r="D4881" s="1"/>
      <c r="E4881" s="1"/>
      <c r="F4881" s="1"/>
      <c r="G4881" s="1"/>
      <c r="H4881" s="1"/>
      <c r="I4881" s="172"/>
    </row>
    <row r="4882" spans="1:10" ht="14" x14ac:dyDescent="0.15">
      <c r="B4882" s="83"/>
      <c r="C4882" s="11"/>
      <c r="D4882" s="1"/>
      <c r="E4882" s="916"/>
      <c r="F4882" s="916"/>
      <c r="G4882" s="916"/>
      <c r="H4882" s="916"/>
      <c r="I4882" s="171"/>
    </row>
    <row r="4883" spans="1:10" x14ac:dyDescent="0.15">
      <c r="B4883" s="11"/>
      <c r="C4883" s="11"/>
      <c r="D4883" s="1"/>
      <c r="E4883" s="155"/>
      <c r="F4883" s="155"/>
      <c r="G4883" s="155"/>
      <c r="H4883" s="155"/>
      <c r="I4883" s="171"/>
    </row>
    <row r="4884" spans="1:10" x14ac:dyDescent="0.15">
      <c r="B4884" s="11"/>
      <c r="C4884" s="11"/>
      <c r="D4884" s="1"/>
      <c r="E4884" s="155"/>
      <c r="F4884" s="155"/>
      <c r="G4884" s="155"/>
      <c r="H4884" s="155"/>
      <c r="I4884" s="171"/>
    </row>
    <row r="4885" spans="1:10" x14ac:dyDescent="0.15">
      <c r="B4885" s="11"/>
      <c r="C4885" s="11"/>
      <c r="D4885" s="1"/>
      <c r="E4885" s="155"/>
      <c r="F4885" s="155"/>
      <c r="G4885" s="155"/>
      <c r="H4885" s="155"/>
      <c r="I4885" s="171"/>
    </row>
    <row r="4886" spans="1:10" x14ac:dyDescent="0.15">
      <c r="B4886" s="11"/>
      <c r="C4886" s="11"/>
      <c r="D4886" s="1"/>
      <c r="E4886" s="155"/>
      <c r="F4886" s="155"/>
      <c r="G4886" s="155"/>
      <c r="H4886" s="155"/>
      <c r="I4886" s="171"/>
    </row>
    <row r="4887" spans="1:10" x14ac:dyDescent="0.15">
      <c r="B4887" s="11"/>
      <c r="C4887" s="11"/>
      <c r="D4887" s="1"/>
      <c r="E4887" s="155"/>
      <c r="F4887" s="155"/>
      <c r="G4887" s="155"/>
      <c r="H4887" s="155"/>
      <c r="I4887" s="171"/>
    </row>
    <row r="4888" spans="1:10" x14ac:dyDescent="0.15">
      <c r="B4888" s="11"/>
      <c r="C4888" s="11"/>
      <c r="D4888" s="1"/>
      <c r="E4888" s="155"/>
      <c r="F4888" s="155"/>
      <c r="G4888" s="155"/>
      <c r="H4888" s="155"/>
      <c r="I4888" s="171"/>
    </row>
    <row r="4889" spans="1:10" x14ac:dyDescent="0.15">
      <c r="B4889" s="11"/>
      <c r="C4889" s="11"/>
      <c r="D4889" s="1"/>
      <c r="E4889" s="155"/>
      <c r="F4889" s="155"/>
      <c r="G4889" s="155"/>
      <c r="H4889" s="155"/>
      <c r="I4889" s="171"/>
    </row>
    <row r="4890" spans="1:10" x14ac:dyDescent="0.15">
      <c r="B4890" s="11"/>
      <c r="C4890" s="11"/>
      <c r="D4890" s="1"/>
      <c r="E4890" s="155"/>
      <c r="F4890" s="155"/>
      <c r="G4890" s="155"/>
      <c r="H4890" s="155"/>
      <c r="I4890" s="171"/>
    </row>
    <row r="4891" spans="1:10" x14ac:dyDescent="0.15">
      <c r="B4891" s="11"/>
      <c r="C4891" s="11"/>
      <c r="D4891" s="1"/>
      <c r="E4891" s="155"/>
      <c r="F4891" s="155"/>
      <c r="G4891" s="155"/>
      <c r="H4891" s="155"/>
      <c r="I4891" s="171"/>
    </row>
    <row r="4892" spans="1:10" x14ac:dyDescent="0.15">
      <c r="B4892" s="11"/>
      <c r="C4892" s="11"/>
      <c r="D4892" s="1"/>
      <c r="E4892" s="155"/>
      <c r="F4892" s="155"/>
      <c r="G4892" s="155"/>
      <c r="H4892" s="155"/>
      <c r="I4892" s="171"/>
    </row>
    <row r="4893" spans="1:10" x14ac:dyDescent="0.15">
      <c r="B4893" s="11"/>
      <c r="C4893" s="11"/>
      <c r="D4893" s="1"/>
      <c r="E4893" s="155"/>
      <c r="F4893" s="155"/>
      <c r="G4893" s="155"/>
      <c r="H4893" s="155"/>
      <c r="I4893" s="171"/>
    </row>
    <row r="4894" spans="1:10" x14ac:dyDescent="0.15">
      <c r="B4894" s="11"/>
      <c r="C4894" s="11"/>
      <c r="D4894" s="1"/>
      <c r="E4894" s="155"/>
      <c r="F4894" s="155"/>
      <c r="G4894" s="155"/>
      <c r="H4894" s="155"/>
      <c r="I4894" s="171"/>
    </row>
    <row r="4895" spans="1:10" ht="14" x14ac:dyDescent="0.15">
      <c r="A4895" s="85"/>
      <c r="B4895" s="102"/>
      <c r="C4895" s="83"/>
      <c r="D4895" s="84"/>
      <c r="E4895" s="83"/>
      <c r="F4895" s="160"/>
      <c r="G4895" s="157"/>
      <c r="H4895" s="83"/>
      <c r="I4895" s="83"/>
      <c r="J4895" s="85"/>
    </row>
    <row r="4896" spans="1:10" ht="14" x14ac:dyDescent="0.15">
      <c r="A4896" s="85"/>
      <c r="B4896" s="83"/>
      <c r="C4896" s="83"/>
      <c r="D4896" s="84"/>
      <c r="E4896" s="83"/>
      <c r="F4896" s="156"/>
      <c r="G4896" s="157"/>
      <c r="H4896" s="158"/>
      <c r="I4896" s="159"/>
      <c r="J4896" s="85"/>
    </row>
    <row r="4897" spans="2:9" ht="14" x14ac:dyDescent="0.15">
      <c r="B4897" s="83"/>
      <c r="C4897" s="11"/>
      <c r="D4897" s="11"/>
      <c r="E4897" s="11"/>
      <c r="F4897" s="938"/>
      <c r="G4897" s="938"/>
      <c r="H4897" s="938"/>
      <c r="I4897" s="938"/>
    </row>
    <row r="4898" spans="2:9" ht="14" thickBot="1" x14ac:dyDescent="0.2">
      <c r="B4898" s="11"/>
      <c r="C4898" s="11"/>
      <c r="D4898" s="1"/>
      <c r="E4898" s="155"/>
      <c r="F4898" s="155"/>
      <c r="G4898" s="155"/>
      <c r="H4898" s="155"/>
      <c r="I4898" s="171"/>
    </row>
    <row r="4899" spans="2:9" ht="16" x14ac:dyDescent="0.15">
      <c r="B4899" s="885" t="s">
        <v>527</v>
      </c>
      <c r="C4899" s="886"/>
      <c r="D4899" s="886"/>
      <c r="E4899" s="886"/>
      <c r="F4899" s="887"/>
      <c r="G4899" s="1"/>
      <c r="H4899" s="879" t="s">
        <v>20</v>
      </c>
      <c r="I4899" s="880"/>
    </row>
    <row r="4900" spans="2:9" ht="16" x14ac:dyDescent="0.15">
      <c r="B4900" s="888" t="s">
        <v>528</v>
      </c>
      <c r="C4900" s="889"/>
      <c r="D4900" s="889"/>
      <c r="E4900" s="889"/>
      <c r="F4900" s="890"/>
      <c r="G4900" s="63"/>
      <c r="H4900" s="881"/>
      <c r="I4900" s="882"/>
    </row>
    <row r="4901" spans="2:9" x14ac:dyDescent="0.15">
      <c r="B4901" s="906" t="s">
        <v>529</v>
      </c>
      <c r="C4901" s="907"/>
      <c r="D4901" s="907"/>
      <c r="E4901" s="907"/>
      <c r="F4901" s="908"/>
      <c r="G4901" s="63"/>
      <c r="H4901" s="883"/>
      <c r="I4901" s="884"/>
    </row>
    <row r="4902" spans="2:9" ht="14" thickBot="1" x14ac:dyDescent="0.2">
      <c r="B4902" s="909"/>
      <c r="C4902" s="910"/>
      <c r="D4902" s="910"/>
      <c r="E4902" s="910"/>
      <c r="F4902" s="911"/>
      <c r="G4902" s="1"/>
      <c r="H4902" s="956" t="s">
        <v>1361</v>
      </c>
      <c r="I4902" s="957"/>
    </row>
    <row r="4903" spans="2:9" ht="14" thickBot="1" x14ac:dyDescent="0.2">
      <c r="B4903" s="15"/>
      <c r="C4903" s="16"/>
      <c r="D4903" s="1"/>
      <c r="E4903" s="1"/>
      <c r="F4903" s="1"/>
      <c r="G4903" s="1"/>
      <c r="H4903" s="958"/>
      <c r="I4903" s="959"/>
    </row>
    <row r="4904" spans="2:9" x14ac:dyDescent="0.15">
      <c r="B4904" s="947" t="s">
        <v>526</v>
      </c>
      <c r="C4904" s="948"/>
      <c r="D4904" s="948"/>
      <c r="E4904" s="948"/>
      <c r="F4904" s="949"/>
      <c r="G4904" s="1"/>
      <c r="H4904" s="958"/>
      <c r="I4904" s="959"/>
    </row>
    <row r="4905" spans="2:9" x14ac:dyDescent="0.15">
      <c r="B4905" s="950"/>
      <c r="C4905" s="951"/>
      <c r="D4905" s="951"/>
      <c r="E4905" s="951"/>
      <c r="F4905" s="952"/>
      <c r="H4905" s="958"/>
      <c r="I4905" s="959"/>
    </row>
    <row r="4906" spans="2:9" x14ac:dyDescent="0.15">
      <c r="B4906" s="950"/>
      <c r="C4906" s="951"/>
      <c r="D4906" s="951"/>
      <c r="E4906" s="951"/>
      <c r="F4906" s="952"/>
      <c r="G4906" s="11"/>
      <c r="H4906" s="960"/>
      <c r="I4906" s="961"/>
    </row>
    <row r="4907" spans="2:9" ht="14" thickBot="1" x14ac:dyDescent="0.2">
      <c r="B4907" s="953"/>
      <c r="C4907" s="954"/>
      <c r="D4907" s="954"/>
      <c r="E4907" s="954"/>
      <c r="F4907" s="955"/>
      <c r="H4907" s="64" t="s">
        <v>45</v>
      </c>
      <c r="I4907" s="17" t="s">
        <v>319</v>
      </c>
    </row>
    <row r="4908" spans="2:9" x14ac:dyDescent="0.15">
      <c r="B4908" s="18"/>
      <c r="C4908" s="18"/>
      <c r="D4908" s="1"/>
      <c r="E4908" s="18"/>
      <c r="F4908" s="18"/>
      <c r="G4908" s="18"/>
      <c r="H4908" s="18"/>
      <c r="I4908" s="1"/>
    </row>
    <row r="4909" spans="2:9" ht="14" thickBot="1" x14ac:dyDescent="0.2">
      <c r="B4909" s="12" t="s">
        <v>21</v>
      </c>
      <c r="C4909" s="12"/>
      <c r="D4909" s="1"/>
      <c r="E4909" s="1"/>
      <c r="F4909" s="1"/>
      <c r="G4909" s="1"/>
      <c r="H4909" s="1"/>
      <c r="I4909" s="1"/>
    </row>
    <row r="4910" spans="2:9" x14ac:dyDescent="0.15">
      <c r="B4910" s="903" t="s">
        <v>22</v>
      </c>
      <c r="C4910" s="904"/>
      <c r="D4910" s="905"/>
      <c r="E4910" s="209" t="s">
        <v>23</v>
      </c>
      <c r="F4910" s="19" t="s">
        <v>47</v>
      </c>
      <c r="G4910" s="209" t="s">
        <v>24</v>
      </c>
      <c r="H4910" s="208" t="s">
        <v>25</v>
      </c>
      <c r="I4910" s="43"/>
    </row>
    <row r="4911" spans="2:9" x14ac:dyDescent="0.15">
      <c r="B4911" s="897" t="s">
        <v>56</v>
      </c>
      <c r="C4911" s="898"/>
      <c r="D4911" s="899"/>
      <c r="E4911" s="5"/>
      <c r="F4911" s="162"/>
      <c r="G4911" s="58"/>
      <c r="H4911" s="162">
        <f>I4930*0.05</f>
        <v>644.58187500000008</v>
      </c>
      <c r="I4911" s="44"/>
    </row>
    <row r="4912" spans="2:9" ht="14" thickBot="1" x14ac:dyDescent="0.2">
      <c r="B4912" s="900"/>
      <c r="C4912" s="901"/>
      <c r="D4912" s="902"/>
      <c r="E4912" s="21"/>
      <c r="F4912" s="22"/>
      <c r="G4912" s="23"/>
      <c r="H4912" s="47"/>
      <c r="I4912" s="48"/>
    </row>
    <row r="4913" spans="2:9" ht="14" thickBot="1" x14ac:dyDescent="0.2">
      <c r="B4913" s="1"/>
      <c r="C4913" s="1"/>
      <c r="D4913" s="1"/>
      <c r="E4913" s="1"/>
      <c r="F4913" s="1"/>
      <c r="G4913" s="1"/>
      <c r="H4913" s="37" t="s">
        <v>26</v>
      </c>
      <c r="I4913" s="163">
        <f>SUM(H4911:H4912)</f>
        <v>644.58187500000008</v>
      </c>
    </row>
    <row r="4914" spans="2:9" ht="14" thickBot="1" x14ac:dyDescent="0.2">
      <c r="B4914" s="12" t="s">
        <v>27</v>
      </c>
      <c r="C4914" s="12"/>
      <c r="D4914" s="1"/>
      <c r="E4914" s="1"/>
      <c r="F4914" s="1"/>
      <c r="G4914" s="1"/>
      <c r="H4914" s="1"/>
      <c r="I4914" s="1"/>
    </row>
    <row r="4915" spans="2:9" x14ac:dyDescent="0.15">
      <c r="B4915" s="903" t="s">
        <v>22</v>
      </c>
      <c r="C4915" s="904"/>
      <c r="D4915" s="905"/>
      <c r="E4915" s="209" t="s">
        <v>28</v>
      </c>
      <c r="F4915" s="209" t="s">
        <v>29</v>
      </c>
      <c r="G4915" s="209" t="s">
        <v>30</v>
      </c>
      <c r="H4915" s="208" t="s">
        <v>25</v>
      </c>
      <c r="I4915" s="43"/>
    </row>
    <row r="4916" spans="2:9" x14ac:dyDescent="0.15">
      <c r="B4916" s="4" t="s">
        <v>1354</v>
      </c>
      <c r="C4916" s="24"/>
      <c r="D4916" s="6"/>
      <c r="E4916" s="3" t="s">
        <v>319</v>
      </c>
      <c r="F4916" s="164">
        <f>MATERIALES!C178</f>
        <v>29700.000000000004</v>
      </c>
      <c r="G4916" s="65">
        <v>1</v>
      </c>
      <c r="H4916" s="165">
        <f>G4916*F4916</f>
        <v>29700.000000000004</v>
      </c>
      <c r="I4916" s="44"/>
    </row>
    <row r="4917" spans="2:9" x14ac:dyDescent="0.15">
      <c r="B4917" s="4" t="s">
        <v>69</v>
      </c>
      <c r="C4917" s="24"/>
      <c r="D4917" s="6"/>
      <c r="E4917" s="3" t="s">
        <v>19</v>
      </c>
      <c r="F4917" s="166">
        <v>5000</v>
      </c>
      <c r="G4917" s="65">
        <v>1</v>
      </c>
      <c r="H4917" s="165">
        <f>G4917*F4917</f>
        <v>5000</v>
      </c>
      <c r="I4917" s="44"/>
    </row>
    <row r="4918" spans="2:9" ht="14" thickBot="1" x14ac:dyDescent="0.2">
      <c r="B4918" s="25"/>
      <c r="C4918" s="26"/>
      <c r="D4918" s="27"/>
      <c r="E4918" s="21"/>
      <c r="F4918" s="22"/>
      <c r="G4918" s="167"/>
      <c r="H4918" s="47"/>
      <c r="I4918" s="48"/>
    </row>
    <row r="4919" spans="2:9" ht="14" thickBot="1" x14ac:dyDescent="0.2">
      <c r="B4919" s="1"/>
      <c r="C4919" s="1"/>
      <c r="D4919" s="1"/>
      <c r="E4919" s="1"/>
      <c r="F4919" s="1"/>
      <c r="G4919" s="1"/>
      <c r="H4919" s="37" t="s">
        <v>26</v>
      </c>
      <c r="I4919" s="163">
        <f>SUM(H4916:H4917)</f>
        <v>34700</v>
      </c>
    </row>
    <row r="4920" spans="2:9" ht="14" thickBot="1" x14ac:dyDescent="0.2">
      <c r="B4920" s="28" t="s">
        <v>31</v>
      </c>
      <c r="C4920" s="28"/>
      <c r="D4920" s="26"/>
      <c r="E4920" s="1"/>
      <c r="F4920" s="1"/>
      <c r="G4920" s="1"/>
      <c r="H4920" s="1"/>
      <c r="I4920" s="1"/>
    </row>
    <row r="4921" spans="2:9" x14ac:dyDescent="0.15">
      <c r="B4921" s="51" t="s">
        <v>32</v>
      </c>
      <c r="C4921" s="52"/>
      <c r="D4921" s="97" t="s">
        <v>33</v>
      </c>
      <c r="E4921" s="209" t="s">
        <v>34</v>
      </c>
      <c r="F4921" s="209" t="s">
        <v>35</v>
      </c>
      <c r="G4921" s="209" t="s">
        <v>36</v>
      </c>
      <c r="H4921" s="59" t="s">
        <v>25</v>
      </c>
      <c r="I4921" s="43"/>
    </row>
    <row r="4922" spans="2:9" x14ac:dyDescent="0.15">
      <c r="B4922" s="4" t="s">
        <v>79</v>
      </c>
      <c r="C4922" s="6"/>
      <c r="D4922" s="53">
        <v>0.05</v>
      </c>
      <c r="E4922" s="2">
        <v>43</v>
      </c>
      <c r="F4922" s="2">
        <f>E4922*D4922</f>
        <v>2.15</v>
      </c>
      <c r="G4922" s="162">
        <v>1100</v>
      </c>
      <c r="H4922" s="20">
        <f>G4922*F4922</f>
        <v>2365</v>
      </c>
      <c r="I4922" s="44"/>
    </row>
    <row r="4923" spans="2:9" ht="14" thickBot="1" x14ac:dyDescent="0.2">
      <c r="B4923" s="33"/>
      <c r="C4923" s="54"/>
      <c r="D4923" s="21"/>
      <c r="E4923" s="22"/>
      <c r="F4923" s="23"/>
      <c r="G4923" s="47"/>
      <c r="H4923" s="21"/>
      <c r="I4923" s="48"/>
    </row>
    <row r="4924" spans="2:9" ht="14" thickBot="1" x14ac:dyDescent="0.2">
      <c r="B4924" s="1"/>
      <c r="C4924" s="1"/>
      <c r="D4924" s="1"/>
      <c r="E4924" s="1"/>
      <c r="F4924" s="1"/>
      <c r="G4924" s="1"/>
      <c r="H4924" s="37" t="s">
        <v>26</v>
      </c>
      <c r="I4924" s="163">
        <f>SUM(H4922:H4923)</f>
        <v>2365</v>
      </c>
    </row>
    <row r="4925" spans="2:9" ht="14" thickBot="1" x14ac:dyDescent="0.2">
      <c r="B4925" s="28" t="s">
        <v>37</v>
      </c>
      <c r="C4925" s="28"/>
      <c r="D4925" s="1"/>
      <c r="E4925" s="1"/>
      <c r="F4925" s="1"/>
      <c r="G4925" s="1"/>
      <c r="H4925" s="1"/>
      <c r="I4925" s="1"/>
    </row>
    <row r="4926" spans="2:9" x14ac:dyDescent="0.15">
      <c r="B4926" s="51" t="s">
        <v>38</v>
      </c>
      <c r="C4926" s="86"/>
      <c r="D4926" s="31" t="s">
        <v>39</v>
      </c>
      <c r="E4926" s="209" t="s">
        <v>40</v>
      </c>
      <c r="F4926" s="19" t="s">
        <v>41</v>
      </c>
      <c r="G4926" s="31" t="s">
        <v>24</v>
      </c>
      <c r="H4926" s="59" t="s">
        <v>25</v>
      </c>
      <c r="I4926" s="43"/>
    </row>
    <row r="4927" spans="2:9" x14ac:dyDescent="0.15">
      <c r="B4927" s="4" t="s">
        <v>106</v>
      </c>
      <c r="C4927" s="24"/>
      <c r="D4927" s="32">
        <f>'MANO DE OBRA'!E15</f>
        <v>95333</v>
      </c>
      <c r="E4927" s="168">
        <v>1.75</v>
      </c>
      <c r="F4927" s="164">
        <f>+E4927*D4927</f>
        <v>166832.75</v>
      </c>
      <c r="G4927" s="20">
        <v>20</v>
      </c>
      <c r="H4927" s="169">
        <f>+F4927/G4927</f>
        <v>8341.6375000000007</v>
      </c>
      <c r="I4927" s="44"/>
    </row>
    <row r="4928" spans="2:9" x14ac:dyDescent="0.15">
      <c r="B4928" s="4" t="s">
        <v>179</v>
      </c>
      <c r="C4928" s="24"/>
      <c r="D4928" s="32">
        <f>'MANO DE OBRA'!E14</f>
        <v>52000</v>
      </c>
      <c r="E4928" s="168">
        <v>1.75</v>
      </c>
      <c r="F4928" s="164">
        <f>+E4928*D4928</f>
        <v>91000</v>
      </c>
      <c r="G4928" s="20">
        <v>20</v>
      </c>
      <c r="H4928" s="169">
        <f>+F4928/G4928</f>
        <v>4550</v>
      </c>
      <c r="I4928" s="44"/>
    </row>
    <row r="4929" spans="2:9" ht="14" thickBot="1" x14ac:dyDescent="0.2">
      <c r="B4929" s="33"/>
      <c r="C4929" s="34"/>
      <c r="D4929" s="22"/>
      <c r="E4929" s="21"/>
      <c r="F4929" s="22"/>
      <c r="G4929" s="23"/>
      <c r="H4929" s="87"/>
      <c r="I4929" s="44"/>
    </row>
    <row r="4930" spans="2:9" ht="14" thickBot="1" x14ac:dyDescent="0.2">
      <c r="B4930" s="1"/>
      <c r="C4930" s="1"/>
      <c r="D4930" s="1"/>
      <c r="E4930" s="1"/>
      <c r="F4930" s="1"/>
      <c r="G4930" s="1"/>
      <c r="H4930" s="37" t="s">
        <v>26</v>
      </c>
      <c r="I4930" s="163">
        <f>SUM(H4927:H4929)</f>
        <v>12891.637500000001</v>
      </c>
    </row>
    <row r="4931" spans="2:9" ht="14" thickBot="1" x14ac:dyDescent="0.2">
      <c r="B4931" s="1"/>
      <c r="C4931" s="1"/>
      <c r="D4931" s="1"/>
      <c r="E4931" s="1"/>
      <c r="F4931" s="1"/>
      <c r="G4931" s="1"/>
      <c r="H4931" s="61"/>
      <c r="I4931" s="1"/>
    </row>
    <row r="4932" spans="2:9" ht="15" thickBot="1" x14ac:dyDescent="0.2">
      <c r="B4932" s="1"/>
      <c r="C4932" s="1"/>
      <c r="D4932" s="1"/>
      <c r="E4932" s="1"/>
      <c r="F4932" s="35" t="s">
        <v>43</v>
      </c>
      <c r="G4932" s="16"/>
      <c r="H4932" s="16"/>
      <c r="I4932" s="232">
        <f>ROUND((I4913+I4919+I4924+I4930),0)</f>
        <v>50601</v>
      </c>
    </row>
    <row r="4933" spans="2:9" x14ac:dyDescent="0.15">
      <c r="B4933" s="12"/>
      <c r="C4933" s="12"/>
      <c r="D4933" s="1"/>
      <c r="E4933" s="1"/>
      <c r="F4933" s="1"/>
      <c r="G4933" s="1"/>
      <c r="H4933" s="172"/>
      <c r="I4933" s="172"/>
    </row>
    <row r="4934" spans="2:9" x14ac:dyDescent="0.15">
      <c r="B4934" s="16"/>
      <c r="C4934" s="16"/>
      <c r="D4934" s="16"/>
      <c r="E4934" s="16"/>
      <c r="F4934" s="16"/>
      <c r="G4934" s="61"/>
      <c r="H4934" s="173"/>
      <c r="I4934" s="172"/>
    </row>
    <row r="4935" spans="2:9" x14ac:dyDescent="0.15">
      <c r="B4935" s="1"/>
      <c r="C4935" s="1"/>
      <c r="D4935" s="1"/>
      <c r="E4935" s="1"/>
      <c r="F4935" s="1"/>
      <c r="G4935" s="161"/>
      <c r="H4935" s="172"/>
      <c r="I4935" s="172"/>
    </row>
    <row r="4936" spans="2:9" x14ac:dyDescent="0.15">
      <c r="B4936" s="1"/>
      <c r="C4936" s="1"/>
      <c r="D4936" s="1"/>
      <c r="E4936" s="1"/>
      <c r="F4936" s="1"/>
      <c r="G4936" s="161"/>
      <c r="H4936" s="172"/>
      <c r="I4936" s="172"/>
    </row>
    <row r="4937" spans="2:9" x14ac:dyDescent="0.15">
      <c r="B4937" s="1"/>
      <c r="C4937" s="1"/>
      <c r="D4937" s="1"/>
      <c r="E4937" s="1"/>
      <c r="F4937" s="1"/>
      <c r="G4937" s="161"/>
      <c r="H4937" s="172"/>
      <c r="I4937" s="172"/>
    </row>
    <row r="4938" spans="2:9" x14ac:dyDescent="0.15">
      <c r="B4938" s="1"/>
      <c r="C4938" s="1"/>
      <c r="D4938" s="1"/>
      <c r="E4938" s="1"/>
      <c r="F4938" s="1"/>
      <c r="G4938" s="1"/>
      <c r="H4938" s="37"/>
      <c r="I4938" s="172"/>
    </row>
    <row r="4939" spans="2:9" ht="14" x14ac:dyDescent="0.15">
      <c r="B4939" s="102"/>
      <c r="C4939" s="1"/>
      <c r="D4939" s="1"/>
      <c r="E4939" s="1"/>
      <c r="F4939" s="1"/>
      <c r="G4939" s="1"/>
      <c r="H4939" s="1"/>
      <c r="I4939" s="172"/>
    </row>
    <row r="4940" spans="2:9" ht="14" x14ac:dyDescent="0.15">
      <c r="B4940" s="83"/>
      <c r="C4940" s="11"/>
      <c r="D4940" s="1"/>
      <c r="E4940" s="916"/>
      <c r="F4940" s="916"/>
      <c r="G4940" s="916"/>
      <c r="H4940" s="916"/>
      <c r="I4940" s="171"/>
    </row>
    <row r="4941" spans="2:9" ht="14" x14ac:dyDescent="0.15">
      <c r="B4941" s="83"/>
      <c r="C4941" s="11"/>
      <c r="D4941" s="1"/>
      <c r="E4941" s="155"/>
      <c r="F4941" s="155"/>
      <c r="G4941" s="155"/>
      <c r="H4941" s="155"/>
      <c r="I4941" s="171"/>
    </row>
    <row r="4942" spans="2:9" ht="14" x14ac:dyDescent="0.15">
      <c r="B4942" s="83"/>
      <c r="C4942" s="11"/>
      <c r="D4942" s="1"/>
      <c r="E4942" s="155"/>
      <c r="F4942" s="155"/>
      <c r="G4942" s="155"/>
      <c r="H4942" s="155"/>
      <c r="I4942" s="171"/>
    </row>
    <row r="4943" spans="2:9" ht="14" x14ac:dyDescent="0.15">
      <c r="B4943" s="83"/>
      <c r="C4943" s="11"/>
      <c r="D4943" s="1"/>
      <c r="E4943" s="155"/>
      <c r="F4943" s="155"/>
      <c r="G4943" s="155"/>
      <c r="H4943" s="155"/>
      <c r="I4943" s="171"/>
    </row>
    <row r="4944" spans="2:9" ht="14" x14ac:dyDescent="0.15">
      <c r="B4944" s="102"/>
      <c r="C4944" s="11"/>
      <c r="D4944" s="1"/>
      <c r="E4944" s="155"/>
      <c r="F4944" s="155"/>
      <c r="G4944" s="155"/>
      <c r="H4944" s="155"/>
      <c r="I4944" s="171"/>
    </row>
    <row r="4945" spans="2:10" ht="14" x14ac:dyDescent="0.15">
      <c r="B4945" s="83"/>
      <c r="C4945" s="11"/>
      <c r="D4945" s="1"/>
      <c r="E4945" s="155"/>
      <c r="F4945" s="155"/>
      <c r="G4945" s="155"/>
      <c r="H4945" s="155"/>
      <c r="I4945" s="171"/>
    </row>
    <row r="4946" spans="2:10" x14ac:dyDescent="0.15">
      <c r="B4946" s="11"/>
      <c r="C4946" s="11"/>
      <c r="D4946" s="1"/>
      <c r="E4946" s="155"/>
      <c r="F4946" s="155"/>
      <c r="G4946" s="155"/>
      <c r="H4946" s="155"/>
      <c r="I4946" s="171"/>
    </row>
    <row r="4947" spans="2:10" x14ac:dyDescent="0.15">
      <c r="B4947" s="11"/>
      <c r="C4947" s="11"/>
      <c r="D4947" s="1"/>
      <c r="E4947" s="155"/>
      <c r="F4947" s="155"/>
      <c r="G4947" s="155"/>
      <c r="H4947" s="155"/>
      <c r="I4947" s="171"/>
    </row>
    <row r="4948" spans="2:10" x14ac:dyDescent="0.15">
      <c r="B4948" s="11"/>
      <c r="C4948" s="11"/>
      <c r="D4948" s="1"/>
      <c r="E4948" s="155"/>
      <c r="F4948" s="155"/>
      <c r="G4948" s="155"/>
      <c r="H4948" s="155"/>
      <c r="I4948" s="171"/>
    </row>
    <row r="4949" spans="2:10" x14ac:dyDescent="0.15">
      <c r="B4949" s="11"/>
      <c r="C4949" s="11"/>
      <c r="D4949" s="1"/>
      <c r="E4949" s="155"/>
      <c r="F4949" s="155"/>
      <c r="G4949" s="155"/>
      <c r="H4949" s="155"/>
      <c r="I4949" s="171"/>
    </row>
    <row r="4950" spans="2:10" x14ac:dyDescent="0.15">
      <c r="B4950" s="11"/>
      <c r="C4950" s="11"/>
      <c r="D4950" s="1"/>
      <c r="E4950" s="155"/>
      <c r="F4950" s="155"/>
      <c r="G4950" s="155"/>
      <c r="H4950" s="155"/>
      <c r="I4950" s="171"/>
    </row>
    <row r="4951" spans="2:10" ht="14" x14ac:dyDescent="0.15">
      <c r="B4951" s="102"/>
      <c r="C4951" s="83"/>
      <c r="D4951" s="84"/>
      <c r="E4951" s="83"/>
      <c r="F4951" s="160"/>
      <c r="G4951" s="157"/>
      <c r="H4951" s="83"/>
      <c r="I4951" s="83"/>
      <c r="J4951" s="85"/>
    </row>
    <row r="4952" spans="2:10" ht="14" x14ac:dyDescent="0.15">
      <c r="B4952" s="83"/>
      <c r="C4952" s="83"/>
      <c r="D4952" s="84"/>
      <c r="E4952" s="83"/>
      <c r="F4952" s="156"/>
      <c r="G4952" s="157"/>
      <c r="H4952" s="158"/>
      <c r="I4952" s="159"/>
      <c r="J4952" s="85"/>
    </row>
    <row r="4953" spans="2:10" ht="14" x14ac:dyDescent="0.15">
      <c r="B4953" s="83"/>
      <c r="C4953" s="11"/>
      <c r="D4953" s="11"/>
      <c r="E4953" s="11"/>
      <c r="F4953" s="938"/>
      <c r="G4953" s="938"/>
      <c r="H4953" s="938"/>
      <c r="I4953" s="938"/>
    </row>
    <row r="4954" spans="2:10" x14ac:dyDescent="0.15">
      <c r="B4954" s="11"/>
      <c r="C4954" s="11"/>
      <c r="D4954" s="1"/>
      <c r="E4954" s="155"/>
      <c r="F4954" s="155"/>
      <c r="G4954" s="155"/>
      <c r="H4954" s="155"/>
      <c r="I4954" s="171"/>
    </row>
    <row r="4955" spans="2:10" ht="14" thickBot="1" x14ac:dyDescent="0.2"/>
    <row r="4956" spans="2:10" ht="16" x14ac:dyDescent="0.15">
      <c r="B4956" s="885" t="s">
        <v>527</v>
      </c>
      <c r="C4956" s="886"/>
      <c r="D4956" s="886"/>
      <c r="E4956" s="886"/>
      <c r="F4956" s="887"/>
      <c r="G4956" s="1"/>
      <c r="H4956" s="879" t="s">
        <v>20</v>
      </c>
      <c r="I4956" s="880"/>
    </row>
    <row r="4957" spans="2:10" ht="16" x14ac:dyDescent="0.15">
      <c r="B4957" s="888" t="s">
        <v>528</v>
      </c>
      <c r="C4957" s="889"/>
      <c r="D4957" s="889"/>
      <c r="E4957" s="889"/>
      <c r="F4957" s="890"/>
      <c r="G4957" s="63"/>
      <c r="H4957" s="881"/>
      <c r="I4957" s="882"/>
    </row>
    <row r="4958" spans="2:10" x14ac:dyDescent="0.15">
      <c r="B4958" s="906" t="s">
        <v>529</v>
      </c>
      <c r="C4958" s="907"/>
      <c r="D4958" s="907"/>
      <c r="E4958" s="907"/>
      <c r="F4958" s="908"/>
      <c r="G4958" s="63"/>
      <c r="H4958" s="883"/>
      <c r="I4958" s="884"/>
    </row>
    <row r="4959" spans="2:10" ht="14" thickBot="1" x14ac:dyDescent="0.2">
      <c r="B4959" s="909"/>
      <c r="C4959" s="910"/>
      <c r="D4959" s="910"/>
      <c r="E4959" s="910"/>
      <c r="F4959" s="911"/>
      <c r="G4959" s="1"/>
      <c r="H4959" s="891" t="s">
        <v>1362</v>
      </c>
      <c r="I4959" s="892"/>
    </row>
    <row r="4960" spans="2:10" ht="14" thickBot="1" x14ac:dyDescent="0.2">
      <c r="B4960" s="15"/>
      <c r="C4960" s="16"/>
      <c r="D4960" s="1"/>
      <c r="E4960" s="1"/>
      <c r="F4960" s="1"/>
      <c r="G4960" s="1"/>
      <c r="H4960" s="893"/>
      <c r="I4960" s="894"/>
    </row>
    <row r="4961" spans="2:9" x14ac:dyDescent="0.15">
      <c r="B4961" s="947" t="s">
        <v>1283</v>
      </c>
      <c r="C4961" s="948"/>
      <c r="D4961" s="948"/>
      <c r="E4961" s="948"/>
      <c r="F4961" s="949"/>
      <c r="G4961" s="1"/>
      <c r="H4961" s="893"/>
      <c r="I4961" s="894"/>
    </row>
    <row r="4962" spans="2:9" x14ac:dyDescent="0.15">
      <c r="B4962" s="950"/>
      <c r="C4962" s="951"/>
      <c r="D4962" s="951"/>
      <c r="E4962" s="951"/>
      <c r="F4962" s="952"/>
      <c r="H4962" s="893"/>
      <c r="I4962" s="894"/>
    </row>
    <row r="4963" spans="2:9" ht="13.5" customHeight="1" x14ac:dyDescent="0.15">
      <c r="B4963" s="950"/>
      <c r="C4963" s="951"/>
      <c r="D4963" s="951"/>
      <c r="E4963" s="951"/>
      <c r="F4963" s="952"/>
      <c r="G4963" s="11"/>
      <c r="H4963" s="895"/>
      <c r="I4963" s="896"/>
    </row>
    <row r="4964" spans="2:9" ht="14" thickBot="1" x14ac:dyDescent="0.2">
      <c r="B4964" s="953"/>
      <c r="C4964" s="954"/>
      <c r="D4964" s="954"/>
      <c r="E4964" s="954"/>
      <c r="F4964" s="955"/>
      <c r="H4964" s="64" t="s">
        <v>45</v>
      </c>
      <c r="I4964" s="17" t="s">
        <v>319</v>
      </c>
    </row>
    <row r="4965" spans="2:9" x14ac:dyDescent="0.15">
      <c r="B4965" s="18"/>
      <c r="C4965" s="18"/>
      <c r="D4965" s="1"/>
      <c r="E4965" s="18"/>
      <c r="F4965" s="18"/>
      <c r="G4965" s="18"/>
      <c r="H4965" s="18"/>
      <c r="I4965" s="1"/>
    </row>
    <row r="4966" spans="2:9" ht="14" thickBot="1" x14ac:dyDescent="0.2">
      <c r="B4966" s="12" t="s">
        <v>21</v>
      </c>
      <c r="C4966" s="12"/>
      <c r="D4966" s="1"/>
      <c r="E4966" s="1"/>
      <c r="F4966" s="1"/>
      <c r="G4966" s="1"/>
      <c r="H4966" s="1"/>
      <c r="I4966" s="1"/>
    </row>
    <row r="4967" spans="2:9" x14ac:dyDescent="0.15">
      <c r="B4967" s="903" t="s">
        <v>22</v>
      </c>
      <c r="C4967" s="904"/>
      <c r="D4967" s="905"/>
      <c r="E4967" s="209" t="s">
        <v>23</v>
      </c>
      <c r="F4967" s="19" t="s">
        <v>47</v>
      </c>
      <c r="G4967" s="209" t="s">
        <v>24</v>
      </c>
      <c r="H4967" s="208" t="s">
        <v>25</v>
      </c>
      <c r="I4967" s="43"/>
    </row>
    <row r="4968" spans="2:9" x14ac:dyDescent="0.15">
      <c r="B4968" s="897" t="s">
        <v>56</v>
      </c>
      <c r="C4968" s="898"/>
      <c r="D4968" s="899"/>
      <c r="E4968" s="5"/>
      <c r="F4968" s="689"/>
      <c r="G4968" s="58"/>
      <c r="H4968" s="689">
        <f>I4989*0.05</f>
        <v>358.63953947368429</v>
      </c>
      <c r="I4968" s="44"/>
    </row>
    <row r="4969" spans="2:9" ht="14" thickBot="1" x14ac:dyDescent="0.2">
      <c r="B4969" s="900"/>
      <c r="C4969" s="901"/>
      <c r="D4969" s="902"/>
      <c r="E4969" s="21"/>
      <c r="F4969" s="22"/>
      <c r="G4969" s="23"/>
      <c r="H4969" s="47"/>
      <c r="I4969" s="48"/>
    </row>
    <row r="4970" spans="2:9" ht="14" thickBot="1" x14ac:dyDescent="0.2">
      <c r="B4970" s="1"/>
      <c r="C4970" s="1"/>
      <c r="D4970" s="1"/>
      <c r="E4970" s="1"/>
      <c r="F4970" s="1"/>
      <c r="G4970" s="1"/>
      <c r="H4970" s="37" t="s">
        <v>26</v>
      </c>
      <c r="I4970" s="685">
        <f>SUM(H4968:H4969)</f>
        <v>358.63953947368429</v>
      </c>
    </row>
    <row r="4971" spans="2:9" ht="14" thickBot="1" x14ac:dyDescent="0.2">
      <c r="B4971" s="12" t="s">
        <v>27</v>
      </c>
      <c r="C4971" s="12"/>
      <c r="D4971" s="1"/>
      <c r="E4971" s="1"/>
      <c r="F4971" s="1"/>
      <c r="G4971" s="1"/>
      <c r="H4971" s="1"/>
      <c r="I4971" s="1"/>
    </row>
    <row r="4972" spans="2:9" x14ac:dyDescent="0.15">
      <c r="B4972" s="903" t="s">
        <v>22</v>
      </c>
      <c r="C4972" s="904"/>
      <c r="D4972" s="905"/>
      <c r="E4972" s="209" t="s">
        <v>28</v>
      </c>
      <c r="F4972" s="209" t="s">
        <v>29</v>
      </c>
      <c r="G4972" s="209" t="s">
        <v>30</v>
      </c>
      <c r="H4972" s="208" t="s">
        <v>25</v>
      </c>
      <c r="I4972" s="43"/>
    </row>
    <row r="4973" spans="2:9" x14ac:dyDescent="0.15">
      <c r="B4973" s="4" t="s">
        <v>1364</v>
      </c>
      <c r="C4973" s="24"/>
      <c r="D4973" s="6"/>
      <c r="E4973" s="3" t="s">
        <v>501</v>
      </c>
      <c r="F4973" s="688">
        <f>MATERIALES!C174</f>
        <v>14175.000000000002</v>
      </c>
      <c r="G4973" s="65">
        <v>1</v>
      </c>
      <c r="H4973" s="687">
        <f>G4973*F4973</f>
        <v>14175.000000000002</v>
      </c>
      <c r="I4973" s="44"/>
    </row>
    <row r="4974" spans="2:9" x14ac:dyDescent="0.15">
      <c r="B4974" s="4" t="s">
        <v>71</v>
      </c>
      <c r="C4974" s="24"/>
      <c r="D4974" s="6"/>
      <c r="E4974" s="3" t="s">
        <v>44</v>
      </c>
      <c r="F4974" s="688">
        <f>MATERIALES!C165</f>
        <v>27000</v>
      </c>
      <c r="G4974" s="65">
        <v>0.01</v>
      </c>
      <c r="H4974" s="687">
        <f>G4974*F4974</f>
        <v>270</v>
      </c>
      <c r="I4974" s="44"/>
    </row>
    <row r="4975" spans="2:9" ht="14" thickBot="1" x14ac:dyDescent="0.2">
      <c r="B4975" s="25"/>
      <c r="C4975" s="26"/>
      <c r="D4975" s="27"/>
      <c r="E4975" s="21"/>
      <c r="F4975" s="22"/>
      <c r="G4975" s="686"/>
      <c r="H4975" s="47"/>
      <c r="I4975" s="48"/>
    </row>
    <row r="4976" spans="2:9" ht="14" thickBot="1" x14ac:dyDescent="0.2">
      <c r="B4976" s="1"/>
      <c r="C4976" s="1"/>
      <c r="D4976" s="1"/>
      <c r="E4976" s="1"/>
      <c r="F4976" s="1"/>
      <c r="G4976" s="1"/>
      <c r="H4976" s="37" t="s">
        <v>26</v>
      </c>
      <c r="I4976" s="685">
        <f>SUM(H4973:H4975)</f>
        <v>14445.000000000002</v>
      </c>
    </row>
    <row r="4977" spans="2:9" ht="14" thickBot="1" x14ac:dyDescent="0.2">
      <c r="B4977" s="28" t="s">
        <v>31</v>
      </c>
      <c r="C4977" s="28"/>
      <c r="D4977" s="26"/>
      <c r="E4977" s="1"/>
      <c r="F4977" s="1"/>
      <c r="G4977" s="1"/>
      <c r="H4977" s="1"/>
      <c r="I4977" s="1"/>
    </row>
    <row r="4978" spans="2:9" x14ac:dyDescent="0.15">
      <c r="B4978" s="51" t="s">
        <v>32</v>
      </c>
      <c r="C4978" s="52"/>
      <c r="D4978" s="378" t="s">
        <v>33</v>
      </c>
      <c r="E4978" s="209" t="s">
        <v>34</v>
      </c>
      <c r="F4978" s="209" t="s">
        <v>35</v>
      </c>
      <c r="G4978" s="209" t="s">
        <v>36</v>
      </c>
      <c r="H4978" s="59" t="s">
        <v>25</v>
      </c>
      <c r="I4978" s="43"/>
    </row>
    <row r="4979" spans="2:9" x14ac:dyDescent="0.15">
      <c r="B4979" s="4" t="s">
        <v>79</v>
      </c>
      <c r="C4979" s="6"/>
      <c r="D4979" s="53">
        <v>0.05</v>
      </c>
      <c r="E4979" s="2">
        <v>43</v>
      </c>
      <c r="F4979" s="2">
        <f>E4979*D4979</f>
        <v>2.15</v>
      </c>
      <c r="G4979" s="162">
        <v>1100</v>
      </c>
      <c r="H4979" s="20">
        <f>G4979*F4979</f>
        <v>2365</v>
      </c>
      <c r="I4979" s="44"/>
    </row>
    <row r="4980" spans="2:9" x14ac:dyDescent="0.15">
      <c r="B4980" s="415"/>
      <c r="C4980" s="66"/>
      <c r="D4980" s="67"/>
      <c r="E4980" s="68"/>
      <c r="F4980" s="68"/>
      <c r="G4980" s="69"/>
      <c r="H4980" s="65"/>
      <c r="I4980" s="44"/>
    </row>
    <row r="4981" spans="2:9" ht="14" thickBot="1" x14ac:dyDescent="0.2">
      <c r="B4981" s="33"/>
      <c r="C4981" s="54"/>
      <c r="D4981" s="21"/>
      <c r="E4981" s="22"/>
      <c r="F4981" s="23"/>
      <c r="G4981" s="47"/>
      <c r="H4981" s="21"/>
      <c r="I4981" s="44"/>
    </row>
    <row r="4982" spans="2:9" ht="14" thickBot="1" x14ac:dyDescent="0.2">
      <c r="B4982" s="1"/>
      <c r="C4982" s="1"/>
      <c r="D4982" s="1"/>
      <c r="E4982" s="1"/>
      <c r="F4982" s="1"/>
      <c r="G4982" s="1"/>
      <c r="H4982" s="37" t="s">
        <v>26</v>
      </c>
      <c r="I4982" s="685">
        <f>SUM(H4979:H4981)</f>
        <v>2365</v>
      </c>
    </row>
    <row r="4983" spans="2:9" ht="14" thickBot="1" x14ac:dyDescent="0.2">
      <c r="B4983" s="28" t="s">
        <v>37</v>
      </c>
      <c r="C4983" s="28"/>
      <c r="D4983" s="1"/>
      <c r="E4983" s="1"/>
      <c r="F4983" s="1"/>
      <c r="G4983" s="1"/>
      <c r="H4983" s="1"/>
      <c r="I4983" s="1"/>
    </row>
    <row r="4984" spans="2:9" x14ac:dyDescent="0.15">
      <c r="B4984" s="51" t="s">
        <v>38</v>
      </c>
      <c r="C4984" s="86"/>
      <c r="D4984" s="31" t="s">
        <v>39</v>
      </c>
      <c r="E4984" s="209" t="s">
        <v>40</v>
      </c>
      <c r="F4984" s="19" t="s">
        <v>41</v>
      </c>
      <c r="G4984" s="31" t="s">
        <v>24</v>
      </c>
      <c r="H4984" s="208" t="s">
        <v>25</v>
      </c>
      <c r="I4984" s="43"/>
    </row>
    <row r="4985" spans="2:9" x14ac:dyDescent="0.15">
      <c r="B4985" s="4" t="s">
        <v>106</v>
      </c>
      <c r="C4985" s="24"/>
      <c r="D4985" s="32">
        <f>'MANO DE OBRA'!E16</f>
        <v>95333</v>
      </c>
      <c r="E4985" s="682">
        <v>1.85</v>
      </c>
      <c r="F4985" s="684">
        <f>+E4985*D4985</f>
        <v>176366.05000000002</v>
      </c>
      <c r="G4985" s="20">
        <v>38</v>
      </c>
      <c r="H4985" s="683">
        <f>+F4985/G4985</f>
        <v>4641.2118421052637</v>
      </c>
      <c r="I4985" s="44"/>
    </row>
    <row r="4986" spans="2:9" x14ac:dyDescent="0.15">
      <c r="B4986" s="4" t="s">
        <v>72</v>
      </c>
      <c r="C4986" s="24"/>
      <c r="D4986" s="32">
        <f>'MANO DE OBRA'!E14</f>
        <v>52000</v>
      </c>
      <c r="E4986" s="682">
        <v>1.85</v>
      </c>
      <c r="F4986" s="684">
        <f>+E4986*D4986</f>
        <v>96200</v>
      </c>
      <c r="G4986" s="20">
        <v>38</v>
      </c>
      <c r="H4986" s="683">
        <f>+F4986/G4986</f>
        <v>2531.5789473684213</v>
      </c>
      <c r="I4986" s="44"/>
    </row>
    <row r="4987" spans="2:9" x14ac:dyDescent="0.15">
      <c r="B4987" s="4"/>
      <c r="C4987" s="24"/>
      <c r="D4987" s="32"/>
      <c r="E4987" s="682"/>
      <c r="F4987" s="20"/>
      <c r="G4987" s="20"/>
      <c r="H4987" s="55"/>
      <c r="I4987" s="44"/>
    </row>
    <row r="4988" spans="2:9" ht="14" thickBot="1" x14ac:dyDescent="0.2">
      <c r="B4988" s="33"/>
      <c r="C4988" s="34"/>
      <c r="D4988" s="22"/>
      <c r="E4988" s="21"/>
      <c r="F4988" s="22"/>
      <c r="G4988" s="23"/>
      <c r="H4988" s="47"/>
      <c r="I4988" s="48"/>
    </row>
    <row r="4989" spans="2:9" ht="14" thickBot="1" x14ac:dyDescent="0.2">
      <c r="B4989" s="1"/>
      <c r="C4989" s="1"/>
      <c r="D4989" s="1"/>
      <c r="E4989" s="1"/>
      <c r="F4989" s="1"/>
      <c r="G4989" s="1"/>
      <c r="H4989" s="37" t="s">
        <v>26</v>
      </c>
      <c r="I4989" s="681">
        <f>SUM(H4985:H4988)</f>
        <v>7172.7907894736854</v>
      </c>
    </row>
    <row r="4990" spans="2:9" ht="14" thickBot="1" x14ac:dyDescent="0.2">
      <c r="B4990" s="1"/>
      <c r="C4990" s="1"/>
      <c r="D4990" s="1"/>
      <c r="E4990" s="1"/>
      <c r="F4990" s="1"/>
      <c r="G4990" s="1"/>
      <c r="H4990" s="61"/>
      <c r="I4990" s="1"/>
    </row>
    <row r="4991" spans="2:9" ht="15" thickBot="1" x14ac:dyDescent="0.2">
      <c r="B4991" s="1"/>
      <c r="C4991" s="1"/>
      <c r="D4991" s="1"/>
      <c r="E4991" s="1"/>
      <c r="F4991" s="35" t="s">
        <v>43</v>
      </c>
      <c r="G4991" s="16"/>
      <c r="H4991" s="16"/>
      <c r="I4991" s="477">
        <f>ROUND((I4970+I4976+I4982+I4989),0)</f>
        <v>24341</v>
      </c>
    </row>
    <row r="4992" spans="2:9" ht="14" x14ac:dyDescent="0.15">
      <c r="B4992" s="1"/>
      <c r="C4992" s="1"/>
      <c r="D4992" s="1"/>
      <c r="E4992" s="1"/>
      <c r="F4992" s="15"/>
      <c r="G4992" s="16"/>
      <c r="H4992" s="16"/>
      <c r="I4992" s="680"/>
    </row>
    <row r="4993" spans="2:9" ht="14" x14ac:dyDescent="0.15">
      <c r="B4993" s="1"/>
      <c r="C4993" s="1"/>
      <c r="D4993" s="1"/>
      <c r="E4993" s="1"/>
      <c r="F4993" s="15"/>
      <c r="G4993" s="16"/>
      <c r="H4993" s="16"/>
      <c r="I4993" s="680"/>
    </row>
    <row r="4994" spans="2:9" ht="14" x14ac:dyDescent="0.15">
      <c r="B4994" s="1"/>
      <c r="C4994" s="1"/>
      <c r="D4994" s="1"/>
      <c r="E4994" s="1"/>
      <c r="F4994" s="15"/>
      <c r="G4994" s="16"/>
      <c r="H4994" s="16"/>
      <c r="I4994" s="680"/>
    </row>
    <row r="4995" spans="2:9" ht="14" x14ac:dyDescent="0.15">
      <c r="B4995" s="1"/>
      <c r="C4995" s="1"/>
      <c r="D4995" s="1"/>
      <c r="E4995" s="1"/>
      <c r="F4995" s="15"/>
      <c r="G4995" s="16"/>
      <c r="H4995" s="16"/>
      <c r="I4995" s="680"/>
    </row>
    <row r="4996" spans="2:9" ht="14" x14ac:dyDescent="0.15">
      <c r="B4996" s="1"/>
      <c r="C4996" s="1"/>
      <c r="D4996" s="1"/>
      <c r="E4996" s="1"/>
      <c r="F4996" s="15"/>
      <c r="G4996" s="16"/>
      <c r="H4996" s="16"/>
      <c r="I4996" s="680"/>
    </row>
    <row r="4997" spans="2:9" ht="14" x14ac:dyDescent="0.15">
      <c r="B4997" s="1"/>
      <c r="C4997" s="1"/>
      <c r="D4997" s="1"/>
      <c r="E4997" s="1"/>
      <c r="F4997" s="15"/>
      <c r="G4997" s="16"/>
      <c r="H4997" s="16"/>
      <c r="I4997" s="680"/>
    </row>
    <row r="4998" spans="2:9" ht="14" x14ac:dyDescent="0.15">
      <c r="B4998" s="1"/>
      <c r="C4998" s="1"/>
      <c r="D4998" s="1"/>
      <c r="E4998" s="1"/>
      <c r="F4998" s="15"/>
      <c r="G4998" s="16"/>
      <c r="H4998" s="16"/>
      <c r="I4998" s="680"/>
    </row>
    <row r="4999" spans="2:9" ht="14" x14ac:dyDescent="0.15">
      <c r="B4999" s="1"/>
      <c r="C4999" s="1"/>
      <c r="D4999" s="1"/>
      <c r="E4999" s="1"/>
      <c r="F4999" s="15"/>
      <c r="G4999" s="16"/>
      <c r="H4999" s="16"/>
      <c r="I4999" s="680"/>
    </row>
    <row r="5000" spans="2:9" x14ac:dyDescent="0.15">
      <c r="B5000" s="11"/>
      <c r="C5000" s="11"/>
      <c r="D5000" s="1"/>
      <c r="E5000" s="155"/>
      <c r="F5000" s="155"/>
      <c r="G5000" s="155"/>
      <c r="H5000" s="155"/>
      <c r="I5000" s="62"/>
    </row>
    <row r="5001" spans="2:9" x14ac:dyDescent="0.15">
      <c r="B5001" s="11"/>
      <c r="C5001" s="11"/>
      <c r="D5001" s="1"/>
      <c r="E5001" s="155"/>
      <c r="F5001" s="155"/>
      <c r="G5001" s="155"/>
      <c r="H5001" s="155"/>
      <c r="I5001" s="62"/>
    </row>
    <row r="5002" spans="2:9" x14ac:dyDescent="0.15">
      <c r="B5002" s="11"/>
      <c r="C5002" s="11"/>
      <c r="D5002" s="1"/>
      <c r="E5002" s="155"/>
      <c r="F5002" s="155"/>
      <c r="G5002" s="155"/>
      <c r="H5002" s="155"/>
      <c r="I5002" s="62"/>
    </row>
    <row r="5003" spans="2:9" x14ac:dyDescent="0.15">
      <c r="B5003" s="11"/>
      <c r="C5003" s="11"/>
      <c r="D5003" s="1"/>
      <c r="E5003" s="155"/>
      <c r="F5003" s="155"/>
      <c r="G5003" s="155"/>
      <c r="H5003" s="155"/>
      <c r="I5003" s="62"/>
    </row>
    <row r="5004" spans="2:9" x14ac:dyDescent="0.15">
      <c r="B5004" s="11"/>
      <c r="C5004" s="11"/>
      <c r="D5004" s="1"/>
      <c r="E5004" s="155"/>
      <c r="F5004" s="155"/>
      <c r="G5004" s="155"/>
      <c r="H5004" s="155"/>
      <c r="I5004" s="62"/>
    </row>
    <row r="5005" spans="2:9" x14ac:dyDescent="0.15">
      <c r="B5005" s="11"/>
      <c r="C5005" s="11"/>
      <c r="D5005" s="1"/>
      <c r="E5005" s="155"/>
      <c r="F5005" s="155"/>
      <c r="G5005" s="155"/>
      <c r="H5005" s="155"/>
      <c r="I5005" s="62"/>
    </row>
    <row r="5006" spans="2:9" x14ac:dyDescent="0.15">
      <c r="B5006" s="11"/>
      <c r="C5006" s="11"/>
      <c r="D5006" s="1"/>
      <c r="E5006" s="155"/>
      <c r="F5006" s="155"/>
      <c r="G5006" s="155"/>
      <c r="H5006" s="155"/>
      <c r="I5006" s="62"/>
    </row>
    <row r="5007" spans="2:9" x14ac:dyDescent="0.15">
      <c r="B5007" s="11"/>
      <c r="C5007" s="11"/>
      <c r="D5007" s="1"/>
      <c r="E5007" s="155"/>
      <c r="F5007" s="155"/>
      <c r="G5007" s="155"/>
      <c r="H5007" s="155"/>
      <c r="I5007" s="62"/>
    </row>
    <row r="5012" spans="2:9" ht="14" thickBot="1" x14ac:dyDescent="0.2"/>
    <row r="5013" spans="2:9" ht="21" customHeight="1" x14ac:dyDescent="0.15">
      <c r="B5013" s="885" t="s">
        <v>527</v>
      </c>
      <c r="C5013" s="886"/>
      <c r="D5013" s="886"/>
      <c r="E5013" s="886"/>
      <c r="F5013" s="887"/>
      <c r="G5013" s="1"/>
      <c r="H5013" s="879" t="s">
        <v>20</v>
      </c>
      <c r="I5013" s="880"/>
    </row>
    <row r="5014" spans="2:9" ht="16.5" customHeight="1" x14ac:dyDescent="0.15">
      <c r="B5014" s="888" t="s">
        <v>528</v>
      </c>
      <c r="C5014" s="889"/>
      <c r="D5014" s="889"/>
      <c r="E5014" s="889"/>
      <c r="F5014" s="890"/>
      <c r="G5014" s="63"/>
      <c r="H5014" s="881"/>
      <c r="I5014" s="882"/>
    </row>
    <row r="5015" spans="2:9" ht="12.75" customHeight="1" x14ac:dyDescent="0.15">
      <c r="B5015" s="906" t="s">
        <v>529</v>
      </c>
      <c r="C5015" s="907"/>
      <c r="D5015" s="907"/>
      <c r="E5015" s="907"/>
      <c r="F5015" s="908"/>
      <c r="G5015" s="63"/>
      <c r="H5015" s="883"/>
      <c r="I5015" s="884"/>
    </row>
    <row r="5016" spans="2:9" ht="16.5" customHeight="1" thickBot="1" x14ac:dyDescent="0.2">
      <c r="B5016" s="909"/>
      <c r="C5016" s="910"/>
      <c r="D5016" s="910"/>
      <c r="E5016" s="910"/>
      <c r="F5016" s="911"/>
      <c r="G5016" s="1"/>
      <c r="H5016" s="891" t="s">
        <v>1363</v>
      </c>
      <c r="I5016" s="892"/>
    </row>
    <row r="5017" spans="2:9" ht="14" thickBot="1" x14ac:dyDescent="0.2">
      <c r="B5017" s="15"/>
      <c r="C5017" s="16"/>
      <c r="D5017" s="1"/>
      <c r="E5017" s="1"/>
      <c r="F5017" s="1"/>
      <c r="G5017" s="1"/>
      <c r="H5017" s="893"/>
      <c r="I5017" s="894"/>
    </row>
    <row r="5018" spans="2:9" ht="12.75" customHeight="1" x14ac:dyDescent="0.15">
      <c r="B5018" s="947" t="s">
        <v>1283</v>
      </c>
      <c r="C5018" s="948"/>
      <c r="D5018" s="948"/>
      <c r="E5018" s="948"/>
      <c r="F5018" s="949"/>
      <c r="G5018" s="1"/>
      <c r="H5018" s="893"/>
      <c r="I5018" s="894"/>
    </row>
    <row r="5019" spans="2:9" ht="12.75" customHeight="1" x14ac:dyDescent="0.15">
      <c r="B5019" s="950"/>
      <c r="C5019" s="951"/>
      <c r="D5019" s="951"/>
      <c r="E5019" s="951"/>
      <c r="F5019" s="952"/>
      <c r="H5019" s="893"/>
      <c r="I5019" s="894"/>
    </row>
    <row r="5020" spans="2:9" ht="13.5" customHeight="1" x14ac:dyDescent="0.15">
      <c r="B5020" s="950"/>
      <c r="C5020" s="951"/>
      <c r="D5020" s="951"/>
      <c r="E5020" s="951"/>
      <c r="F5020" s="952"/>
      <c r="G5020" s="11"/>
      <c r="H5020" s="895"/>
      <c r="I5020" s="896"/>
    </row>
    <row r="5021" spans="2:9" ht="21.75" customHeight="1" thickBot="1" x14ac:dyDescent="0.2">
      <c r="B5021" s="953"/>
      <c r="C5021" s="954"/>
      <c r="D5021" s="954"/>
      <c r="E5021" s="954"/>
      <c r="F5021" s="955"/>
      <c r="H5021" s="64" t="s">
        <v>45</v>
      </c>
      <c r="I5021" s="17" t="s">
        <v>319</v>
      </c>
    </row>
    <row r="5022" spans="2:9" x14ac:dyDescent="0.15">
      <c r="B5022" s="18"/>
      <c r="C5022" s="18"/>
      <c r="D5022" s="1"/>
      <c r="E5022" s="18"/>
      <c r="F5022" s="18"/>
      <c r="G5022" s="18"/>
      <c r="H5022" s="18"/>
      <c r="I5022" s="1"/>
    </row>
    <row r="5023" spans="2:9" ht="14" thickBot="1" x14ac:dyDescent="0.2">
      <c r="B5023" s="12" t="s">
        <v>21</v>
      </c>
      <c r="C5023" s="12"/>
      <c r="D5023" s="1"/>
      <c r="E5023" s="1"/>
      <c r="F5023" s="1"/>
      <c r="G5023" s="1"/>
      <c r="H5023" s="1"/>
      <c r="I5023" s="1"/>
    </row>
    <row r="5024" spans="2:9" x14ac:dyDescent="0.15">
      <c r="B5024" s="903" t="s">
        <v>22</v>
      </c>
      <c r="C5024" s="904"/>
      <c r="D5024" s="905"/>
      <c r="E5024" s="209" t="s">
        <v>23</v>
      </c>
      <c r="F5024" s="19" t="s">
        <v>47</v>
      </c>
      <c r="G5024" s="209" t="s">
        <v>24</v>
      </c>
      <c r="H5024" s="208" t="s">
        <v>25</v>
      </c>
      <c r="I5024" s="43"/>
    </row>
    <row r="5025" spans="2:9" x14ac:dyDescent="0.15">
      <c r="B5025" s="897" t="s">
        <v>56</v>
      </c>
      <c r="C5025" s="898"/>
      <c r="D5025" s="899"/>
      <c r="E5025" s="5"/>
      <c r="F5025" s="689"/>
      <c r="G5025" s="58"/>
      <c r="H5025" s="687">
        <f>I5046*0.05</f>
        <v>13628.302500000003</v>
      </c>
      <c r="I5025" s="44"/>
    </row>
    <row r="5026" spans="2:9" ht="14" thickBot="1" x14ac:dyDescent="0.2">
      <c r="B5026" s="900"/>
      <c r="C5026" s="901"/>
      <c r="D5026" s="902"/>
      <c r="E5026" s="21"/>
      <c r="F5026" s="22"/>
      <c r="G5026" s="23"/>
      <c r="H5026" s="47"/>
      <c r="I5026" s="48"/>
    </row>
    <row r="5027" spans="2:9" ht="14" thickBot="1" x14ac:dyDescent="0.2">
      <c r="B5027" s="1"/>
      <c r="C5027" s="1"/>
      <c r="D5027" s="1"/>
      <c r="E5027" s="1"/>
      <c r="F5027" s="1"/>
      <c r="G5027" s="1"/>
      <c r="H5027" s="37" t="s">
        <v>26</v>
      </c>
      <c r="I5027" s="685">
        <f>SUM(H5025:H5026)</f>
        <v>13628.302500000003</v>
      </c>
    </row>
    <row r="5028" spans="2:9" ht="14" thickBot="1" x14ac:dyDescent="0.2">
      <c r="B5028" s="12" t="s">
        <v>27</v>
      </c>
      <c r="C5028" s="12"/>
      <c r="D5028" s="1"/>
      <c r="E5028" s="1"/>
      <c r="F5028" s="1"/>
      <c r="G5028" s="1"/>
      <c r="H5028" s="1"/>
      <c r="I5028" s="1"/>
    </row>
    <row r="5029" spans="2:9" x14ac:dyDescent="0.15">
      <c r="B5029" s="903" t="s">
        <v>22</v>
      </c>
      <c r="C5029" s="904"/>
      <c r="D5029" s="905"/>
      <c r="E5029" s="209" t="s">
        <v>28</v>
      </c>
      <c r="F5029" s="209" t="s">
        <v>29</v>
      </c>
      <c r="G5029" s="209" t="s">
        <v>30</v>
      </c>
      <c r="H5029" s="208" t="s">
        <v>25</v>
      </c>
      <c r="I5029" s="43"/>
    </row>
    <row r="5030" spans="2:9" x14ac:dyDescent="0.15">
      <c r="B5030" s="4" t="s">
        <v>1357</v>
      </c>
      <c r="C5030" s="24"/>
      <c r="D5030" s="6"/>
      <c r="E5030" s="3" t="s">
        <v>501</v>
      </c>
      <c r="F5030" s="688">
        <f>MATERIALES!C180</f>
        <v>2430000</v>
      </c>
      <c r="G5030" s="65">
        <v>1</v>
      </c>
      <c r="H5030" s="687">
        <f>G5030*F5030</f>
        <v>2430000</v>
      </c>
      <c r="I5030" s="44"/>
    </row>
    <row r="5031" spans="2:9" x14ac:dyDescent="0.15">
      <c r="B5031" s="80" t="s">
        <v>69</v>
      </c>
      <c r="C5031" s="81"/>
      <c r="D5031" s="668"/>
      <c r="E5031" s="74" t="s">
        <v>19</v>
      </c>
      <c r="F5031" s="688">
        <v>25000</v>
      </c>
      <c r="G5031" s="65">
        <v>1</v>
      </c>
      <c r="H5031" s="687">
        <f>G5031*F5031</f>
        <v>25000</v>
      </c>
      <c r="I5031" s="44"/>
    </row>
    <row r="5032" spans="2:9" ht="14" thickBot="1" x14ac:dyDescent="0.2">
      <c r="B5032" s="25"/>
      <c r="C5032" s="26"/>
      <c r="D5032" s="27"/>
      <c r="E5032" s="21"/>
      <c r="F5032" s="22"/>
      <c r="G5032" s="686"/>
      <c r="H5032" s="47"/>
      <c r="I5032" s="48"/>
    </row>
    <row r="5033" spans="2:9" ht="14" thickBot="1" x14ac:dyDescent="0.2">
      <c r="B5033" s="1"/>
      <c r="C5033" s="1"/>
      <c r="D5033" s="1"/>
      <c r="E5033" s="1"/>
      <c r="F5033" s="1"/>
      <c r="G5033" s="1"/>
      <c r="H5033" s="37" t="s">
        <v>26</v>
      </c>
      <c r="I5033" s="685">
        <f>SUM(H5030:H5032)</f>
        <v>2455000</v>
      </c>
    </row>
    <row r="5034" spans="2:9" ht="14" thickBot="1" x14ac:dyDescent="0.2">
      <c r="B5034" s="28" t="s">
        <v>31</v>
      </c>
      <c r="C5034" s="28"/>
      <c r="D5034" s="26"/>
      <c r="E5034" s="1"/>
      <c r="F5034" s="1"/>
      <c r="G5034" s="1"/>
      <c r="H5034" s="1"/>
      <c r="I5034" s="1"/>
    </row>
    <row r="5035" spans="2:9" x14ac:dyDescent="0.15">
      <c r="B5035" s="51" t="s">
        <v>32</v>
      </c>
      <c r="C5035" s="52"/>
      <c r="D5035" s="378" t="s">
        <v>33</v>
      </c>
      <c r="E5035" s="209" t="s">
        <v>34</v>
      </c>
      <c r="F5035" s="209" t="s">
        <v>35</v>
      </c>
      <c r="G5035" s="209" t="s">
        <v>36</v>
      </c>
      <c r="H5035" s="59" t="s">
        <v>25</v>
      </c>
      <c r="I5035" s="43"/>
    </row>
    <row r="5036" spans="2:9" x14ac:dyDescent="0.15">
      <c r="B5036" s="4" t="s">
        <v>79</v>
      </c>
      <c r="C5036" s="6"/>
      <c r="D5036" s="53">
        <v>2</v>
      </c>
      <c r="E5036" s="2">
        <v>43</v>
      </c>
      <c r="F5036" s="2">
        <f>E5036*D5036</f>
        <v>86</v>
      </c>
      <c r="G5036" s="162">
        <v>1100</v>
      </c>
      <c r="H5036" s="20">
        <f>G5036*F5036</f>
        <v>94600</v>
      </c>
      <c r="I5036" s="44"/>
    </row>
    <row r="5037" spans="2:9" x14ac:dyDescent="0.15">
      <c r="B5037" s="415"/>
      <c r="C5037" s="66"/>
      <c r="D5037" s="67"/>
      <c r="E5037" s="68"/>
      <c r="F5037" s="68"/>
      <c r="G5037" s="69"/>
      <c r="H5037" s="65"/>
      <c r="I5037" s="44"/>
    </row>
    <row r="5038" spans="2:9" ht="14" thickBot="1" x14ac:dyDescent="0.2">
      <c r="B5038" s="33"/>
      <c r="C5038" s="54"/>
      <c r="D5038" s="21"/>
      <c r="E5038" s="22"/>
      <c r="F5038" s="23"/>
      <c r="G5038" s="47"/>
      <c r="H5038" s="21"/>
      <c r="I5038" s="44"/>
    </row>
    <row r="5039" spans="2:9" ht="14" thickBot="1" x14ac:dyDescent="0.2">
      <c r="B5039" s="1"/>
      <c r="C5039" s="1"/>
      <c r="D5039" s="1"/>
      <c r="E5039" s="1"/>
      <c r="F5039" s="1"/>
      <c r="G5039" s="1"/>
      <c r="H5039" s="37" t="s">
        <v>26</v>
      </c>
      <c r="I5039" s="685">
        <f>SUM(H5036:H5038)</f>
        <v>94600</v>
      </c>
    </row>
    <row r="5040" spans="2:9" ht="14" thickBot="1" x14ac:dyDescent="0.2">
      <c r="B5040" s="28" t="s">
        <v>37</v>
      </c>
      <c r="C5040" s="28"/>
      <c r="D5040" s="1"/>
      <c r="E5040" s="1"/>
      <c r="F5040" s="1"/>
      <c r="G5040" s="1"/>
      <c r="H5040" s="1"/>
      <c r="I5040" s="1"/>
    </row>
    <row r="5041" spans="2:9" x14ac:dyDescent="0.15">
      <c r="B5041" s="51" t="s">
        <v>38</v>
      </c>
      <c r="C5041" s="86"/>
      <c r="D5041" s="31" t="s">
        <v>39</v>
      </c>
      <c r="E5041" s="209" t="s">
        <v>40</v>
      </c>
      <c r="F5041" s="19" t="s">
        <v>41</v>
      </c>
      <c r="G5041" s="31" t="s">
        <v>24</v>
      </c>
      <c r="H5041" s="208" t="s">
        <v>25</v>
      </c>
      <c r="I5041" s="43"/>
    </row>
    <row r="5042" spans="2:9" x14ac:dyDescent="0.15">
      <c r="B5042" s="4" t="s">
        <v>106</v>
      </c>
      <c r="C5042" s="24"/>
      <c r="D5042" s="32">
        <f>'MANO DE OBRA'!E16</f>
        <v>95333</v>
      </c>
      <c r="E5042" s="682">
        <v>1.85</v>
      </c>
      <c r="F5042" s="684">
        <f>+E5042*D5042</f>
        <v>176366.05000000002</v>
      </c>
      <c r="G5042" s="79">
        <v>1</v>
      </c>
      <c r="H5042" s="683">
        <f>+F5042/G5042</f>
        <v>176366.05000000002</v>
      </c>
      <c r="I5042" s="44"/>
    </row>
    <row r="5043" spans="2:9" x14ac:dyDescent="0.15">
      <c r="B5043" s="4" t="s">
        <v>72</v>
      </c>
      <c r="C5043" s="24"/>
      <c r="D5043" s="32">
        <f>'MANO DE OBRA'!E14</f>
        <v>52000</v>
      </c>
      <c r="E5043" s="682">
        <v>1.85</v>
      </c>
      <c r="F5043" s="684">
        <f>+E5043*D5043</f>
        <v>96200</v>
      </c>
      <c r="G5043" s="79">
        <v>1</v>
      </c>
      <c r="H5043" s="683">
        <f>+F5043/G5043</f>
        <v>96200</v>
      </c>
      <c r="I5043" s="44"/>
    </row>
    <row r="5044" spans="2:9" x14ac:dyDescent="0.15">
      <c r="B5044" s="4"/>
      <c r="C5044" s="24"/>
      <c r="D5044" s="32"/>
      <c r="E5044" s="682"/>
      <c r="F5044" s="20"/>
      <c r="G5044" s="20"/>
      <c r="H5044" s="55"/>
      <c r="I5044" s="44"/>
    </row>
    <row r="5045" spans="2:9" ht="14" thickBot="1" x14ac:dyDescent="0.2">
      <c r="B5045" s="33"/>
      <c r="C5045" s="34"/>
      <c r="D5045" s="22"/>
      <c r="E5045" s="21"/>
      <c r="F5045" s="22"/>
      <c r="G5045" s="23"/>
      <c r="H5045" s="47"/>
      <c r="I5045" s="48"/>
    </row>
    <row r="5046" spans="2:9" ht="14" thickBot="1" x14ac:dyDescent="0.2">
      <c r="B5046" s="1"/>
      <c r="C5046" s="1"/>
      <c r="D5046" s="1"/>
      <c r="E5046" s="1"/>
      <c r="F5046" s="1"/>
      <c r="G5046" s="1"/>
      <c r="H5046" s="37" t="s">
        <v>26</v>
      </c>
      <c r="I5046" s="681">
        <f>SUM(H5042:H5045)</f>
        <v>272566.05000000005</v>
      </c>
    </row>
    <row r="5047" spans="2:9" ht="14" thickBot="1" x14ac:dyDescent="0.2">
      <c r="B5047" s="1"/>
      <c r="C5047" s="1"/>
      <c r="D5047" s="1"/>
      <c r="E5047" s="1"/>
      <c r="F5047" s="1"/>
      <c r="G5047" s="1"/>
      <c r="H5047" s="61"/>
      <c r="I5047" s="1"/>
    </row>
    <row r="5048" spans="2:9" ht="15" thickBot="1" x14ac:dyDescent="0.2">
      <c r="B5048" s="1"/>
      <c r="C5048" s="1"/>
      <c r="D5048" s="1"/>
      <c r="E5048" s="1"/>
      <c r="F5048" s="35" t="s">
        <v>43</v>
      </c>
      <c r="G5048" s="16"/>
      <c r="H5048" s="16"/>
      <c r="I5048" s="477">
        <f>ROUND((I5027+I5033+I5039+I5046),0)</f>
        <v>2835794</v>
      </c>
    </row>
    <row r="5049" spans="2:9" ht="14" x14ac:dyDescent="0.15">
      <c r="B5049" s="1"/>
      <c r="C5049" s="1"/>
      <c r="D5049" s="1"/>
      <c r="E5049" s="1"/>
      <c r="F5049" s="15"/>
      <c r="G5049" s="16"/>
      <c r="H5049" s="16"/>
      <c r="I5049" s="680"/>
    </row>
    <row r="5050" spans="2:9" ht="14" x14ac:dyDescent="0.15">
      <c r="B5050" s="1"/>
      <c r="C5050" s="1"/>
      <c r="D5050" s="1"/>
      <c r="E5050" s="1"/>
      <c r="F5050" s="15"/>
      <c r="G5050" s="16"/>
      <c r="H5050" s="16"/>
      <c r="I5050" s="680"/>
    </row>
    <row r="5051" spans="2:9" ht="14" x14ac:dyDescent="0.15">
      <c r="B5051" s="1"/>
      <c r="C5051" s="1"/>
      <c r="D5051" s="1"/>
      <c r="E5051" s="1"/>
      <c r="F5051" s="15"/>
      <c r="G5051" s="16"/>
      <c r="H5051" s="16"/>
      <c r="I5051" s="680"/>
    </row>
    <row r="5052" spans="2:9" ht="14" x14ac:dyDescent="0.15">
      <c r="B5052" s="1"/>
      <c r="C5052" s="1"/>
      <c r="D5052" s="1"/>
      <c r="E5052" s="1"/>
      <c r="F5052" s="15"/>
      <c r="G5052" s="16"/>
      <c r="H5052" s="16"/>
      <c r="I5052" s="680"/>
    </row>
    <row r="5053" spans="2:9" ht="14" x14ac:dyDescent="0.15">
      <c r="B5053" s="1"/>
      <c r="C5053" s="1"/>
      <c r="D5053" s="1"/>
      <c r="E5053" s="1"/>
      <c r="F5053" s="15"/>
      <c r="G5053" s="16"/>
      <c r="H5053" s="16"/>
      <c r="I5053" s="680"/>
    </row>
    <row r="5054" spans="2:9" ht="14" x14ac:dyDescent="0.15">
      <c r="B5054" s="1"/>
      <c r="C5054" s="1"/>
      <c r="D5054" s="1"/>
      <c r="E5054" s="1"/>
      <c r="F5054" s="15"/>
      <c r="G5054" s="16"/>
      <c r="H5054" s="16"/>
      <c r="I5054" s="680"/>
    </row>
    <row r="5055" spans="2:9" ht="14" x14ac:dyDescent="0.15">
      <c r="B5055" s="1"/>
      <c r="C5055" s="1"/>
      <c r="D5055" s="1"/>
      <c r="E5055" s="1"/>
      <c r="F5055" s="15"/>
      <c r="G5055" s="16"/>
      <c r="H5055" s="16"/>
      <c r="I5055" s="680"/>
    </row>
    <row r="5056" spans="2:9" ht="14" x14ac:dyDescent="0.15">
      <c r="B5056" s="1"/>
      <c r="C5056" s="1"/>
      <c r="D5056" s="1"/>
      <c r="E5056" s="1"/>
      <c r="F5056" s="15"/>
      <c r="G5056" s="16"/>
      <c r="H5056" s="16"/>
      <c r="I5056" s="680"/>
    </row>
    <row r="5057" spans="2:9" x14ac:dyDescent="0.15">
      <c r="B5057" s="11"/>
      <c r="C5057" s="11"/>
      <c r="D5057" s="1"/>
      <c r="E5057" s="155"/>
      <c r="F5057" s="155"/>
      <c r="G5057" s="155"/>
      <c r="H5057" s="155"/>
      <c r="I5057" s="62"/>
    </row>
    <row r="5058" spans="2:9" x14ac:dyDescent="0.15">
      <c r="B5058" s="11"/>
      <c r="C5058" s="11"/>
      <c r="D5058" s="1"/>
      <c r="E5058" s="155"/>
      <c r="F5058" s="155"/>
      <c r="G5058" s="155"/>
      <c r="H5058" s="155"/>
      <c r="I5058" s="62"/>
    </row>
    <row r="5059" spans="2:9" x14ac:dyDescent="0.15">
      <c r="B5059" s="11"/>
      <c r="C5059" s="11"/>
      <c r="D5059" s="1"/>
      <c r="E5059" s="155"/>
      <c r="F5059" s="155"/>
      <c r="G5059" s="155"/>
      <c r="H5059" s="155"/>
      <c r="I5059" s="62"/>
    </row>
    <row r="5060" spans="2:9" x14ac:dyDescent="0.15">
      <c r="B5060" s="11"/>
      <c r="C5060" s="11"/>
      <c r="D5060" s="1"/>
      <c r="E5060" s="155"/>
      <c r="F5060" s="155"/>
      <c r="G5060" s="155"/>
      <c r="H5060" s="155"/>
      <c r="I5060" s="62"/>
    </row>
    <row r="5061" spans="2:9" x14ac:dyDescent="0.15">
      <c r="B5061" s="11"/>
      <c r="C5061" s="11"/>
      <c r="D5061" s="1"/>
      <c r="E5061" s="155"/>
      <c r="F5061" s="155"/>
      <c r="G5061" s="155"/>
      <c r="H5061" s="155"/>
      <c r="I5061" s="62"/>
    </row>
    <row r="5062" spans="2:9" x14ac:dyDescent="0.15">
      <c r="B5062" s="11"/>
      <c r="C5062" s="11"/>
      <c r="D5062" s="1"/>
      <c r="E5062" s="155"/>
      <c r="F5062" s="155"/>
      <c r="G5062" s="155"/>
      <c r="H5062" s="155"/>
      <c r="I5062" s="62"/>
    </row>
    <row r="5063" spans="2:9" x14ac:dyDescent="0.15">
      <c r="B5063" s="11"/>
      <c r="C5063" s="11"/>
      <c r="D5063" s="1"/>
      <c r="E5063" s="155"/>
      <c r="F5063" s="155"/>
      <c r="G5063" s="155"/>
      <c r="H5063" s="155"/>
      <c r="I5063" s="62"/>
    </row>
    <row r="5064" spans="2:9" x14ac:dyDescent="0.15">
      <c r="B5064" s="11"/>
      <c r="C5064" s="11"/>
      <c r="D5064" s="1"/>
      <c r="E5064" s="155"/>
      <c r="F5064" s="155"/>
      <c r="G5064" s="155"/>
      <c r="H5064" s="155"/>
      <c r="I5064" s="62"/>
    </row>
    <row r="5068" spans="2:9" ht="14" thickBot="1" x14ac:dyDescent="0.2"/>
    <row r="5069" spans="2:9" ht="21" customHeight="1" x14ac:dyDescent="0.15">
      <c r="B5069" s="885" t="s">
        <v>527</v>
      </c>
      <c r="C5069" s="886"/>
      <c r="D5069" s="886"/>
      <c r="E5069" s="886"/>
      <c r="F5069" s="887"/>
      <c r="G5069" s="1"/>
      <c r="H5069" s="879" t="s">
        <v>20</v>
      </c>
      <c r="I5069" s="880"/>
    </row>
    <row r="5070" spans="2:9" ht="16.5" customHeight="1" x14ac:dyDescent="0.15">
      <c r="B5070" s="888" t="s">
        <v>528</v>
      </c>
      <c r="C5070" s="889"/>
      <c r="D5070" s="889"/>
      <c r="E5070" s="889"/>
      <c r="F5070" s="890"/>
      <c r="G5070" s="63"/>
      <c r="H5070" s="881"/>
      <c r="I5070" s="882"/>
    </row>
    <row r="5071" spans="2:9" ht="12.75" customHeight="1" x14ac:dyDescent="0.15">
      <c r="B5071" s="906" t="s">
        <v>529</v>
      </c>
      <c r="C5071" s="907"/>
      <c r="D5071" s="907"/>
      <c r="E5071" s="907"/>
      <c r="F5071" s="908"/>
      <c r="G5071" s="63"/>
      <c r="H5071" s="883"/>
      <c r="I5071" s="884"/>
    </row>
    <row r="5072" spans="2:9" ht="16.5" customHeight="1" thickBot="1" x14ac:dyDescent="0.2">
      <c r="B5072" s="909"/>
      <c r="C5072" s="910"/>
      <c r="D5072" s="910"/>
      <c r="E5072" s="910"/>
      <c r="F5072" s="911"/>
      <c r="G5072" s="1"/>
      <c r="H5072" s="891" t="s">
        <v>1594</v>
      </c>
      <c r="I5072" s="892"/>
    </row>
    <row r="5073" spans="2:9" ht="14" thickBot="1" x14ac:dyDescent="0.2">
      <c r="B5073" s="15"/>
      <c r="C5073" s="16"/>
      <c r="D5073" s="1"/>
      <c r="E5073" s="1"/>
      <c r="F5073" s="1"/>
      <c r="G5073" s="1"/>
      <c r="H5073" s="893"/>
      <c r="I5073" s="894"/>
    </row>
    <row r="5074" spans="2:9" ht="12.75" customHeight="1" x14ac:dyDescent="0.15">
      <c r="B5074" s="947" t="s">
        <v>1283</v>
      </c>
      <c r="C5074" s="948"/>
      <c r="D5074" s="948"/>
      <c r="E5074" s="948"/>
      <c r="F5074" s="949"/>
      <c r="G5074" s="1"/>
      <c r="H5074" s="893"/>
      <c r="I5074" s="894"/>
    </row>
    <row r="5075" spans="2:9" ht="12.75" customHeight="1" x14ac:dyDescent="0.15">
      <c r="B5075" s="950"/>
      <c r="C5075" s="951"/>
      <c r="D5075" s="951"/>
      <c r="E5075" s="951"/>
      <c r="F5075" s="952"/>
      <c r="H5075" s="893"/>
      <c r="I5075" s="894"/>
    </row>
    <row r="5076" spans="2:9" ht="13.5" customHeight="1" x14ac:dyDescent="0.15">
      <c r="B5076" s="950"/>
      <c r="C5076" s="951"/>
      <c r="D5076" s="951"/>
      <c r="E5076" s="951"/>
      <c r="F5076" s="952"/>
      <c r="G5076" s="11"/>
      <c r="H5076" s="895"/>
      <c r="I5076" s="896"/>
    </row>
    <row r="5077" spans="2:9" ht="21.75" customHeight="1" thickBot="1" x14ac:dyDescent="0.2">
      <c r="B5077" s="953"/>
      <c r="C5077" s="954"/>
      <c r="D5077" s="954"/>
      <c r="E5077" s="954"/>
      <c r="F5077" s="955"/>
      <c r="H5077" s="64" t="s">
        <v>45</v>
      </c>
      <c r="I5077" s="17" t="s">
        <v>319</v>
      </c>
    </row>
    <row r="5078" spans="2:9" x14ac:dyDescent="0.15">
      <c r="B5078" s="18"/>
      <c r="C5078" s="18"/>
      <c r="D5078" s="1"/>
      <c r="E5078" s="18"/>
      <c r="F5078" s="18"/>
      <c r="G5078" s="18"/>
      <c r="H5078" s="18"/>
      <c r="I5078" s="1"/>
    </row>
    <row r="5079" spans="2:9" ht="14" thickBot="1" x14ac:dyDescent="0.2">
      <c r="B5079" s="12" t="s">
        <v>21</v>
      </c>
      <c r="C5079" s="12"/>
      <c r="D5079" s="1"/>
      <c r="E5079" s="1"/>
      <c r="F5079" s="1"/>
      <c r="G5079" s="1"/>
      <c r="H5079" s="1"/>
      <c r="I5079" s="1"/>
    </row>
    <row r="5080" spans="2:9" x14ac:dyDescent="0.15">
      <c r="B5080" s="903" t="s">
        <v>22</v>
      </c>
      <c r="C5080" s="904"/>
      <c r="D5080" s="905"/>
      <c r="E5080" s="209" t="s">
        <v>23</v>
      </c>
      <c r="F5080" s="19" t="s">
        <v>47</v>
      </c>
      <c r="G5080" s="209" t="s">
        <v>24</v>
      </c>
      <c r="H5080" s="208" t="s">
        <v>25</v>
      </c>
      <c r="I5080" s="43"/>
    </row>
    <row r="5081" spans="2:9" x14ac:dyDescent="0.15">
      <c r="B5081" s="897" t="s">
        <v>56</v>
      </c>
      <c r="C5081" s="898"/>
      <c r="D5081" s="899"/>
      <c r="E5081" s="5"/>
      <c r="F5081" s="689"/>
      <c r="G5081" s="58"/>
      <c r="H5081" s="687">
        <f>I5102*0.05</f>
        <v>1946.9003571428575</v>
      </c>
      <c r="I5081" s="44"/>
    </row>
    <row r="5082" spans="2:9" ht="14" thickBot="1" x14ac:dyDescent="0.2">
      <c r="B5082" s="900"/>
      <c r="C5082" s="901"/>
      <c r="D5082" s="902"/>
      <c r="E5082" s="21"/>
      <c r="F5082" s="22"/>
      <c r="G5082" s="23"/>
      <c r="H5082" s="47"/>
      <c r="I5082" s="48"/>
    </row>
    <row r="5083" spans="2:9" ht="14" thickBot="1" x14ac:dyDescent="0.2">
      <c r="B5083" s="1"/>
      <c r="C5083" s="1"/>
      <c r="D5083" s="1"/>
      <c r="E5083" s="1"/>
      <c r="F5083" s="1"/>
      <c r="G5083" s="1"/>
      <c r="H5083" s="37" t="s">
        <v>26</v>
      </c>
      <c r="I5083" s="685">
        <f>SUM(H5081:H5082)</f>
        <v>1946.9003571428575</v>
      </c>
    </row>
    <row r="5084" spans="2:9" ht="14" thickBot="1" x14ac:dyDescent="0.2">
      <c r="B5084" s="12" t="s">
        <v>27</v>
      </c>
      <c r="C5084" s="12"/>
      <c r="D5084" s="1"/>
      <c r="E5084" s="1"/>
      <c r="F5084" s="1"/>
      <c r="G5084" s="1"/>
      <c r="H5084" s="1"/>
      <c r="I5084" s="1"/>
    </row>
    <row r="5085" spans="2:9" x14ac:dyDescent="0.15">
      <c r="B5085" s="903" t="s">
        <v>22</v>
      </c>
      <c r="C5085" s="904"/>
      <c r="D5085" s="905"/>
      <c r="E5085" s="209" t="s">
        <v>28</v>
      </c>
      <c r="F5085" s="209" t="s">
        <v>29</v>
      </c>
      <c r="G5085" s="209" t="s">
        <v>30</v>
      </c>
      <c r="H5085" s="208" t="s">
        <v>25</v>
      </c>
      <c r="I5085" s="43"/>
    </row>
    <row r="5086" spans="2:9" x14ac:dyDescent="0.15">
      <c r="B5086" s="4" t="s">
        <v>1595</v>
      </c>
      <c r="C5086" s="24"/>
      <c r="D5086" s="6"/>
      <c r="E5086" s="3" t="s">
        <v>501</v>
      </c>
      <c r="F5086" s="688">
        <f>MATERIALES!C179</f>
        <v>85000</v>
      </c>
      <c r="G5086" s="65">
        <v>1</v>
      </c>
      <c r="H5086" s="687">
        <f>G5086*F5086</f>
        <v>85000</v>
      </c>
      <c r="I5086" s="44"/>
    </row>
    <row r="5087" spans="2:9" x14ac:dyDescent="0.15">
      <c r="B5087" s="80" t="s">
        <v>69</v>
      </c>
      <c r="C5087" s="81"/>
      <c r="D5087" s="668"/>
      <c r="E5087" s="74" t="s">
        <v>19</v>
      </c>
      <c r="F5087" s="688">
        <v>7500</v>
      </c>
      <c r="G5087" s="65">
        <v>1</v>
      </c>
      <c r="H5087" s="687">
        <f>G5087*F5087</f>
        <v>7500</v>
      </c>
      <c r="I5087" s="44"/>
    </row>
    <row r="5088" spans="2:9" ht="14" thickBot="1" x14ac:dyDescent="0.2">
      <c r="B5088" s="25"/>
      <c r="C5088" s="26"/>
      <c r="D5088" s="27"/>
      <c r="E5088" s="21"/>
      <c r="F5088" s="22"/>
      <c r="G5088" s="686"/>
      <c r="H5088" s="47"/>
      <c r="I5088" s="48"/>
    </row>
    <row r="5089" spans="2:9" ht="14" thickBot="1" x14ac:dyDescent="0.2">
      <c r="B5089" s="1"/>
      <c r="C5089" s="1"/>
      <c r="D5089" s="1"/>
      <c r="E5089" s="1"/>
      <c r="F5089" s="1"/>
      <c r="G5089" s="1"/>
      <c r="H5089" s="37" t="s">
        <v>26</v>
      </c>
      <c r="I5089" s="685">
        <f>SUM(H5086:H5088)</f>
        <v>92500</v>
      </c>
    </row>
    <row r="5090" spans="2:9" ht="14" thickBot="1" x14ac:dyDescent="0.2">
      <c r="B5090" s="28" t="s">
        <v>31</v>
      </c>
      <c r="C5090" s="28"/>
      <c r="D5090" s="26"/>
      <c r="E5090" s="1"/>
      <c r="F5090" s="1"/>
      <c r="G5090" s="1"/>
      <c r="H5090" s="1"/>
      <c r="I5090" s="1"/>
    </row>
    <row r="5091" spans="2:9" x14ac:dyDescent="0.15">
      <c r="B5091" s="51" t="s">
        <v>32</v>
      </c>
      <c r="C5091" s="52"/>
      <c r="D5091" s="378" t="s">
        <v>33</v>
      </c>
      <c r="E5091" s="209" t="s">
        <v>34</v>
      </c>
      <c r="F5091" s="209" t="s">
        <v>35</v>
      </c>
      <c r="G5091" s="209" t="s">
        <v>36</v>
      </c>
      <c r="H5091" s="59" t="s">
        <v>25</v>
      </c>
      <c r="I5091" s="43"/>
    </row>
    <row r="5092" spans="2:9" x14ac:dyDescent="0.15">
      <c r="B5092" s="4" t="s">
        <v>79</v>
      </c>
      <c r="C5092" s="6"/>
      <c r="D5092" s="53">
        <v>0.2</v>
      </c>
      <c r="E5092" s="2">
        <v>43</v>
      </c>
      <c r="F5092" s="2">
        <f>E5092*D5092</f>
        <v>8.6</v>
      </c>
      <c r="G5092" s="162">
        <v>1100</v>
      </c>
      <c r="H5092" s="20">
        <f>G5092*F5092</f>
        <v>9460</v>
      </c>
      <c r="I5092" s="44"/>
    </row>
    <row r="5093" spans="2:9" x14ac:dyDescent="0.15">
      <c r="B5093" s="415"/>
      <c r="C5093" s="66"/>
      <c r="D5093" s="67"/>
      <c r="E5093" s="68"/>
      <c r="F5093" s="68"/>
      <c r="G5093" s="69"/>
      <c r="H5093" s="65"/>
      <c r="I5093" s="44"/>
    </row>
    <row r="5094" spans="2:9" ht="14" thickBot="1" x14ac:dyDescent="0.2">
      <c r="B5094" s="33"/>
      <c r="C5094" s="54"/>
      <c r="D5094" s="21"/>
      <c r="E5094" s="22"/>
      <c r="F5094" s="23"/>
      <c r="G5094" s="47"/>
      <c r="H5094" s="21"/>
      <c r="I5094" s="44"/>
    </row>
    <row r="5095" spans="2:9" ht="14" thickBot="1" x14ac:dyDescent="0.2">
      <c r="B5095" s="1"/>
      <c r="C5095" s="1"/>
      <c r="D5095" s="1"/>
      <c r="E5095" s="1"/>
      <c r="F5095" s="1"/>
      <c r="G5095" s="1"/>
      <c r="H5095" s="37" t="s">
        <v>26</v>
      </c>
      <c r="I5095" s="685">
        <f>SUM(H5092:H5094)</f>
        <v>9460</v>
      </c>
    </row>
    <row r="5096" spans="2:9" ht="14" thickBot="1" x14ac:dyDescent="0.2">
      <c r="B5096" s="28" t="s">
        <v>37</v>
      </c>
      <c r="C5096" s="28"/>
      <c r="D5096" s="1"/>
      <c r="E5096" s="1"/>
      <c r="F5096" s="1"/>
      <c r="G5096" s="1"/>
      <c r="H5096" s="1"/>
      <c r="I5096" s="1"/>
    </row>
    <row r="5097" spans="2:9" x14ac:dyDescent="0.15">
      <c r="B5097" s="51" t="s">
        <v>38</v>
      </c>
      <c r="C5097" s="86"/>
      <c r="D5097" s="31" t="s">
        <v>39</v>
      </c>
      <c r="E5097" s="209" t="s">
        <v>40</v>
      </c>
      <c r="F5097" s="19" t="s">
        <v>41</v>
      </c>
      <c r="G5097" s="31" t="s">
        <v>24</v>
      </c>
      <c r="H5097" s="208" t="s">
        <v>25</v>
      </c>
      <c r="I5097" s="43"/>
    </row>
    <row r="5098" spans="2:9" x14ac:dyDescent="0.15">
      <c r="B5098" s="4" t="s">
        <v>106</v>
      </c>
      <c r="C5098" s="24"/>
      <c r="D5098" s="32">
        <f>'MANO DE OBRA'!E16</f>
        <v>95333</v>
      </c>
      <c r="E5098" s="682">
        <v>1.85</v>
      </c>
      <c r="F5098" s="684">
        <f>+E5098*D5098</f>
        <v>176366.05000000002</v>
      </c>
      <c r="G5098" s="79">
        <v>7</v>
      </c>
      <c r="H5098" s="683">
        <f>+F5098/G5098</f>
        <v>25195.15</v>
      </c>
      <c r="I5098" s="44"/>
    </row>
    <row r="5099" spans="2:9" x14ac:dyDescent="0.15">
      <c r="B5099" s="4" t="s">
        <v>72</v>
      </c>
      <c r="C5099" s="24"/>
      <c r="D5099" s="32">
        <f>'MANO DE OBRA'!E14</f>
        <v>52000</v>
      </c>
      <c r="E5099" s="682">
        <v>1.85</v>
      </c>
      <c r="F5099" s="684">
        <f>+E5099*D5099</f>
        <v>96200</v>
      </c>
      <c r="G5099" s="79">
        <v>7</v>
      </c>
      <c r="H5099" s="683">
        <f>+F5099/G5099</f>
        <v>13742.857142857143</v>
      </c>
      <c r="I5099" s="44"/>
    </row>
    <row r="5100" spans="2:9" x14ac:dyDescent="0.15">
      <c r="B5100" s="4"/>
      <c r="C5100" s="24"/>
      <c r="D5100" s="32"/>
      <c r="E5100" s="682"/>
      <c r="F5100" s="20"/>
      <c r="G5100" s="20"/>
      <c r="H5100" s="55"/>
      <c r="I5100" s="44"/>
    </row>
    <row r="5101" spans="2:9" ht="14" thickBot="1" x14ac:dyDescent="0.2">
      <c r="B5101" s="33"/>
      <c r="C5101" s="34"/>
      <c r="D5101" s="22"/>
      <c r="E5101" s="21"/>
      <c r="F5101" s="22"/>
      <c r="G5101" s="23"/>
      <c r="H5101" s="47"/>
      <c r="I5101" s="48"/>
    </row>
    <row r="5102" spans="2:9" ht="14" thickBot="1" x14ac:dyDescent="0.2">
      <c r="B5102" s="1"/>
      <c r="C5102" s="1"/>
      <c r="D5102" s="1"/>
      <c r="E5102" s="1"/>
      <c r="F5102" s="1"/>
      <c r="G5102" s="1"/>
      <c r="H5102" s="37" t="s">
        <v>26</v>
      </c>
      <c r="I5102" s="681">
        <f>SUM(H5098:H5101)</f>
        <v>38938.007142857146</v>
      </c>
    </row>
    <row r="5103" spans="2:9" ht="14" thickBot="1" x14ac:dyDescent="0.2">
      <c r="B5103" s="1"/>
      <c r="C5103" s="1"/>
      <c r="D5103" s="1"/>
      <c r="E5103" s="1"/>
      <c r="F5103" s="1"/>
      <c r="G5103" s="1"/>
      <c r="H5103" s="61"/>
      <c r="I5103" s="1"/>
    </row>
    <row r="5104" spans="2:9" ht="15" thickBot="1" x14ac:dyDescent="0.2">
      <c r="B5104" s="1"/>
      <c r="C5104" s="1"/>
      <c r="D5104" s="1"/>
      <c r="E5104" s="1"/>
      <c r="F5104" s="35" t="s">
        <v>43</v>
      </c>
      <c r="G5104" s="16"/>
      <c r="H5104" s="16"/>
      <c r="I5104" s="477">
        <f>ROUND((I5083+I5089+I5095+I5102),0)</f>
        <v>142845</v>
      </c>
    </row>
    <row r="5105" spans="2:9" ht="14" x14ac:dyDescent="0.15">
      <c r="B5105" s="1"/>
      <c r="C5105" s="1"/>
      <c r="D5105" s="1"/>
      <c r="E5105" s="1"/>
      <c r="F5105" s="15"/>
      <c r="G5105" s="16"/>
      <c r="H5105" s="16"/>
      <c r="I5105" s="680"/>
    </row>
    <row r="5106" spans="2:9" ht="14" x14ac:dyDescent="0.15">
      <c r="B5106" s="1"/>
      <c r="C5106" s="1"/>
      <c r="D5106" s="1"/>
      <c r="E5106" s="1"/>
      <c r="F5106" s="15"/>
      <c r="G5106" s="16"/>
      <c r="H5106" s="16"/>
      <c r="I5106" s="680"/>
    </row>
    <row r="5107" spans="2:9" ht="14" x14ac:dyDescent="0.15">
      <c r="B5107" s="1"/>
      <c r="C5107" s="1"/>
      <c r="D5107" s="1"/>
      <c r="E5107" s="1"/>
      <c r="F5107" s="15"/>
      <c r="G5107" s="16"/>
      <c r="H5107" s="16"/>
      <c r="I5107" s="680"/>
    </row>
    <row r="5108" spans="2:9" ht="14" x14ac:dyDescent="0.15">
      <c r="B5108" s="1"/>
      <c r="C5108" s="1"/>
      <c r="D5108" s="1"/>
      <c r="E5108" s="1"/>
      <c r="F5108" s="15"/>
      <c r="G5108" s="16"/>
      <c r="H5108" s="16"/>
      <c r="I5108" s="680"/>
    </row>
    <row r="5109" spans="2:9" ht="14" x14ac:dyDescent="0.15">
      <c r="B5109" s="1"/>
      <c r="C5109" s="1"/>
      <c r="D5109" s="1"/>
      <c r="E5109" s="1"/>
      <c r="F5109" s="15"/>
      <c r="G5109" s="16"/>
      <c r="H5109" s="16"/>
      <c r="I5109" s="680"/>
    </row>
    <row r="5110" spans="2:9" ht="14" x14ac:dyDescent="0.15">
      <c r="B5110" s="1"/>
      <c r="C5110" s="1"/>
      <c r="D5110" s="1"/>
      <c r="E5110" s="1"/>
      <c r="F5110" s="15"/>
      <c r="G5110" s="16"/>
      <c r="H5110" s="16"/>
      <c r="I5110" s="680"/>
    </row>
    <row r="5111" spans="2:9" ht="14" x14ac:dyDescent="0.15">
      <c r="B5111" s="1"/>
      <c r="C5111" s="1"/>
      <c r="D5111" s="1"/>
      <c r="E5111" s="1"/>
      <c r="F5111" s="15"/>
      <c r="G5111" s="16"/>
      <c r="H5111" s="16"/>
      <c r="I5111" s="680"/>
    </row>
    <row r="5112" spans="2:9" ht="14" x14ac:dyDescent="0.15">
      <c r="B5112" s="1"/>
      <c r="C5112" s="1"/>
      <c r="D5112" s="1"/>
      <c r="E5112" s="1"/>
      <c r="F5112" s="15"/>
      <c r="G5112" s="16"/>
      <c r="H5112" s="16"/>
      <c r="I5112" s="680"/>
    </row>
    <row r="5113" spans="2:9" x14ac:dyDescent="0.15">
      <c r="B5113" s="11"/>
      <c r="C5113" s="11"/>
      <c r="D5113" s="1"/>
      <c r="E5113" s="155"/>
      <c r="F5113" s="155"/>
      <c r="G5113" s="155"/>
      <c r="H5113" s="155"/>
      <c r="I5113" s="62"/>
    </row>
    <row r="5114" spans="2:9" x14ac:dyDescent="0.15">
      <c r="B5114" s="11"/>
      <c r="C5114" s="11"/>
      <c r="D5114" s="1"/>
      <c r="E5114" s="155"/>
      <c r="F5114" s="155"/>
      <c r="G5114" s="155"/>
      <c r="H5114" s="155"/>
      <c r="I5114" s="62"/>
    </row>
    <row r="5115" spans="2:9" x14ac:dyDescent="0.15">
      <c r="B5115" s="11"/>
      <c r="C5115" s="11"/>
      <c r="D5115" s="1"/>
      <c r="E5115" s="155"/>
      <c r="F5115" s="155"/>
      <c r="G5115" s="155"/>
      <c r="H5115" s="155"/>
      <c r="I5115" s="62"/>
    </row>
    <row r="5116" spans="2:9" x14ac:dyDescent="0.15">
      <c r="B5116" s="11"/>
      <c r="C5116" s="11"/>
      <c r="D5116" s="1"/>
      <c r="E5116" s="155"/>
      <c r="F5116" s="155"/>
      <c r="G5116" s="155"/>
      <c r="H5116" s="155"/>
      <c r="I5116" s="62"/>
    </row>
    <row r="5117" spans="2:9" x14ac:dyDescent="0.15">
      <c r="B5117" s="11"/>
      <c r="C5117" s="11"/>
      <c r="D5117" s="1"/>
      <c r="E5117" s="155"/>
      <c r="F5117" s="155"/>
      <c r="G5117" s="155"/>
      <c r="H5117" s="155"/>
      <c r="I5117" s="62"/>
    </row>
    <row r="5118" spans="2:9" x14ac:dyDescent="0.15">
      <c r="B5118" s="11"/>
      <c r="C5118" s="11"/>
      <c r="D5118" s="1"/>
      <c r="E5118" s="155"/>
      <c r="F5118" s="155"/>
      <c r="G5118" s="155"/>
      <c r="H5118" s="155"/>
      <c r="I5118" s="62"/>
    </row>
    <row r="5119" spans="2:9" x14ac:dyDescent="0.15">
      <c r="B5119" s="11"/>
      <c r="C5119" s="11"/>
      <c r="D5119" s="1"/>
      <c r="E5119" s="155"/>
      <c r="F5119" s="155"/>
      <c r="G5119" s="155"/>
      <c r="H5119" s="155"/>
      <c r="I5119" s="62"/>
    </row>
    <row r="5120" spans="2:9" x14ac:dyDescent="0.15">
      <c r="B5120" s="11"/>
      <c r="C5120" s="11"/>
      <c r="D5120" s="1"/>
      <c r="E5120" s="155"/>
      <c r="F5120" s="155"/>
      <c r="G5120" s="155"/>
      <c r="H5120" s="155"/>
      <c r="I5120" s="62"/>
    </row>
    <row r="5124" spans="2:9" ht="14" thickBot="1" x14ac:dyDescent="0.2"/>
    <row r="5125" spans="2:9" ht="21" customHeight="1" x14ac:dyDescent="0.15">
      <c r="B5125" s="885" t="s">
        <v>874</v>
      </c>
      <c r="C5125" s="886"/>
      <c r="D5125" s="886"/>
      <c r="E5125" s="886"/>
      <c r="F5125" s="887"/>
      <c r="G5125" s="1"/>
      <c r="H5125" s="879" t="s">
        <v>20</v>
      </c>
      <c r="I5125" s="880"/>
    </row>
    <row r="5126" spans="2:9" ht="16.5" customHeight="1" x14ac:dyDescent="0.15">
      <c r="B5126" s="888" t="s">
        <v>875</v>
      </c>
      <c r="C5126" s="889"/>
      <c r="D5126" s="889"/>
      <c r="E5126" s="889"/>
      <c r="F5126" s="890"/>
      <c r="G5126" s="63"/>
      <c r="H5126" s="881"/>
      <c r="I5126" s="882"/>
    </row>
    <row r="5127" spans="2:9" ht="12.75" customHeight="1" x14ac:dyDescent="0.15">
      <c r="B5127" s="906" t="s">
        <v>876</v>
      </c>
      <c r="C5127" s="907"/>
      <c r="D5127" s="907"/>
      <c r="E5127" s="907"/>
      <c r="F5127" s="908"/>
      <c r="G5127" s="63"/>
      <c r="H5127" s="883"/>
      <c r="I5127" s="884"/>
    </row>
    <row r="5128" spans="2:9" ht="16.5" customHeight="1" thickBot="1" x14ac:dyDescent="0.2">
      <c r="B5128" s="909"/>
      <c r="C5128" s="910"/>
      <c r="D5128" s="910"/>
      <c r="E5128" s="910"/>
      <c r="F5128" s="911"/>
      <c r="G5128" s="1"/>
      <c r="H5128" s="956" t="s">
        <v>1593</v>
      </c>
      <c r="I5128" s="957"/>
    </row>
    <row r="5129" spans="2:9" ht="14" thickBot="1" x14ac:dyDescent="0.2">
      <c r="B5129" s="15"/>
      <c r="C5129" s="16"/>
      <c r="D5129" s="1"/>
      <c r="E5129" s="1"/>
      <c r="F5129" s="1"/>
      <c r="G5129" s="1"/>
      <c r="H5129" s="958"/>
      <c r="I5129" s="959"/>
    </row>
    <row r="5130" spans="2:9" ht="12.75" customHeight="1" x14ac:dyDescent="0.15">
      <c r="B5130" s="922" t="s">
        <v>836</v>
      </c>
      <c r="C5130" s="923"/>
      <c r="D5130" s="923"/>
      <c r="E5130" s="923"/>
      <c r="F5130" s="924"/>
      <c r="G5130" s="1"/>
      <c r="H5130" s="958"/>
      <c r="I5130" s="959"/>
    </row>
    <row r="5131" spans="2:9" ht="12.75" customHeight="1" x14ac:dyDescent="0.15">
      <c r="B5131" s="925"/>
      <c r="C5131" s="926"/>
      <c r="D5131" s="926"/>
      <c r="E5131" s="926"/>
      <c r="F5131" s="927"/>
      <c r="H5131" s="958"/>
      <c r="I5131" s="959"/>
    </row>
    <row r="5132" spans="2:9" ht="13.5" customHeight="1" x14ac:dyDescent="0.15">
      <c r="B5132" s="925"/>
      <c r="C5132" s="926"/>
      <c r="D5132" s="926"/>
      <c r="E5132" s="926"/>
      <c r="F5132" s="927"/>
      <c r="G5132" s="11"/>
      <c r="H5132" s="960"/>
      <c r="I5132" s="961"/>
    </row>
    <row r="5133" spans="2:9" ht="21.75" customHeight="1" thickBot="1" x14ac:dyDescent="0.2">
      <c r="B5133" s="928"/>
      <c r="C5133" s="929"/>
      <c r="D5133" s="929"/>
      <c r="E5133" s="929"/>
      <c r="F5133" s="930"/>
      <c r="H5133" s="64" t="s">
        <v>45</v>
      </c>
      <c r="I5133" s="17" t="s">
        <v>319</v>
      </c>
    </row>
    <row r="5134" spans="2:9" x14ac:dyDescent="0.15">
      <c r="B5134" s="18"/>
      <c r="C5134" s="18"/>
      <c r="D5134" s="1"/>
      <c r="E5134" s="18"/>
      <c r="F5134" s="18"/>
      <c r="G5134" s="18"/>
      <c r="H5134" s="18"/>
      <c r="I5134" s="1"/>
    </row>
    <row r="5135" spans="2:9" ht="14" thickBot="1" x14ac:dyDescent="0.2">
      <c r="B5135" s="12" t="s">
        <v>21</v>
      </c>
      <c r="C5135" s="12"/>
      <c r="D5135" s="1"/>
      <c r="E5135" s="1"/>
      <c r="F5135" s="1"/>
      <c r="G5135" s="1"/>
      <c r="H5135" s="1"/>
      <c r="I5135" s="1"/>
    </row>
    <row r="5136" spans="2:9" x14ac:dyDescent="0.15">
      <c r="B5136" s="903" t="s">
        <v>22</v>
      </c>
      <c r="C5136" s="904"/>
      <c r="D5136" s="905"/>
      <c r="E5136" s="209" t="s">
        <v>23</v>
      </c>
      <c r="F5136" s="19" t="s">
        <v>47</v>
      </c>
      <c r="G5136" s="209" t="s">
        <v>24</v>
      </c>
      <c r="H5136" s="208" t="s">
        <v>25</v>
      </c>
      <c r="I5136" s="43"/>
    </row>
    <row r="5137" spans="1:11" x14ac:dyDescent="0.15">
      <c r="B5137" s="897" t="s">
        <v>56</v>
      </c>
      <c r="C5137" s="898"/>
      <c r="D5137" s="899"/>
      <c r="E5137" s="5"/>
      <c r="F5137" s="162"/>
      <c r="G5137" s="673"/>
      <c r="H5137" s="165">
        <f>I5158*0.05</f>
        <v>8847.2124999999996</v>
      </c>
      <c r="I5137" s="44"/>
    </row>
    <row r="5138" spans="1:11" x14ac:dyDescent="0.15">
      <c r="B5138" s="897" t="s">
        <v>1342</v>
      </c>
      <c r="C5138" s="898"/>
      <c r="D5138" s="899"/>
      <c r="E5138" s="5"/>
      <c r="F5138" s="162">
        <f>'HERRAMIENTAS Y EQUIPOS'!C25</f>
        <v>45000</v>
      </c>
      <c r="G5138" s="58">
        <v>3</v>
      </c>
      <c r="H5138" s="162">
        <f>F5138/G5138</f>
        <v>15000</v>
      </c>
      <c r="I5138" s="44"/>
      <c r="K5138" s="233"/>
    </row>
    <row r="5139" spans="1:11" ht="14" thickBot="1" x14ac:dyDescent="0.2">
      <c r="B5139" s="900"/>
      <c r="C5139" s="901"/>
      <c r="D5139" s="902"/>
      <c r="E5139" s="21"/>
      <c r="F5139" s="22"/>
      <c r="G5139" s="23"/>
      <c r="H5139" s="47"/>
      <c r="I5139" s="48"/>
    </row>
    <row r="5140" spans="1:11" ht="14" thickBot="1" x14ac:dyDescent="0.2">
      <c r="B5140" s="1"/>
      <c r="C5140" s="1"/>
      <c r="D5140" s="1"/>
      <c r="E5140" s="1"/>
      <c r="F5140" s="1"/>
      <c r="G5140" s="1"/>
      <c r="H5140" s="37" t="s">
        <v>26</v>
      </c>
      <c r="I5140" s="163">
        <f>SUM(H5137:H5139)</f>
        <v>23847.212500000001</v>
      </c>
    </row>
    <row r="5141" spans="1:11" ht="14" thickBot="1" x14ac:dyDescent="0.2">
      <c r="B5141" s="12" t="s">
        <v>27</v>
      </c>
      <c r="C5141" s="12"/>
      <c r="D5141" s="1"/>
      <c r="E5141" s="1"/>
      <c r="F5141" s="1"/>
      <c r="G5141" s="1"/>
      <c r="H5141" s="1"/>
      <c r="I5141" s="1"/>
    </row>
    <row r="5142" spans="1:11" x14ac:dyDescent="0.15">
      <c r="B5142" s="903" t="s">
        <v>22</v>
      </c>
      <c r="C5142" s="904"/>
      <c r="D5142" s="905"/>
      <c r="E5142" s="209" t="s">
        <v>28</v>
      </c>
      <c r="F5142" s="209" t="s">
        <v>29</v>
      </c>
      <c r="G5142" s="209" t="s">
        <v>30</v>
      </c>
      <c r="H5142" s="208" t="s">
        <v>25</v>
      </c>
      <c r="I5142" s="43"/>
    </row>
    <row r="5143" spans="1:11" x14ac:dyDescent="0.15">
      <c r="A5143" s="11"/>
      <c r="B5143" s="4" t="s">
        <v>67</v>
      </c>
      <c r="C5143" s="24"/>
      <c r="D5143" s="6"/>
      <c r="E5143" s="3" t="s">
        <v>58</v>
      </c>
      <c r="F5143" s="164">
        <f>'APU -BASICOS'!H260</f>
        <v>9182</v>
      </c>
      <c r="G5143" s="65">
        <f>(0.7*20*0.56)+(2*6*0.56)</f>
        <v>14.560000000000002</v>
      </c>
      <c r="H5143" s="165">
        <f>G5143*F5143</f>
        <v>133689.92000000001</v>
      </c>
      <c r="I5143" s="44"/>
      <c r="J5143" s="11"/>
    </row>
    <row r="5144" spans="1:11" x14ac:dyDescent="0.15">
      <c r="A5144" s="11"/>
      <c r="B5144" s="4" t="s">
        <v>63</v>
      </c>
      <c r="C5144" s="24"/>
      <c r="D5144" s="6"/>
      <c r="E5144" s="3" t="s">
        <v>6</v>
      </c>
      <c r="F5144" s="164">
        <f>'APU -BASICOS'!H96</f>
        <v>555217</v>
      </c>
      <c r="G5144" s="65">
        <f>(2.8*0.15*0.3)+(0.75*0.75*0.15*2)</f>
        <v>0.29474999999999996</v>
      </c>
      <c r="H5144" s="165">
        <f>G5144*F5144</f>
        <v>163650.21074999997</v>
      </c>
      <c r="I5144" s="44"/>
      <c r="J5144" s="11"/>
    </row>
    <row r="5145" spans="1:11" x14ac:dyDescent="0.15">
      <c r="B5145" s="4"/>
      <c r="C5145" s="24"/>
      <c r="D5145" s="6"/>
      <c r="E5145" s="3"/>
      <c r="F5145" s="164"/>
      <c r="G5145" s="65"/>
      <c r="H5145" s="165"/>
      <c r="I5145" s="44"/>
    </row>
    <row r="5146" spans="1:11" ht="14" thickBot="1" x14ac:dyDescent="0.2">
      <c r="B5146" s="25"/>
      <c r="C5146" s="26"/>
      <c r="D5146" s="27"/>
      <c r="E5146" s="21"/>
      <c r="F5146" s="22"/>
      <c r="G5146" s="167"/>
      <c r="H5146" s="47"/>
      <c r="I5146" s="48"/>
    </row>
    <row r="5147" spans="1:11" ht="14" thickBot="1" x14ac:dyDescent="0.2">
      <c r="B5147" s="1"/>
      <c r="C5147" s="1"/>
      <c r="D5147" s="1"/>
      <c r="E5147" s="1"/>
      <c r="F5147" s="1"/>
      <c r="G5147" s="1"/>
      <c r="H5147" s="37" t="s">
        <v>26</v>
      </c>
      <c r="I5147" s="163">
        <f>SUM(H5143:H5145)</f>
        <v>297340.13075000001</v>
      </c>
    </row>
    <row r="5148" spans="1:11" ht="14" thickBot="1" x14ac:dyDescent="0.2">
      <c r="B5148" s="28" t="s">
        <v>31</v>
      </c>
      <c r="C5148" s="28"/>
      <c r="D5148" s="26"/>
      <c r="E5148" s="1"/>
      <c r="F5148" s="1"/>
      <c r="G5148" s="1"/>
      <c r="H5148" s="1"/>
      <c r="I5148" s="1"/>
    </row>
    <row r="5149" spans="1:11" x14ac:dyDescent="0.15">
      <c r="B5149" s="51" t="s">
        <v>32</v>
      </c>
      <c r="C5149" s="52"/>
      <c r="D5149" s="97" t="s">
        <v>33</v>
      </c>
      <c r="E5149" s="209" t="s">
        <v>34</v>
      </c>
      <c r="F5149" s="209" t="s">
        <v>35</v>
      </c>
      <c r="G5149" s="209" t="s">
        <v>36</v>
      </c>
      <c r="H5149" s="59" t="s">
        <v>25</v>
      </c>
      <c r="I5149" s="43"/>
      <c r="K5149" s="106"/>
    </row>
    <row r="5150" spans="1:11" x14ac:dyDescent="0.15">
      <c r="B5150" s="4" t="s">
        <v>1343</v>
      </c>
      <c r="C5150" s="6"/>
      <c r="D5150" s="53">
        <v>0.5</v>
      </c>
      <c r="E5150" s="2">
        <v>15</v>
      </c>
      <c r="F5150" s="2">
        <f>E5150*D5150</f>
        <v>7.5</v>
      </c>
      <c r="G5150" s="162">
        <v>1100</v>
      </c>
      <c r="H5150" s="20">
        <f>G5150*F5150</f>
        <v>8250</v>
      </c>
      <c r="I5150" s="44"/>
    </row>
    <row r="5151" spans="1:11" ht="14" thickBot="1" x14ac:dyDescent="0.2">
      <c r="B5151" s="33"/>
      <c r="C5151" s="54"/>
      <c r="D5151" s="21"/>
      <c r="E5151" s="22"/>
      <c r="F5151" s="23"/>
      <c r="G5151" s="47"/>
      <c r="H5151" s="21"/>
      <c r="I5151" s="48"/>
    </row>
    <row r="5152" spans="1:11" ht="14" thickBot="1" x14ac:dyDescent="0.2">
      <c r="B5152" s="1"/>
      <c r="C5152" s="1"/>
      <c r="D5152" s="1"/>
      <c r="E5152" s="1"/>
      <c r="F5152" s="1"/>
      <c r="G5152" s="1"/>
      <c r="H5152" s="37" t="s">
        <v>26</v>
      </c>
      <c r="I5152" s="163">
        <f>SUM(H5150:H5151)</f>
        <v>8250</v>
      </c>
    </row>
    <row r="5153" spans="1:11" ht="14" thickBot="1" x14ac:dyDescent="0.2">
      <c r="B5153" s="12" t="s">
        <v>37</v>
      </c>
      <c r="C5153" s="12"/>
      <c r="D5153" s="1"/>
      <c r="E5153" s="1"/>
      <c r="F5153" s="1"/>
      <c r="G5153" s="1"/>
      <c r="H5153" s="1"/>
      <c r="I5153" s="1"/>
      <c r="K5153" s="106"/>
    </row>
    <row r="5154" spans="1:11" x14ac:dyDescent="0.15">
      <c r="B5154" s="903" t="s">
        <v>38</v>
      </c>
      <c r="C5154" s="905"/>
      <c r="D5154" s="31" t="s">
        <v>39</v>
      </c>
      <c r="E5154" s="31" t="s">
        <v>40</v>
      </c>
      <c r="F5154" s="679" t="s">
        <v>41</v>
      </c>
      <c r="G5154" s="31" t="s">
        <v>24</v>
      </c>
      <c r="H5154" s="665" t="s">
        <v>25</v>
      </c>
      <c r="I5154" s="43"/>
    </row>
    <row r="5155" spans="1:11" x14ac:dyDescent="0.15">
      <c r="A5155" s="11"/>
      <c r="B5155" s="1007" t="s">
        <v>65</v>
      </c>
      <c r="C5155" s="1008"/>
      <c r="D5155" s="32">
        <f>'MANO DE OBRA'!E15</f>
        <v>95333</v>
      </c>
      <c r="E5155" s="168">
        <v>1.75</v>
      </c>
      <c r="F5155" s="164">
        <f>+E5155*D5155</f>
        <v>166832.75</v>
      </c>
      <c r="G5155" s="79">
        <v>3</v>
      </c>
      <c r="H5155" s="165">
        <f>+F5155/G5155</f>
        <v>55610.916666666664</v>
      </c>
      <c r="I5155" s="44"/>
      <c r="J5155" s="11"/>
      <c r="K5155" s="106"/>
    </row>
    <row r="5156" spans="1:11" x14ac:dyDescent="0.15">
      <c r="B5156" s="1007" t="s">
        <v>520</v>
      </c>
      <c r="C5156" s="1008"/>
      <c r="D5156" s="32">
        <f>'MANO DE OBRA'!E14*4</f>
        <v>208000</v>
      </c>
      <c r="E5156" s="168">
        <v>1.75</v>
      </c>
      <c r="F5156" s="164">
        <f>+E5156*D5156</f>
        <v>364000</v>
      </c>
      <c r="G5156" s="79">
        <v>3</v>
      </c>
      <c r="H5156" s="165">
        <f>+F5156/G5156</f>
        <v>121333.33333333333</v>
      </c>
      <c r="I5156" s="44"/>
      <c r="K5156" s="106"/>
    </row>
    <row r="5157" spans="1:11" ht="14" thickBot="1" x14ac:dyDescent="0.2">
      <c r="B5157" s="1009"/>
      <c r="C5157" s="1010"/>
      <c r="D5157" s="22"/>
      <c r="E5157" s="21"/>
      <c r="F5157" s="22"/>
      <c r="G5157" s="23"/>
      <c r="H5157" s="47"/>
      <c r="I5157" s="48"/>
    </row>
    <row r="5158" spans="1:11" ht="14" thickBot="1" x14ac:dyDescent="0.2">
      <c r="B5158" s="1"/>
      <c r="C5158" s="1"/>
      <c r="D5158" s="1"/>
      <c r="E5158" s="1"/>
      <c r="F5158" s="1"/>
      <c r="G5158" s="1"/>
      <c r="H5158" s="37" t="s">
        <v>26</v>
      </c>
      <c r="I5158" s="177">
        <f>SUM(H5155:H5156)</f>
        <v>176944.25</v>
      </c>
      <c r="K5158" s="106"/>
    </row>
    <row r="5159" spans="1:11" ht="14" thickBot="1" x14ac:dyDescent="0.2">
      <c r="B5159" s="1"/>
      <c r="C5159" s="1"/>
      <c r="D5159" s="1"/>
      <c r="E5159" s="1"/>
      <c r="F5159" s="1"/>
      <c r="G5159" s="1"/>
      <c r="H5159" s="61"/>
      <c r="I5159" s="1"/>
    </row>
    <row r="5160" spans="1:11" ht="15" thickBot="1" x14ac:dyDescent="0.2">
      <c r="A5160" s="11"/>
      <c r="B5160" s="1"/>
      <c r="C5160" s="1"/>
      <c r="D5160" s="1"/>
      <c r="E5160" s="1"/>
      <c r="F5160" s="35" t="s">
        <v>43</v>
      </c>
      <c r="G5160" s="16"/>
      <c r="H5160" s="16"/>
      <c r="I5160" s="477">
        <f>ROUND((I5140+I5147+I5153+I5158),0)</f>
        <v>498132</v>
      </c>
      <c r="J5160" s="11"/>
    </row>
    <row r="5161" spans="1:11" x14ac:dyDescent="0.15">
      <c r="B5161" s="12"/>
      <c r="C5161" s="12"/>
      <c r="D5161" s="1"/>
      <c r="E5161" s="1"/>
      <c r="F5161" s="1"/>
      <c r="G5161" s="1"/>
      <c r="H5161" s="172"/>
      <c r="I5161" s="172"/>
    </row>
    <row r="5162" spans="1:11" x14ac:dyDescent="0.15">
      <c r="B5162" s="16"/>
      <c r="C5162" s="16"/>
      <c r="D5162" s="16"/>
      <c r="E5162" s="16"/>
      <c r="F5162" s="16"/>
      <c r="G5162" s="61"/>
      <c r="H5162" s="173"/>
      <c r="I5162" s="172"/>
    </row>
    <row r="5163" spans="1:11" x14ac:dyDescent="0.15">
      <c r="B5163" s="1"/>
      <c r="C5163" s="1"/>
      <c r="D5163" s="1"/>
      <c r="E5163" s="1"/>
      <c r="F5163" s="1"/>
      <c r="G5163" s="161"/>
      <c r="H5163" s="172"/>
      <c r="I5163" s="172"/>
    </row>
    <row r="5164" spans="1:11" x14ac:dyDescent="0.15">
      <c r="B5164" s="1"/>
      <c r="C5164" s="1"/>
      <c r="D5164" s="1"/>
      <c r="E5164" s="1"/>
      <c r="F5164" s="1"/>
      <c r="G5164" s="161"/>
      <c r="H5164" s="172"/>
      <c r="I5164" s="172"/>
    </row>
    <row r="5165" spans="1:11" x14ac:dyDescent="0.15">
      <c r="B5165" s="1"/>
      <c r="C5165" s="1"/>
      <c r="D5165" s="1"/>
      <c r="E5165" s="1"/>
      <c r="F5165" s="1"/>
      <c r="G5165" s="161"/>
      <c r="H5165" s="172"/>
      <c r="I5165" s="172"/>
    </row>
    <row r="5166" spans="1:11" x14ac:dyDescent="0.15">
      <c r="B5166" s="1"/>
      <c r="C5166" s="1"/>
      <c r="D5166" s="1"/>
      <c r="E5166" s="1"/>
      <c r="F5166" s="1"/>
      <c r="G5166" s="161"/>
      <c r="H5166" s="172"/>
      <c r="I5166" s="172"/>
    </row>
    <row r="5167" spans="1:11" x14ac:dyDescent="0.15">
      <c r="B5167" s="1"/>
      <c r="C5167" s="1"/>
      <c r="D5167" s="1"/>
      <c r="E5167" s="1"/>
      <c r="F5167" s="1"/>
      <c r="G5167" s="161"/>
      <c r="H5167" s="172"/>
      <c r="I5167" s="172"/>
    </row>
    <row r="5168" spans="1:11" x14ac:dyDescent="0.15">
      <c r="B5168" s="1"/>
      <c r="C5168" s="1"/>
      <c r="D5168" s="1"/>
      <c r="E5168" s="1"/>
      <c r="F5168" s="1"/>
      <c r="G5168" s="1"/>
      <c r="H5168" s="37"/>
      <c r="I5168" s="172"/>
    </row>
    <row r="5169" spans="1:10" ht="14" x14ac:dyDescent="0.15">
      <c r="B5169" s="102"/>
      <c r="C5169" s="1"/>
      <c r="D5169" s="1"/>
      <c r="E5169" s="1"/>
      <c r="F5169" s="1"/>
      <c r="G5169" s="1"/>
      <c r="H5169" s="1"/>
      <c r="I5169" s="172"/>
    </row>
    <row r="5170" spans="1:10" ht="14" x14ac:dyDescent="0.15">
      <c r="B5170" s="83"/>
      <c r="C5170" s="11"/>
      <c r="D5170" s="1"/>
      <c r="E5170" s="916"/>
      <c r="F5170" s="916"/>
      <c r="G5170" s="916"/>
      <c r="H5170" s="916"/>
      <c r="I5170" s="171"/>
    </row>
    <row r="5171" spans="1:10" x14ac:dyDescent="0.15">
      <c r="B5171" s="11"/>
      <c r="C5171" s="11"/>
      <c r="D5171" s="1"/>
      <c r="E5171" s="155"/>
      <c r="F5171" s="155"/>
      <c r="G5171" s="155"/>
      <c r="H5171" s="155"/>
      <c r="I5171" s="171"/>
    </row>
    <row r="5172" spans="1:10" x14ac:dyDescent="0.15">
      <c r="B5172" s="11"/>
      <c r="C5172" s="11"/>
      <c r="D5172" s="1"/>
      <c r="E5172" s="155"/>
      <c r="F5172" s="155"/>
      <c r="G5172" s="155"/>
      <c r="H5172" s="155"/>
      <c r="I5172" s="171"/>
    </row>
    <row r="5173" spans="1:10" x14ac:dyDescent="0.15">
      <c r="B5173" s="11"/>
      <c r="C5173" s="11"/>
      <c r="D5173" s="1"/>
      <c r="E5173" s="155"/>
      <c r="F5173" s="155"/>
      <c r="G5173" s="155"/>
      <c r="H5173" s="155"/>
      <c r="I5173" s="171"/>
    </row>
    <row r="5174" spans="1:10" x14ac:dyDescent="0.15">
      <c r="B5174" s="11"/>
      <c r="C5174" s="11"/>
      <c r="D5174" s="1"/>
      <c r="E5174" s="155"/>
      <c r="F5174" s="155"/>
      <c r="G5174" s="155"/>
      <c r="H5174" s="155"/>
      <c r="I5174" s="171"/>
    </row>
    <row r="5175" spans="1:10" x14ac:dyDescent="0.15">
      <c r="B5175" s="11"/>
      <c r="C5175" s="11"/>
      <c r="D5175" s="1"/>
      <c r="E5175" s="155"/>
      <c r="F5175" s="155"/>
      <c r="G5175" s="155"/>
      <c r="H5175" s="155"/>
      <c r="I5175" s="171"/>
    </row>
    <row r="5176" spans="1:10" ht="14" x14ac:dyDescent="0.15">
      <c r="A5176" s="85"/>
      <c r="B5176" s="102"/>
      <c r="C5176" s="83"/>
      <c r="D5176" s="84"/>
      <c r="E5176" s="83"/>
      <c r="F5176" s="83"/>
      <c r="G5176" s="103"/>
      <c r="H5176" s="83"/>
      <c r="I5176" s="85"/>
      <c r="J5176" s="85"/>
    </row>
    <row r="5177" spans="1:10" ht="14" x14ac:dyDescent="0.15">
      <c r="A5177" s="85"/>
      <c r="B5177" s="83"/>
      <c r="C5177" s="83"/>
      <c r="D5177" s="84"/>
      <c r="E5177" s="83"/>
      <c r="F5177" s="83"/>
      <c r="G5177" s="104"/>
      <c r="H5177" s="83"/>
      <c r="I5177" s="85"/>
      <c r="J5177" s="85"/>
    </row>
    <row r="5178" spans="1:10" ht="14" x14ac:dyDescent="0.15">
      <c r="A5178" s="85"/>
      <c r="B5178" s="83"/>
      <c r="C5178" s="83"/>
      <c r="D5178" s="84"/>
      <c r="E5178" s="83"/>
      <c r="F5178" s="83"/>
      <c r="G5178" s="104"/>
      <c r="H5178" s="83"/>
      <c r="I5178" s="85"/>
      <c r="J5178" s="85"/>
    </row>
    <row r="5179" spans="1:10" x14ac:dyDescent="0.15">
      <c r="B5179" s="11"/>
      <c r="C5179" s="11"/>
      <c r="D5179" s="1"/>
      <c r="E5179" s="155"/>
      <c r="F5179" s="155"/>
      <c r="G5179" s="155"/>
      <c r="H5179" s="155"/>
      <c r="I5179" s="171"/>
    </row>
    <row r="5180" spans="1:10" ht="14" thickBot="1" x14ac:dyDescent="0.2">
      <c r="B5180" s="11"/>
      <c r="C5180" s="11"/>
      <c r="D5180" s="1"/>
      <c r="E5180" s="155"/>
      <c r="F5180" s="155"/>
      <c r="G5180" s="155"/>
      <c r="H5180" s="155"/>
      <c r="I5180" s="171"/>
    </row>
    <row r="5181" spans="1:10" ht="21" customHeight="1" x14ac:dyDescent="0.15">
      <c r="B5181" s="885" t="s">
        <v>874</v>
      </c>
      <c r="C5181" s="886"/>
      <c r="D5181" s="886"/>
      <c r="E5181" s="886"/>
      <c r="F5181" s="887"/>
      <c r="G5181" s="1"/>
      <c r="H5181" s="879" t="s">
        <v>20</v>
      </c>
      <c r="I5181" s="880"/>
    </row>
    <row r="5182" spans="1:10" ht="16.5" customHeight="1" x14ac:dyDescent="0.15">
      <c r="B5182" s="888" t="s">
        <v>875</v>
      </c>
      <c r="C5182" s="889"/>
      <c r="D5182" s="889"/>
      <c r="E5182" s="889"/>
      <c r="F5182" s="890"/>
      <c r="G5182" s="63"/>
      <c r="H5182" s="881"/>
      <c r="I5182" s="882"/>
    </row>
    <row r="5183" spans="1:10" ht="12.75" customHeight="1" x14ac:dyDescent="0.15">
      <c r="B5183" s="906" t="s">
        <v>876</v>
      </c>
      <c r="C5183" s="907"/>
      <c r="D5183" s="907"/>
      <c r="E5183" s="907"/>
      <c r="F5183" s="908"/>
      <c r="G5183" s="63"/>
      <c r="H5183" s="883"/>
      <c r="I5183" s="884"/>
    </row>
    <row r="5184" spans="1:10" ht="16.5" customHeight="1" thickBot="1" x14ac:dyDescent="0.2">
      <c r="B5184" s="909"/>
      <c r="C5184" s="910"/>
      <c r="D5184" s="910"/>
      <c r="E5184" s="910"/>
      <c r="F5184" s="911"/>
      <c r="G5184" s="1"/>
      <c r="H5184" s="873" t="s">
        <v>948</v>
      </c>
      <c r="I5184" s="874"/>
    </row>
    <row r="5185" spans="2:9" ht="14" thickBot="1" x14ac:dyDescent="0.2">
      <c r="B5185" s="15"/>
      <c r="C5185" s="16"/>
      <c r="D5185" s="1"/>
      <c r="E5185" s="1"/>
      <c r="F5185" s="1"/>
      <c r="G5185" s="1"/>
      <c r="H5185" s="875"/>
      <c r="I5185" s="876"/>
    </row>
    <row r="5186" spans="2:9" ht="12.75" customHeight="1" x14ac:dyDescent="0.15">
      <c r="B5186" s="922" t="s">
        <v>836</v>
      </c>
      <c r="C5186" s="923"/>
      <c r="D5186" s="923"/>
      <c r="E5186" s="923"/>
      <c r="F5186" s="924"/>
      <c r="G5186" s="1"/>
      <c r="H5186" s="875"/>
      <c r="I5186" s="876"/>
    </row>
    <row r="5187" spans="2:9" ht="12.75" customHeight="1" x14ac:dyDescent="0.15">
      <c r="B5187" s="925"/>
      <c r="C5187" s="926"/>
      <c r="D5187" s="926"/>
      <c r="E5187" s="926"/>
      <c r="F5187" s="927"/>
      <c r="G5187" s="1"/>
      <c r="H5187" s="875"/>
      <c r="I5187" s="876"/>
    </row>
    <row r="5188" spans="2:9" ht="13.5" customHeight="1" x14ac:dyDescent="0.15">
      <c r="B5188" s="925"/>
      <c r="C5188" s="926"/>
      <c r="D5188" s="926"/>
      <c r="E5188" s="926"/>
      <c r="F5188" s="927"/>
      <c r="G5188" s="11"/>
      <c r="H5188" s="877"/>
      <c r="I5188" s="878"/>
    </row>
    <row r="5189" spans="2:9" ht="21.75" customHeight="1" thickBot="1" x14ac:dyDescent="0.2">
      <c r="B5189" s="928"/>
      <c r="C5189" s="929"/>
      <c r="D5189" s="929"/>
      <c r="E5189" s="929"/>
      <c r="F5189" s="930"/>
      <c r="H5189" s="64" t="s">
        <v>45</v>
      </c>
      <c r="I5189" s="17" t="s">
        <v>7</v>
      </c>
    </row>
    <row r="5190" spans="2:9" x14ac:dyDescent="0.15">
      <c r="B5190" s="18"/>
      <c r="C5190" s="18"/>
      <c r="D5190" s="1"/>
      <c r="E5190" s="18"/>
      <c r="F5190" s="18"/>
      <c r="G5190" s="18"/>
      <c r="H5190" s="18"/>
      <c r="I5190" s="1"/>
    </row>
    <row r="5191" spans="2:9" ht="14" thickBot="1" x14ac:dyDescent="0.2">
      <c r="B5191" s="12" t="s">
        <v>21</v>
      </c>
      <c r="C5191" s="12"/>
      <c r="D5191" s="1"/>
      <c r="E5191" s="1"/>
      <c r="F5191" s="1"/>
      <c r="G5191" s="1"/>
      <c r="H5191" s="1"/>
      <c r="I5191" s="1"/>
    </row>
    <row r="5192" spans="2:9" x14ac:dyDescent="0.15">
      <c r="B5192" s="903" t="s">
        <v>22</v>
      </c>
      <c r="C5192" s="904"/>
      <c r="D5192" s="905"/>
      <c r="E5192" s="209" t="s">
        <v>23</v>
      </c>
      <c r="F5192" s="19" t="s">
        <v>47</v>
      </c>
      <c r="G5192" s="209" t="s">
        <v>24</v>
      </c>
      <c r="H5192" s="208" t="s">
        <v>25</v>
      </c>
      <c r="I5192" s="43"/>
    </row>
    <row r="5193" spans="2:9" x14ac:dyDescent="0.15">
      <c r="B5193" s="897" t="s">
        <v>56</v>
      </c>
      <c r="C5193" s="898"/>
      <c r="D5193" s="899"/>
      <c r="E5193" s="5"/>
      <c r="F5193" s="162"/>
      <c r="G5193" s="58"/>
      <c r="H5193" s="162">
        <f>I5215*0.05</f>
        <v>629.41637500000002</v>
      </c>
      <c r="I5193" s="44"/>
    </row>
    <row r="5194" spans="2:9" x14ac:dyDescent="0.15">
      <c r="B5194" s="897"/>
      <c r="C5194" s="898"/>
      <c r="D5194" s="899"/>
      <c r="E5194" s="5"/>
      <c r="F5194" s="162"/>
      <c r="G5194" s="58"/>
      <c r="H5194" s="162"/>
      <c r="I5194" s="44"/>
    </row>
    <row r="5195" spans="2:9" ht="14" thickBot="1" x14ac:dyDescent="0.2">
      <c r="B5195" s="900"/>
      <c r="C5195" s="901"/>
      <c r="D5195" s="902"/>
      <c r="E5195" s="21"/>
      <c r="F5195" s="22"/>
      <c r="G5195" s="23"/>
      <c r="H5195" s="47"/>
      <c r="I5195" s="48"/>
    </row>
    <row r="5196" spans="2:9" ht="14" thickBot="1" x14ac:dyDescent="0.2">
      <c r="B5196" s="1"/>
      <c r="C5196" s="1"/>
      <c r="D5196" s="1"/>
      <c r="E5196" s="1"/>
      <c r="F5196" s="1"/>
      <c r="G5196" s="1"/>
      <c r="H5196" s="37" t="s">
        <v>26</v>
      </c>
      <c r="I5196" s="163">
        <f>SUM(H5193:H5195)</f>
        <v>629.41637500000002</v>
      </c>
    </row>
    <row r="5197" spans="2:9" ht="14" thickBot="1" x14ac:dyDescent="0.2">
      <c r="B5197" s="12" t="s">
        <v>27</v>
      </c>
      <c r="C5197" s="12"/>
      <c r="D5197" s="1"/>
      <c r="E5197" s="1"/>
      <c r="F5197" s="1"/>
      <c r="G5197" s="1"/>
      <c r="H5197" s="1"/>
      <c r="I5197" s="1"/>
    </row>
    <row r="5198" spans="2:9" x14ac:dyDescent="0.15">
      <c r="B5198" s="903" t="s">
        <v>22</v>
      </c>
      <c r="C5198" s="904"/>
      <c r="D5198" s="905"/>
      <c r="E5198" s="209" t="s">
        <v>28</v>
      </c>
      <c r="F5198" s="209" t="s">
        <v>29</v>
      </c>
      <c r="G5198" s="209" t="s">
        <v>30</v>
      </c>
      <c r="H5198" s="208" t="s">
        <v>25</v>
      </c>
      <c r="I5198" s="43"/>
    </row>
    <row r="5199" spans="2:9" x14ac:dyDescent="0.15">
      <c r="B5199" s="4" t="s">
        <v>74</v>
      </c>
      <c r="C5199" s="24"/>
      <c r="D5199" s="6"/>
      <c r="E5199" s="3" t="s">
        <v>58</v>
      </c>
      <c r="F5199" s="164">
        <f>MATERIALES!F106</f>
        <v>24500</v>
      </c>
      <c r="G5199" s="65">
        <v>0.1</v>
      </c>
      <c r="H5199" s="165">
        <f t="shared" ref="H5199:H5201" si="32">G5199*F5199</f>
        <v>2450</v>
      </c>
      <c r="I5199" s="44"/>
    </row>
    <row r="5200" spans="2:9" x14ac:dyDescent="0.15">
      <c r="B5200" s="4" t="s">
        <v>119</v>
      </c>
      <c r="C5200" s="24"/>
      <c r="D5200" s="6"/>
      <c r="E5200" s="3" t="s">
        <v>76</v>
      </c>
      <c r="F5200" s="164">
        <f>MATERIALES!F107</f>
        <v>110500</v>
      </c>
      <c r="G5200" s="65">
        <v>0.05</v>
      </c>
      <c r="H5200" s="165">
        <f t="shared" si="32"/>
        <v>5525</v>
      </c>
      <c r="I5200" s="44"/>
    </row>
    <row r="5201" spans="2:11" x14ac:dyDescent="0.15">
      <c r="B5201" s="4" t="s">
        <v>75</v>
      </c>
      <c r="C5201" s="24"/>
      <c r="D5201" s="6"/>
      <c r="E5201" s="3" t="s">
        <v>76</v>
      </c>
      <c r="F5201" s="164">
        <f>MATERIALES!F109</f>
        <v>82420</v>
      </c>
      <c r="G5201" s="65">
        <v>0.05</v>
      </c>
      <c r="H5201" s="165">
        <f t="shared" si="32"/>
        <v>4121</v>
      </c>
      <c r="I5201" s="44"/>
    </row>
    <row r="5202" spans="2:11" x14ac:dyDescent="0.15">
      <c r="B5202" s="4" t="s">
        <v>308</v>
      </c>
      <c r="C5202" s="24"/>
      <c r="D5202" s="6"/>
      <c r="E5202" s="3" t="s">
        <v>76</v>
      </c>
      <c r="F5202" s="164">
        <f>MATERIALES!F111</f>
        <v>60000</v>
      </c>
      <c r="G5202" s="182">
        <v>2.5000000000000001E-2</v>
      </c>
      <c r="H5202" s="165">
        <f>G5202*F5202</f>
        <v>1500</v>
      </c>
      <c r="I5202" s="44"/>
    </row>
    <row r="5203" spans="2:11" ht="14" thickBot="1" x14ac:dyDescent="0.2">
      <c r="B5203" s="25"/>
      <c r="C5203" s="26"/>
      <c r="D5203" s="27"/>
      <c r="E5203" s="21"/>
      <c r="F5203" s="22"/>
      <c r="G5203" s="167"/>
      <c r="H5203" s="47"/>
      <c r="I5203" s="48"/>
    </row>
    <row r="5204" spans="2:11" ht="14" thickBot="1" x14ac:dyDescent="0.2">
      <c r="B5204" s="1"/>
      <c r="C5204" s="1"/>
      <c r="D5204" s="1"/>
      <c r="E5204" s="1"/>
      <c r="F5204" s="1"/>
      <c r="G5204" s="1"/>
      <c r="H5204" s="37" t="s">
        <v>26</v>
      </c>
      <c r="I5204" s="163">
        <f>SUM(H5199:H5202)</f>
        <v>13596</v>
      </c>
    </row>
    <row r="5205" spans="2:11" ht="14" thickBot="1" x14ac:dyDescent="0.2">
      <c r="B5205" s="28" t="s">
        <v>31</v>
      </c>
      <c r="C5205" s="28"/>
      <c r="D5205" s="26"/>
      <c r="E5205" s="1"/>
      <c r="F5205" s="1"/>
      <c r="G5205" s="1"/>
      <c r="H5205" s="1"/>
      <c r="I5205" s="1"/>
    </row>
    <row r="5206" spans="2:11" x14ac:dyDescent="0.15">
      <c r="B5206" s="51" t="s">
        <v>32</v>
      </c>
      <c r="C5206" s="52"/>
      <c r="D5206" s="97" t="s">
        <v>33</v>
      </c>
      <c r="E5206" s="209" t="s">
        <v>34</v>
      </c>
      <c r="F5206" s="209" t="s">
        <v>35</v>
      </c>
      <c r="G5206" s="209" t="s">
        <v>36</v>
      </c>
      <c r="H5206" s="59" t="s">
        <v>25</v>
      </c>
      <c r="I5206" s="43"/>
    </row>
    <row r="5207" spans="2:11" x14ac:dyDescent="0.15">
      <c r="B5207" s="4" t="s">
        <v>79</v>
      </c>
      <c r="C5207" s="6"/>
      <c r="D5207" s="53">
        <v>0.05</v>
      </c>
      <c r="E5207" s="2">
        <v>43</v>
      </c>
      <c r="F5207" s="2">
        <f>E5207*D5207</f>
        <v>2.15</v>
      </c>
      <c r="G5207" s="58">
        <v>1100</v>
      </c>
      <c r="H5207" s="20">
        <f>G5207*F5207</f>
        <v>2365</v>
      </c>
      <c r="I5207" s="44"/>
    </row>
    <row r="5208" spans="2:11" ht="14" thickBot="1" x14ac:dyDescent="0.2">
      <c r="B5208" s="33"/>
      <c r="C5208" s="54"/>
      <c r="D5208" s="21"/>
      <c r="E5208" s="22"/>
      <c r="F5208" s="23"/>
      <c r="G5208" s="47"/>
      <c r="H5208" s="21"/>
      <c r="I5208" s="48"/>
    </row>
    <row r="5209" spans="2:11" ht="14" thickBot="1" x14ac:dyDescent="0.2">
      <c r="B5209" s="1"/>
      <c r="C5209" s="1"/>
      <c r="D5209" s="1"/>
      <c r="E5209" s="1"/>
      <c r="F5209" s="1"/>
      <c r="G5209" s="1"/>
      <c r="H5209" s="37" t="s">
        <v>26</v>
      </c>
      <c r="I5209" s="163">
        <f>SUM(H5207:H5208)</f>
        <v>2365</v>
      </c>
    </row>
    <row r="5210" spans="2:11" ht="14" thickBot="1" x14ac:dyDescent="0.2">
      <c r="B5210" s="28" t="s">
        <v>37</v>
      </c>
      <c r="C5210" s="28"/>
      <c r="D5210" s="1"/>
      <c r="E5210" s="1"/>
      <c r="F5210" s="1"/>
      <c r="G5210" s="1"/>
      <c r="H5210" s="1"/>
      <c r="I5210" s="1"/>
    </row>
    <row r="5211" spans="2:11" x14ac:dyDescent="0.15">
      <c r="B5211" s="51" t="s">
        <v>38</v>
      </c>
      <c r="C5211" s="86"/>
      <c r="D5211" s="31" t="s">
        <v>39</v>
      </c>
      <c r="E5211" s="209" t="s">
        <v>40</v>
      </c>
      <c r="F5211" s="19" t="s">
        <v>41</v>
      </c>
      <c r="G5211" s="31" t="s">
        <v>24</v>
      </c>
      <c r="H5211" s="208" t="s">
        <v>25</v>
      </c>
      <c r="I5211" s="43"/>
    </row>
    <row r="5212" spans="2:11" x14ac:dyDescent="0.15">
      <c r="B5212" s="4" t="s">
        <v>949</v>
      </c>
      <c r="C5212" s="24"/>
      <c r="D5212" s="32">
        <f>'MANO DE OBRA'!E17*1</f>
        <v>95333</v>
      </c>
      <c r="E5212" s="88">
        <v>1.75</v>
      </c>
      <c r="F5212" s="164">
        <f>+E5212*D5212</f>
        <v>166832.75</v>
      </c>
      <c r="G5212" s="20">
        <v>100</v>
      </c>
      <c r="H5212" s="169">
        <f>+F5212/G5212</f>
        <v>1668.3275000000001</v>
      </c>
      <c r="I5212" s="44"/>
      <c r="K5212" s="106"/>
    </row>
    <row r="5213" spans="2:11" x14ac:dyDescent="0.15">
      <c r="B5213" s="4" t="s">
        <v>94</v>
      </c>
      <c r="C5213" s="24"/>
      <c r="D5213" s="32">
        <f>'MANO DE OBRA'!E14*12</f>
        <v>624000</v>
      </c>
      <c r="E5213" s="88">
        <v>1.75</v>
      </c>
      <c r="F5213" s="164">
        <f>+E5213*D5213</f>
        <v>1092000</v>
      </c>
      <c r="G5213" s="20">
        <v>100</v>
      </c>
      <c r="H5213" s="169">
        <f>+F5213/G5213</f>
        <v>10920</v>
      </c>
      <c r="I5213" s="44"/>
    </row>
    <row r="5214" spans="2:11" ht="14" thickBot="1" x14ac:dyDescent="0.2">
      <c r="B5214" s="33"/>
      <c r="C5214" s="34"/>
      <c r="D5214" s="22"/>
      <c r="E5214" s="21"/>
      <c r="F5214" s="22"/>
      <c r="G5214" s="23"/>
      <c r="H5214" s="47"/>
      <c r="I5214" s="48"/>
    </row>
    <row r="5215" spans="2:11" ht="14" thickBot="1" x14ac:dyDescent="0.2">
      <c r="B5215" s="1"/>
      <c r="C5215" s="1"/>
      <c r="D5215" s="1"/>
      <c r="E5215" s="1"/>
      <c r="F5215" s="1"/>
      <c r="G5215" s="1"/>
      <c r="H5215" s="37" t="s">
        <v>26</v>
      </c>
      <c r="I5215" s="177">
        <f>SUM(H5212:H5213)</f>
        <v>12588.327499999999</v>
      </c>
    </row>
    <row r="5216" spans="2:11" ht="14" thickBot="1" x14ac:dyDescent="0.2">
      <c r="B5216" s="1"/>
      <c r="C5216" s="1"/>
      <c r="D5216" s="1"/>
      <c r="E5216" s="1"/>
      <c r="F5216" s="1"/>
      <c r="G5216" s="1"/>
      <c r="H5216" s="61"/>
      <c r="I5216" s="1"/>
    </row>
    <row r="5217" spans="2:11" ht="15" thickBot="1" x14ac:dyDescent="0.2">
      <c r="B5217" s="1"/>
      <c r="C5217" s="1"/>
      <c r="D5217" s="1"/>
      <c r="E5217" s="1"/>
      <c r="F5217" s="35" t="s">
        <v>43</v>
      </c>
      <c r="G5217" s="16"/>
      <c r="H5217" s="16"/>
      <c r="I5217" s="232">
        <f>ROUND((I5196+I5204+I5209+I5215),0)</f>
        <v>29179</v>
      </c>
    </row>
    <row r="5218" spans="2:11" x14ac:dyDescent="0.15">
      <c r="B5218" s="12"/>
      <c r="C5218" s="12"/>
      <c r="D5218" s="1"/>
      <c r="E5218" s="1"/>
      <c r="F5218" s="1"/>
      <c r="G5218" s="1"/>
      <c r="H5218" s="172"/>
      <c r="I5218" s="172"/>
    </row>
    <row r="5219" spans="2:11" x14ac:dyDescent="0.15">
      <c r="B5219" s="16"/>
      <c r="C5219" s="16"/>
      <c r="D5219" s="16"/>
      <c r="E5219" s="16"/>
      <c r="F5219" s="16"/>
      <c r="G5219" s="61"/>
      <c r="H5219" s="173"/>
      <c r="I5219" s="172"/>
    </row>
    <row r="5220" spans="2:11" x14ac:dyDescent="0.15">
      <c r="B5220" s="1"/>
      <c r="C5220" s="1"/>
      <c r="D5220" s="1"/>
      <c r="E5220" s="1"/>
      <c r="F5220" s="1"/>
      <c r="G5220" s="161"/>
      <c r="H5220" s="172"/>
      <c r="I5220" s="172"/>
      <c r="K5220" s="174"/>
    </row>
    <row r="5221" spans="2:11" x14ac:dyDescent="0.15">
      <c r="B5221" s="1"/>
      <c r="C5221" s="1"/>
      <c r="D5221" s="1"/>
      <c r="E5221" s="1"/>
      <c r="F5221" s="1"/>
      <c r="G5221" s="161"/>
      <c r="H5221" s="172"/>
      <c r="I5221" s="172"/>
    </row>
    <row r="5222" spans="2:11" x14ac:dyDescent="0.15">
      <c r="B5222" s="1"/>
      <c r="C5222" s="1"/>
      <c r="D5222" s="1"/>
      <c r="E5222" s="1"/>
      <c r="F5222" s="1"/>
      <c r="G5222" s="161"/>
      <c r="H5222" s="172"/>
      <c r="I5222" s="172"/>
    </row>
    <row r="5223" spans="2:11" x14ac:dyDescent="0.15">
      <c r="B5223" s="1"/>
      <c r="C5223" s="1"/>
      <c r="D5223" s="1"/>
      <c r="E5223" s="1"/>
      <c r="F5223" s="1"/>
      <c r="G5223" s="161"/>
      <c r="H5223" s="172"/>
      <c r="I5223" s="172"/>
    </row>
    <row r="5224" spans="2:11" x14ac:dyDescent="0.15">
      <c r="B5224" s="1"/>
      <c r="C5224" s="1"/>
      <c r="D5224" s="1"/>
      <c r="E5224" s="1"/>
      <c r="F5224" s="1"/>
      <c r="G5224" s="161"/>
      <c r="H5224" s="172"/>
      <c r="I5224" s="172"/>
    </row>
    <row r="5225" spans="2:11" ht="14" x14ac:dyDescent="0.15">
      <c r="B5225" s="102"/>
      <c r="C5225" s="11"/>
      <c r="D5225" s="1"/>
      <c r="E5225" s="155"/>
      <c r="F5225" s="155"/>
      <c r="G5225" s="155"/>
      <c r="H5225" s="155"/>
      <c r="I5225" s="171"/>
    </row>
    <row r="5226" spans="2:11" ht="14" x14ac:dyDescent="0.15">
      <c r="B5226" s="83"/>
      <c r="C5226" s="11"/>
      <c r="D5226" s="1"/>
      <c r="E5226" s="155"/>
      <c r="F5226" s="155"/>
      <c r="G5226" s="155"/>
      <c r="H5226" s="155"/>
      <c r="I5226" s="171"/>
    </row>
    <row r="5227" spans="2:11" x14ac:dyDescent="0.15">
      <c r="B5227" s="11"/>
      <c r="C5227" s="11"/>
      <c r="D5227" s="1"/>
      <c r="E5227" s="155"/>
      <c r="F5227" s="155"/>
      <c r="G5227" s="155"/>
      <c r="H5227" s="155"/>
      <c r="I5227" s="171"/>
    </row>
    <row r="5228" spans="2:11" x14ac:dyDescent="0.15">
      <c r="B5228" s="11"/>
      <c r="C5228" s="11"/>
      <c r="D5228" s="1"/>
      <c r="E5228" s="155"/>
      <c r="F5228" s="155"/>
      <c r="G5228" s="155"/>
      <c r="H5228" s="155"/>
      <c r="I5228" s="171"/>
    </row>
    <row r="5229" spans="2:11" x14ac:dyDescent="0.15">
      <c r="B5229" s="11"/>
      <c r="C5229" s="11"/>
      <c r="D5229" s="1"/>
      <c r="E5229" s="155"/>
      <c r="F5229" s="155"/>
      <c r="G5229" s="155"/>
      <c r="H5229" s="155"/>
      <c r="I5229" s="171"/>
    </row>
    <row r="5230" spans="2:11" x14ac:dyDescent="0.15">
      <c r="B5230" s="11"/>
      <c r="C5230" s="11"/>
      <c r="D5230" s="1"/>
      <c r="E5230" s="155"/>
      <c r="F5230" s="155"/>
      <c r="G5230" s="155"/>
      <c r="H5230" s="155"/>
      <c r="I5230" s="171"/>
    </row>
    <row r="5231" spans="2:11" x14ac:dyDescent="0.15">
      <c r="B5231" s="11"/>
      <c r="C5231" s="11"/>
      <c r="D5231" s="1"/>
      <c r="E5231" s="155"/>
      <c r="F5231" s="155"/>
      <c r="G5231" s="155"/>
      <c r="H5231" s="155"/>
      <c r="I5231" s="171"/>
    </row>
    <row r="5232" spans="2:11" x14ac:dyDescent="0.15">
      <c r="B5232" s="11"/>
      <c r="C5232" s="11"/>
      <c r="D5232" s="1"/>
      <c r="E5232" s="155"/>
      <c r="F5232" s="155"/>
      <c r="G5232" s="155"/>
      <c r="H5232" s="155"/>
      <c r="I5232" s="171"/>
    </row>
    <row r="5233" spans="2:10" x14ac:dyDescent="0.15">
      <c r="B5233" s="11"/>
      <c r="C5233" s="11"/>
      <c r="D5233" s="1"/>
      <c r="E5233" s="155"/>
      <c r="F5233" s="155"/>
      <c r="G5233" s="155"/>
      <c r="H5233" s="155"/>
      <c r="I5233" s="171"/>
    </row>
    <row r="5234" spans="2:10" x14ac:dyDescent="0.15">
      <c r="B5234" s="11"/>
      <c r="C5234" s="11"/>
      <c r="D5234" s="1"/>
      <c r="E5234" s="155"/>
      <c r="F5234" s="155"/>
      <c r="G5234" s="155"/>
      <c r="H5234" s="155"/>
      <c r="I5234" s="171"/>
    </row>
    <row r="5235" spans="2:10" ht="14" x14ac:dyDescent="0.15">
      <c r="B5235" s="102"/>
      <c r="C5235" s="83"/>
      <c r="D5235" s="84"/>
      <c r="E5235" s="83"/>
      <c r="F5235" s="83"/>
      <c r="G5235" s="103"/>
      <c r="H5235" s="83"/>
      <c r="I5235" s="85"/>
      <c r="J5235" s="85"/>
    </row>
    <row r="5236" spans="2:10" ht="15" thickBot="1" x14ac:dyDescent="0.2">
      <c r="B5236" s="83"/>
      <c r="C5236" s="83"/>
      <c r="D5236" s="84"/>
      <c r="E5236" s="83"/>
      <c r="F5236" s="83"/>
      <c r="G5236" s="104"/>
      <c r="H5236" s="83"/>
      <c r="I5236" s="85"/>
      <c r="J5236" s="85"/>
    </row>
    <row r="5237" spans="2:10" ht="21" customHeight="1" x14ac:dyDescent="0.15">
      <c r="B5237" s="885" t="s">
        <v>874</v>
      </c>
      <c r="C5237" s="886"/>
      <c r="D5237" s="886"/>
      <c r="E5237" s="886"/>
      <c r="F5237" s="887"/>
      <c r="G5237" s="1"/>
      <c r="H5237" s="879" t="s">
        <v>20</v>
      </c>
      <c r="I5237" s="880"/>
    </row>
    <row r="5238" spans="2:10" ht="16.5" customHeight="1" x14ac:dyDescent="0.15">
      <c r="B5238" s="888" t="s">
        <v>875</v>
      </c>
      <c r="C5238" s="889"/>
      <c r="D5238" s="889"/>
      <c r="E5238" s="889"/>
      <c r="F5238" s="890"/>
      <c r="G5238" s="63"/>
      <c r="H5238" s="881"/>
      <c r="I5238" s="882"/>
    </row>
    <row r="5239" spans="2:10" ht="12.75" customHeight="1" x14ac:dyDescent="0.15">
      <c r="B5239" s="906" t="s">
        <v>876</v>
      </c>
      <c r="C5239" s="907"/>
      <c r="D5239" s="907"/>
      <c r="E5239" s="907"/>
      <c r="F5239" s="908"/>
      <c r="G5239" s="63"/>
      <c r="H5239" s="883"/>
      <c r="I5239" s="884"/>
    </row>
    <row r="5240" spans="2:10" ht="16.5" customHeight="1" thickBot="1" x14ac:dyDescent="0.2">
      <c r="B5240" s="909"/>
      <c r="C5240" s="910"/>
      <c r="D5240" s="910"/>
      <c r="E5240" s="910"/>
      <c r="F5240" s="911"/>
      <c r="G5240" s="1"/>
      <c r="H5240" s="873" t="s">
        <v>950</v>
      </c>
      <c r="I5240" s="874"/>
    </row>
    <row r="5241" spans="2:10" ht="14" thickBot="1" x14ac:dyDescent="0.2">
      <c r="B5241" s="15"/>
      <c r="C5241" s="16"/>
      <c r="D5241" s="1"/>
      <c r="E5241" s="1"/>
      <c r="F5241" s="1"/>
      <c r="G5241" s="1"/>
      <c r="H5241" s="875"/>
      <c r="I5241" s="876"/>
    </row>
    <row r="5242" spans="2:10" ht="12.75" customHeight="1" x14ac:dyDescent="0.15">
      <c r="B5242" s="922" t="s">
        <v>836</v>
      </c>
      <c r="C5242" s="923"/>
      <c r="D5242" s="923"/>
      <c r="E5242" s="923"/>
      <c r="F5242" s="924"/>
      <c r="G5242" s="1"/>
      <c r="H5242" s="875"/>
      <c r="I5242" s="876"/>
    </row>
    <row r="5243" spans="2:10" ht="12.75" customHeight="1" x14ac:dyDescent="0.15">
      <c r="B5243" s="925"/>
      <c r="C5243" s="926"/>
      <c r="D5243" s="926"/>
      <c r="E5243" s="926"/>
      <c r="F5243" s="927"/>
      <c r="G5243" s="1"/>
      <c r="H5243" s="875"/>
      <c r="I5243" s="876"/>
    </row>
    <row r="5244" spans="2:10" ht="13.5" customHeight="1" x14ac:dyDescent="0.15">
      <c r="B5244" s="925"/>
      <c r="C5244" s="926"/>
      <c r="D5244" s="926"/>
      <c r="E5244" s="926"/>
      <c r="F5244" s="927"/>
      <c r="G5244" s="11"/>
      <c r="H5244" s="877"/>
      <c r="I5244" s="878"/>
    </row>
    <row r="5245" spans="2:10" ht="21.75" customHeight="1" thickBot="1" x14ac:dyDescent="0.2">
      <c r="B5245" s="928"/>
      <c r="C5245" s="929"/>
      <c r="D5245" s="929"/>
      <c r="E5245" s="929"/>
      <c r="F5245" s="930"/>
      <c r="H5245" s="64" t="s">
        <v>45</v>
      </c>
      <c r="I5245" s="17" t="s">
        <v>7</v>
      </c>
    </row>
    <row r="5246" spans="2:10" x14ac:dyDescent="0.15">
      <c r="B5246" s="18"/>
      <c r="C5246" s="18"/>
      <c r="D5246" s="1"/>
      <c r="E5246" s="18"/>
      <c r="F5246" s="18"/>
      <c r="G5246" s="18"/>
      <c r="H5246" s="18"/>
      <c r="I5246" s="1"/>
    </row>
    <row r="5247" spans="2:10" ht="14" thickBot="1" x14ac:dyDescent="0.2">
      <c r="B5247" s="12" t="s">
        <v>21</v>
      </c>
      <c r="C5247" s="12"/>
      <c r="D5247" s="1"/>
      <c r="E5247" s="1"/>
      <c r="F5247" s="1"/>
      <c r="G5247" s="1"/>
      <c r="H5247" s="1"/>
      <c r="I5247" s="1"/>
    </row>
    <row r="5248" spans="2:10" x14ac:dyDescent="0.15">
      <c r="B5248" s="903" t="s">
        <v>22</v>
      </c>
      <c r="C5248" s="904"/>
      <c r="D5248" s="905"/>
      <c r="E5248" s="209" t="s">
        <v>23</v>
      </c>
      <c r="F5248" s="19" t="s">
        <v>47</v>
      </c>
      <c r="G5248" s="209" t="s">
        <v>24</v>
      </c>
      <c r="H5248" s="208" t="s">
        <v>25</v>
      </c>
      <c r="I5248" s="43"/>
    </row>
    <row r="5249" spans="2:9" x14ac:dyDescent="0.15">
      <c r="B5249" s="897" t="s">
        <v>56</v>
      </c>
      <c r="C5249" s="898"/>
      <c r="D5249" s="899"/>
      <c r="E5249" s="5"/>
      <c r="F5249" s="162"/>
      <c r="G5249" s="58"/>
      <c r="H5249" s="162">
        <f>I5271*0.05</f>
        <v>594.02729166666666</v>
      </c>
      <c r="I5249" s="44"/>
    </row>
    <row r="5250" spans="2:9" x14ac:dyDescent="0.15">
      <c r="B5250" s="897" t="s">
        <v>325</v>
      </c>
      <c r="C5250" s="898"/>
      <c r="D5250" s="899"/>
      <c r="E5250" s="5"/>
      <c r="F5250" s="162">
        <f>'HERRAMIENTAS Y EQUIPOS'!C27</f>
        <v>180000</v>
      </c>
      <c r="G5250" s="58">
        <v>60</v>
      </c>
      <c r="H5250" s="162">
        <f>F5250/G5250</f>
        <v>3000</v>
      </c>
      <c r="I5250" s="44"/>
    </row>
    <row r="5251" spans="2:9" ht="14" thickBot="1" x14ac:dyDescent="0.2">
      <c r="B5251" s="900"/>
      <c r="C5251" s="901"/>
      <c r="D5251" s="902"/>
      <c r="E5251" s="21"/>
      <c r="F5251" s="22"/>
      <c r="G5251" s="23"/>
      <c r="H5251" s="47"/>
      <c r="I5251" s="48"/>
    </row>
    <row r="5252" spans="2:9" ht="14" thickBot="1" x14ac:dyDescent="0.2">
      <c r="B5252" s="1"/>
      <c r="C5252" s="1"/>
      <c r="D5252" s="1"/>
      <c r="E5252" s="1"/>
      <c r="F5252" s="1"/>
      <c r="G5252" s="1"/>
      <c r="H5252" s="37" t="s">
        <v>26</v>
      </c>
      <c r="I5252" s="163">
        <f>SUM(H5249:H5251)</f>
        <v>3594.0272916666668</v>
      </c>
    </row>
    <row r="5253" spans="2:9" ht="14" thickBot="1" x14ac:dyDescent="0.2">
      <c r="B5253" s="12" t="s">
        <v>27</v>
      </c>
      <c r="C5253" s="12"/>
      <c r="D5253" s="1"/>
      <c r="E5253" s="1"/>
      <c r="F5253" s="1"/>
      <c r="G5253" s="1"/>
      <c r="H5253" s="1"/>
      <c r="I5253" s="1"/>
    </row>
    <row r="5254" spans="2:9" x14ac:dyDescent="0.15">
      <c r="B5254" s="903" t="s">
        <v>22</v>
      </c>
      <c r="C5254" s="904"/>
      <c r="D5254" s="905"/>
      <c r="E5254" s="209" t="s">
        <v>28</v>
      </c>
      <c r="F5254" s="209" t="s">
        <v>29</v>
      </c>
      <c r="G5254" s="209" t="s">
        <v>30</v>
      </c>
      <c r="H5254" s="208" t="s">
        <v>25</v>
      </c>
      <c r="I5254" s="43"/>
    </row>
    <row r="5255" spans="2:9" x14ac:dyDescent="0.15">
      <c r="B5255" s="4"/>
      <c r="C5255" s="24"/>
      <c r="D5255" s="6"/>
      <c r="E5255" s="3"/>
      <c r="F5255" s="164"/>
      <c r="G5255" s="65"/>
      <c r="H5255" s="165"/>
      <c r="I5255" s="44"/>
    </row>
    <row r="5256" spans="2:9" x14ac:dyDescent="0.15">
      <c r="B5256" s="4"/>
      <c r="C5256" s="24"/>
      <c r="D5256" s="6"/>
      <c r="E5256" s="3"/>
      <c r="F5256" s="164"/>
      <c r="G5256" s="65"/>
      <c r="H5256" s="165"/>
      <c r="I5256" s="44"/>
    </row>
    <row r="5257" spans="2:9" x14ac:dyDescent="0.15">
      <c r="B5257" s="4"/>
      <c r="C5257" s="24"/>
      <c r="D5257" s="6"/>
      <c r="E5257" s="3"/>
      <c r="F5257" s="164"/>
      <c r="G5257" s="65"/>
      <c r="H5257" s="165"/>
      <c r="I5257" s="44"/>
    </row>
    <row r="5258" spans="2:9" x14ac:dyDescent="0.15">
      <c r="B5258" s="4"/>
      <c r="C5258" s="24"/>
      <c r="D5258" s="6"/>
      <c r="E5258" s="3"/>
      <c r="F5258" s="164"/>
      <c r="G5258" s="182"/>
      <c r="H5258" s="165"/>
      <c r="I5258" s="44"/>
    </row>
    <row r="5259" spans="2:9" ht="14" thickBot="1" x14ac:dyDescent="0.2">
      <c r="B5259" s="25"/>
      <c r="C5259" s="26"/>
      <c r="D5259" s="27"/>
      <c r="E5259" s="21"/>
      <c r="F5259" s="22"/>
      <c r="G5259" s="167"/>
      <c r="H5259" s="47"/>
      <c r="I5259" s="48"/>
    </row>
    <row r="5260" spans="2:9" ht="14" thickBot="1" x14ac:dyDescent="0.2">
      <c r="B5260" s="1"/>
      <c r="C5260" s="1"/>
      <c r="D5260" s="1"/>
      <c r="E5260" s="1"/>
      <c r="F5260" s="1"/>
      <c r="G5260" s="1"/>
      <c r="H5260" s="37" t="s">
        <v>26</v>
      </c>
      <c r="I5260" s="163">
        <f>SUM(H5255:H5258)</f>
        <v>0</v>
      </c>
    </row>
    <row r="5261" spans="2:9" ht="14" thickBot="1" x14ac:dyDescent="0.2">
      <c r="B5261" s="28" t="s">
        <v>31</v>
      </c>
      <c r="C5261" s="28"/>
      <c r="D5261" s="26"/>
      <c r="E5261" s="1"/>
      <c r="F5261" s="1"/>
      <c r="G5261" s="1"/>
      <c r="H5261" s="1"/>
      <c r="I5261" s="1"/>
    </row>
    <row r="5262" spans="2:9" x14ac:dyDescent="0.15">
      <c r="B5262" s="51" t="s">
        <v>32</v>
      </c>
      <c r="C5262" s="52"/>
      <c r="D5262" s="97" t="s">
        <v>33</v>
      </c>
      <c r="E5262" s="209" t="s">
        <v>34</v>
      </c>
      <c r="F5262" s="209" t="s">
        <v>35</v>
      </c>
      <c r="G5262" s="209" t="s">
        <v>36</v>
      </c>
      <c r="H5262" s="59" t="s">
        <v>25</v>
      </c>
      <c r="I5262" s="43"/>
    </row>
    <row r="5263" spans="2:9" x14ac:dyDescent="0.15">
      <c r="B5263" s="4"/>
      <c r="C5263" s="6"/>
      <c r="D5263" s="53"/>
      <c r="E5263" s="2"/>
      <c r="F5263" s="2"/>
      <c r="G5263" s="58"/>
      <c r="H5263" s="20"/>
      <c r="I5263" s="44"/>
    </row>
    <row r="5264" spans="2:9" ht="14" thickBot="1" x14ac:dyDescent="0.2">
      <c r="B5264" s="33"/>
      <c r="C5264" s="54"/>
      <c r="D5264" s="21"/>
      <c r="E5264" s="22"/>
      <c r="F5264" s="23"/>
      <c r="G5264" s="47"/>
      <c r="H5264" s="21"/>
      <c r="I5264" s="48"/>
    </row>
    <row r="5265" spans="2:11" ht="14" thickBot="1" x14ac:dyDescent="0.2">
      <c r="B5265" s="1"/>
      <c r="C5265" s="1"/>
      <c r="D5265" s="1"/>
      <c r="E5265" s="1"/>
      <c r="F5265" s="1"/>
      <c r="G5265" s="1"/>
      <c r="H5265" s="37" t="s">
        <v>26</v>
      </c>
      <c r="I5265" s="163">
        <f>SUM(H5263:H5264)</f>
        <v>0</v>
      </c>
    </row>
    <row r="5266" spans="2:11" ht="14" thickBot="1" x14ac:dyDescent="0.2">
      <c r="B5266" s="28" t="s">
        <v>37</v>
      </c>
      <c r="C5266" s="28"/>
      <c r="D5266" s="1"/>
      <c r="E5266" s="1"/>
      <c r="F5266" s="1"/>
      <c r="G5266" s="1"/>
      <c r="H5266" s="1"/>
      <c r="I5266" s="1"/>
    </row>
    <row r="5267" spans="2:11" x14ac:dyDescent="0.15">
      <c r="B5267" s="51" t="s">
        <v>38</v>
      </c>
      <c r="C5267" s="86"/>
      <c r="D5267" s="31" t="s">
        <v>39</v>
      </c>
      <c r="E5267" s="209" t="s">
        <v>40</v>
      </c>
      <c r="F5267" s="19" t="s">
        <v>41</v>
      </c>
      <c r="G5267" s="31" t="s">
        <v>24</v>
      </c>
      <c r="H5267" s="208" t="s">
        <v>25</v>
      </c>
      <c r="I5267" s="43"/>
    </row>
    <row r="5268" spans="2:11" x14ac:dyDescent="0.15">
      <c r="B5268" s="4" t="s">
        <v>949</v>
      </c>
      <c r="C5268" s="24"/>
      <c r="D5268" s="32">
        <f>'MANO DE OBRA'!E17</f>
        <v>95333</v>
      </c>
      <c r="E5268" s="88">
        <v>1.75</v>
      </c>
      <c r="F5268" s="164">
        <f>+E5268*D5268</f>
        <v>166832.75</v>
      </c>
      <c r="G5268" s="20">
        <f>G5250</f>
        <v>60</v>
      </c>
      <c r="H5268" s="169">
        <f>+F5268/G5268</f>
        <v>2780.5458333333331</v>
      </c>
      <c r="I5268" s="44"/>
      <c r="K5268" s="106"/>
    </row>
    <row r="5269" spans="2:11" x14ac:dyDescent="0.15">
      <c r="B5269" s="4" t="s">
        <v>94</v>
      </c>
      <c r="C5269" s="24"/>
      <c r="D5269" s="32">
        <f>'MANO DE OBRA'!E14*6</f>
        <v>312000</v>
      </c>
      <c r="E5269" s="88">
        <v>1.75</v>
      </c>
      <c r="F5269" s="164">
        <f>+E5269*D5269</f>
        <v>546000</v>
      </c>
      <c r="G5269" s="20">
        <f>G5250</f>
        <v>60</v>
      </c>
      <c r="H5269" s="169">
        <f>+F5269/G5269</f>
        <v>9100</v>
      </c>
      <c r="I5269" s="44"/>
    </row>
    <row r="5270" spans="2:11" ht="14" thickBot="1" x14ac:dyDescent="0.2">
      <c r="B5270" s="33"/>
      <c r="C5270" s="34"/>
      <c r="D5270" s="22"/>
      <c r="E5270" s="21"/>
      <c r="F5270" s="22"/>
      <c r="G5270" s="23"/>
      <c r="H5270" s="47"/>
      <c r="I5270" s="48"/>
    </row>
    <row r="5271" spans="2:11" ht="14" thickBot="1" x14ac:dyDescent="0.2">
      <c r="B5271" s="1"/>
      <c r="C5271" s="1"/>
      <c r="D5271" s="1"/>
      <c r="E5271" s="1"/>
      <c r="F5271" s="1"/>
      <c r="G5271" s="1"/>
      <c r="H5271" s="37" t="s">
        <v>26</v>
      </c>
      <c r="I5271" s="177">
        <f>SUM(H5268:H5269)</f>
        <v>11880.545833333334</v>
      </c>
    </row>
    <row r="5272" spans="2:11" ht="14" thickBot="1" x14ac:dyDescent="0.2">
      <c r="B5272" s="1"/>
      <c r="C5272" s="1"/>
      <c r="D5272" s="1"/>
      <c r="E5272" s="1"/>
      <c r="F5272" s="1"/>
      <c r="G5272" s="1"/>
      <c r="H5272" s="61"/>
      <c r="I5272" s="1"/>
    </row>
    <row r="5273" spans="2:11" ht="15" thickBot="1" x14ac:dyDescent="0.2">
      <c r="B5273" s="1"/>
      <c r="C5273" s="1"/>
      <c r="D5273" s="1"/>
      <c r="E5273" s="1"/>
      <c r="F5273" s="35" t="s">
        <v>43</v>
      </c>
      <c r="G5273" s="16"/>
      <c r="H5273" s="16"/>
      <c r="I5273" s="232">
        <f>ROUND((I5252+I5260+I5265+I5271),0)</f>
        <v>15475</v>
      </c>
    </row>
    <row r="5274" spans="2:11" x14ac:dyDescent="0.15">
      <c r="B5274" s="12"/>
      <c r="C5274" s="12"/>
      <c r="D5274" s="1"/>
      <c r="E5274" s="1"/>
      <c r="F5274" s="1"/>
      <c r="G5274" s="1"/>
      <c r="H5274" s="172"/>
      <c r="I5274" s="172"/>
    </row>
    <row r="5275" spans="2:11" x14ac:dyDescent="0.15">
      <c r="B5275" s="16"/>
      <c r="C5275" s="16"/>
      <c r="D5275" s="16"/>
      <c r="E5275" s="16"/>
      <c r="F5275" s="16"/>
      <c r="G5275" s="61"/>
      <c r="H5275" s="173"/>
      <c r="I5275" s="172"/>
    </row>
    <row r="5276" spans="2:11" x14ac:dyDescent="0.15">
      <c r="B5276" s="1"/>
      <c r="C5276" s="1"/>
      <c r="D5276" s="1"/>
      <c r="E5276" s="1"/>
      <c r="F5276" s="1"/>
      <c r="G5276" s="161"/>
      <c r="H5276" s="172"/>
      <c r="I5276" s="172"/>
      <c r="K5276" s="174"/>
    </row>
    <row r="5277" spans="2:11" x14ac:dyDescent="0.15">
      <c r="B5277" s="1"/>
      <c r="C5277" s="1"/>
      <c r="D5277" s="1"/>
      <c r="E5277" s="1"/>
      <c r="F5277" s="1"/>
      <c r="G5277" s="161"/>
      <c r="H5277" s="172"/>
      <c r="I5277" s="172"/>
    </row>
    <row r="5278" spans="2:11" x14ac:dyDescent="0.15">
      <c r="B5278" s="1"/>
      <c r="C5278" s="1"/>
      <c r="D5278" s="1"/>
      <c r="E5278" s="1"/>
      <c r="F5278" s="1"/>
      <c r="G5278" s="161"/>
      <c r="H5278" s="172"/>
      <c r="I5278" s="172"/>
    </row>
    <row r="5279" spans="2:11" ht="14" x14ac:dyDescent="0.15">
      <c r="B5279" s="83"/>
      <c r="C5279" s="11"/>
      <c r="D5279" s="1"/>
      <c r="E5279" s="916"/>
      <c r="F5279" s="916"/>
      <c r="G5279" s="916"/>
      <c r="H5279" s="916"/>
      <c r="I5279" s="171"/>
    </row>
    <row r="5280" spans="2:11" ht="14" x14ac:dyDescent="0.15">
      <c r="B5280" s="102"/>
      <c r="C5280" s="11"/>
      <c r="D5280" s="1"/>
      <c r="E5280" s="155"/>
      <c r="F5280" s="155"/>
      <c r="G5280" s="155"/>
      <c r="H5280" s="155"/>
      <c r="I5280" s="171"/>
    </row>
    <row r="5281" spans="2:10" ht="14" x14ac:dyDescent="0.15">
      <c r="B5281" s="83"/>
      <c r="C5281" s="11"/>
      <c r="D5281" s="1"/>
      <c r="E5281" s="155"/>
      <c r="F5281" s="155"/>
      <c r="G5281" s="155"/>
      <c r="H5281" s="155"/>
      <c r="I5281" s="171"/>
    </row>
    <row r="5282" spans="2:10" x14ac:dyDescent="0.15">
      <c r="B5282" s="11"/>
      <c r="C5282" s="11"/>
      <c r="D5282" s="1"/>
      <c r="E5282" s="155"/>
      <c r="F5282" s="155"/>
      <c r="G5282" s="155"/>
      <c r="H5282" s="155"/>
      <c r="I5282" s="171"/>
    </row>
    <row r="5283" spans="2:10" x14ac:dyDescent="0.15">
      <c r="B5283" s="11"/>
      <c r="C5283" s="11"/>
      <c r="D5283" s="1"/>
      <c r="E5283" s="155"/>
      <c r="F5283" s="155"/>
      <c r="G5283" s="155"/>
      <c r="H5283" s="155"/>
      <c r="I5283" s="171"/>
    </row>
    <row r="5284" spans="2:10" x14ac:dyDescent="0.15">
      <c r="B5284" s="11"/>
      <c r="C5284" s="11"/>
      <c r="D5284" s="1"/>
      <c r="E5284" s="155"/>
      <c r="F5284" s="155"/>
      <c r="G5284" s="155"/>
      <c r="H5284" s="155"/>
      <c r="I5284" s="171"/>
    </row>
    <row r="5285" spans="2:10" x14ac:dyDescent="0.15">
      <c r="B5285" s="11"/>
      <c r="C5285" s="11"/>
      <c r="D5285" s="1"/>
      <c r="E5285" s="155"/>
      <c r="F5285" s="155"/>
      <c r="G5285" s="155"/>
      <c r="H5285" s="155"/>
      <c r="I5285" s="171"/>
    </row>
    <row r="5286" spans="2:10" x14ac:dyDescent="0.15">
      <c r="B5286" s="11"/>
      <c r="C5286" s="11"/>
      <c r="D5286" s="1"/>
      <c r="E5286" s="155"/>
      <c r="F5286" s="155"/>
      <c r="G5286" s="155"/>
      <c r="H5286" s="155"/>
      <c r="I5286" s="171"/>
    </row>
    <row r="5287" spans="2:10" x14ac:dyDescent="0.15">
      <c r="B5287" s="11"/>
      <c r="C5287" s="11"/>
      <c r="D5287" s="1"/>
      <c r="E5287" s="155"/>
      <c r="F5287" s="155"/>
      <c r="G5287" s="155"/>
      <c r="H5287" s="155"/>
      <c r="I5287" s="171"/>
    </row>
    <row r="5288" spans="2:10" x14ac:dyDescent="0.15">
      <c r="B5288" s="11"/>
      <c r="C5288" s="11"/>
      <c r="D5288" s="1"/>
      <c r="E5288" s="155"/>
      <c r="F5288" s="155"/>
      <c r="G5288" s="155"/>
      <c r="H5288" s="155"/>
      <c r="I5288" s="171"/>
    </row>
    <row r="5289" spans="2:10" x14ac:dyDescent="0.15">
      <c r="B5289" s="11"/>
      <c r="C5289" s="11"/>
      <c r="D5289" s="1"/>
      <c r="E5289" s="155"/>
      <c r="F5289" s="155"/>
      <c r="G5289" s="155"/>
      <c r="H5289" s="155"/>
      <c r="I5289" s="171"/>
    </row>
    <row r="5290" spans="2:10" x14ac:dyDescent="0.15">
      <c r="B5290" s="11"/>
      <c r="C5290" s="11"/>
      <c r="D5290" s="1"/>
      <c r="E5290" s="155"/>
      <c r="F5290" s="155"/>
      <c r="G5290" s="155"/>
      <c r="H5290" s="155"/>
      <c r="I5290" s="171"/>
    </row>
    <row r="5291" spans="2:10" ht="14" x14ac:dyDescent="0.15">
      <c r="B5291" s="102"/>
      <c r="C5291" s="83"/>
      <c r="D5291" s="84"/>
      <c r="E5291" s="83"/>
      <c r="F5291" s="83"/>
      <c r="G5291" s="103"/>
      <c r="H5291" s="83"/>
      <c r="I5291" s="85"/>
      <c r="J5291" s="85"/>
    </row>
    <row r="5292" spans="2:10" ht="15" thickBot="1" x14ac:dyDescent="0.2">
      <c r="B5292" s="83"/>
      <c r="C5292" s="83"/>
      <c r="D5292" s="84"/>
      <c r="E5292" s="83"/>
      <c r="F5292" s="83"/>
      <c r="G5292" s="104"/>
      <c r="H5292" s="83"/>
      <c r="I5292" s="85"/>
      <c r="J5292" s="85"/>
    </row>
    <row r="5293" spans="2:10" ht="15.75" customHeight="1" x14ac:dyDescent="0.15">
      <c r="B5293" s="885" t="s">
        <v>874</v>
      </c>
      <c r="C5293" s="886"/>
      <c r="D5293" s="886"/>
      <c r="E5293" s="886"/>
      <c r="F5293" s="887"/>
      <c r="G5293" s="1"/>
      <c r="H5293" s="879" t="s">
        <v>20</v>
      </c>
      <c r="I5293" s="880"/>
    </row>
    <row r="5294" spans="2:10" ht="15.75" customHeight="1" x14ac:dyDescent="0.15">
      <c r="B5294" s="888" t="s">
        <v>875</v>
      </c>
      <c r="C5294" s="889"/>
      <c r="D5294" s="889"/>
      <c r="E5294" s="889"/>
      <c r="F5294" s="890"/>
      <c r="G5294" s="63"/>
      <c r="H5294" s="881"/>
      <c r="I5294" s="882"/>
    </row>
    <row r="5295" spans="2:10" ht="12.75" customHeight="1" x14ac:dyDescent="0.15">
      <c r="B5295" s="906" t="s">
        <v>876</v>
      </c>
      <c r="C5295" s="907"/>
      <c r="D5295" s="907"/>
      <c r="E5295" s="907"/>
      <c r="F5295" s="908"/>
      <c r="G5295" s="63"/>
      <c r="H5295" s="883"/>
      <c r="I5295" s="884"/>
    </row>
    <row r="5296" spans="2:10" ht="13.5" customHeight="1" thickBot="1" x14ac:dyDescent="0.2">
      <c r="B5296" s="909"/>
      <c r="C5296" s="910"/>
      <c r="D5296" s="910"/>
      <c r="E5296" s="910"/>
      <c r="F5296" s="911"/>
      <c r="G5296" s="1"/>
      <c r="H5296" s="956" t="s">
        <v>951</v>
      </c>
      <c r="I5296" s="957"/>
    </row>
    <row r="5297" spans="2:9" ht="14" thickBot="1" x14ac:dyDescent="0.2">
      <c r="B5297" s="15"/>
      <c r="C5297" s="16"/>
      <c r="D5297" s="1"/>
      <c r="E5297" s="1"/>
      <c r="F5297" s="1"/>
      <c r="G5297" s="1"/>
      <c r="H5297" s="958"/>
      <c r="I5297" s="959"/>
    </row>
    <row r="5298" spans="2:9" ht="12.75" customHeight="1" x14ac:dyDescent="0.15">
      <c r="B5298" s="947" t="s">
        <v>836</v>
      </c>
      <c r="C5298" s="948"/>
      <c r="D5298" s="948"/>
      <c r="E5298" s="948"/>
      <c r="F5298" s="949"/>
      <c r="G5298" s="1"/>
      <c r="H5298" s="958"/>
      <c r="I5298" s="959"/>
    </row>
    <row r="5299" spans="2:9" ht="12.75" customHeight="1" x14ac:dyDescent="0.15">
      <c r="B5299" s="950"/>
      <c r="C5299" s="951"/>
      <c r="D5299" s="951"/>
      <c r="E5299" s="951"/>
      <c r="F5299" s="952"/>
      <c r="G5299" s="1"/>
      <c r="H5299" s="958"/>
      <c r="I5299" s="959"/>
    </row>
    <row r="5300" spans="2:9" ht="12.75" customHeight="1" x14ac:dyDescent="0.15">
      <c r="B5300" s="950"/>
      <c r="C5300" s="951"/>
      <c r="D5300" s="951"/>
      <c r="E5300" s="951"/>
      <c r="F5300" s="952"/>
      <c r="G5300" s="1"/>
      <c r="H5300" s="958"/>
      <c r="I5300" s="959"/>
    </row>
    <row r="5301" spans="2:9" ht="12.75" customHeight="1" x14ac:dyDescent="0.15">
      <c r="B5301" s="950"/>
      <c r="C5301" s="951"/>
      <c r="D5301" s="951"/>
      <c r="E5301" s="951"/>
      <c r="F5301" s="952"/>
      <c r="G5301" s="1"/>
      <c r="H5301" s="958"/>
      <c r="I5301" s="959"/>
    </row>
    <row r="5302" spans="2:9" ht="12.75" customHeight="1" x14ac:dyDescent="0.15">
      <c r="B5302" s="950"/>
      <c r="C5302" s="951"/>
      <c r="D5302" s="951"/>
      <c r="E5302" s="951"/>
      <c r="F5302" s="952"/>
      <c r="G5302" s="11"/>
      <c r="H5302" s="960"/>
      <c r="I5302" s="961"/>
    </row>
    <row r="5303" spans="2:9" ht="13.5" customHeight="1" thickBot="1" x14ac:dyDescent="0.2">
      <c r="B5303" s="953"/>
      <c r="C5303" s="954"/>
      <c r="D5303" s="954"/>
      <c r="E5303" s="954"/>
      <c r="F5303" s="955"/>
      <c r="H5303" s="64" t="s">
        <v>45</v>
      </c>
      <c r="I5303" s="17" t="s">
        <v>5</v>
      </c>
    </row>
    <row r="5304" spans="2:9" x14ac:dyDescent="0.15">
      <c r="B5304" s="18"/>
      <c r="C5304" s="18"/>
      <c r="D5304" s="1"/>
      <c r="E5304" s="18"/>
      <c r="F5304" s="18"/>
      <c r="G5304" s="18"/>
      <c r="H5304" s="18"/>
      <c r="I5304" s="1"/>
    </row>
    <row r="5305" spans="2:9" ht="14" thickBot="1" x14ac:dyDescent="0.2">
      <c r="B5305" s="12" t="s">
        <v>21</v>
      </c>
      <c r="C5305" s="12"/>
      <c r="D5305" s="1"/>
      <c r="E5305" s="1"/>
      <c r="F5305" s="1"/>
      <c r="G5305" s="1"/>
      <c r="H5305" s="1"/>
      <c r="I5305" s="1"/>
    </row>
    <row r="5306" spans="2:9" x14ac:dyDescent="0.15">
      <c r="B5306" s="903" t="s">
        <v>22</v>
      </c>
      <c r="C5306" s="904"/>
      <c r="D5306" s="905"/>
      <c r="E5306" s="209" t="s">
        <v>23</v>
      </c>
      <c r="F5306" s="19" t="s">
        <v>47</v>
      </c>
      <c r="G5306" s="209" t="s">
        <v>24</v>
      </c>
      <c r="H5306" s="208" t="s">
        <v>25</v>
      </c>
      <c r="I5306" s="43"/>
    </row>
    <row r="5307" spans="2:9" x14ac:dyDescent="0.15">
      <c r="B5307" s="897" t="s">
        <v>56</v>
      </c>
      <c r="C5307" s="898"/>
      <c r="D5307" s="899"/>
      <c r="E5307" s="5"/>
      <c r="F5307" s="162"/>
      <c r="G5307" s="58"/>
      <c r="H5307" s="162">
        <f>I5325*0.05</f>
        <v>1769.4425000000001</v>
      </c>
      <c r="I5307" s="44"/>
    </row>
    <row r="5308" spans="2:9" ht="14" thickBot="1" x14ac:dyDescent="0.2">
      <c r="B5308" s="900"/>
      <c r="C5308" s="901"/>
      <c r="D5308" s="902"/>
      <c r="E5308" s="21"/>
      <c r="F5308" s="22"/>
      <c r="G5308" s="23"/>
      <c r="H5308" s="47"/>
      <c r="I5308" s="48"/>
    </row>
    <row r="5309" spans="2:9" ht="14" thickBot="1" x14ac:dyDescent="0.2">
      <c r="B5309" s="1"/>
      <c r="C5309" s="1"/>
      <c r="D5309" s="1"/>
      <c r="E5309" s="1"/>
      <c r="F5309" s="1"/>
      <c r="G5309" s="1"/>
      <c r="H5309" s="37" t="s">
        <v>26</v>
      </c>
      <c r="I5309" s="163">
        <f>SUM(H5307:H5308)</f>
        <v>1769.4425000000001</v>
      </c>
    </row>
    <row r="5310" spans="2:9" ht="14" thickBot="1" x14ac:dyDescent="0.2">
      <c r="B5310" s="12" t="s">
        <v>27</v>
      </c>
      <c r="C5310" s="12"/>
      <c r="D5310" s="1"/>
      <c r="E5310" s="1"/>
      <c r="F5310" s="1"/>
      <c r="G5310" s="1"/>
      <c r="H5310" s="1"/>
      <c r="I5310" s="1"/>
    </row>
    <row r="5311" spans="2:9" x14ac:dyDescent="0.15">
      <c r="B5311" s="903" t="s">
        <v>22</v>
      </c>
      <c r="C5311" s="904"/>
      <c r="D5311" s="905"/>
      <c r="E5311" s="209" t="s">
        <v>28</v>
      </c>
      <c r="F5311" s="209" t="s">
        <v>29</v>
      </c>
      <c r="G5311" s="209" t="s">
        <v>30</v>
      </c>
      <c r="H5311" s="208" t="s">
        <v>25</v>
      </c>
      <c r="I5311" s="43"/>
    </row>
    <row r="5312" spans="2:9" ht="12.75" customHeight="1" x14ac:dyDescent="0.15">
      <c r="B5312" s="917" t="s">
        <v>952</v>
      </c>
      <c r="C5312" s="918"/>
      <c r="D5312" s="919"/>
      <c r="E5312" s="3" t="s">
        <v>5</v>
      </c>
      <c r="F5312" s="164">
        <f>MATERIALES!C146</f>
        <v>60750.000000000007</v>
      </c>
      <c r="G5312" s="65">
        <v>1</v>
      </c>
      <c r="H5312" s="165">
        <f>G5312*F5312</f>
        <v>60750.000000000007</v>
      </c>
      <c r="I5312" s="44"/>
    </row>
    <row r="5313" spans="2:9" ht="14" thickBot="1" x14ac:dyDescent="0.2">
      <c r="B5313" s="25"/>
      <c r="C5313" s="26"/>
      <c r="D5313" s="27"/>
      <c r="E5313" s="21"/>
      <c r="F5313" s="22"/>
      <c r="G5313" s="167"/>
      <c r="H5313" s="47"/>
      <c r="I5313" s="48"/>
    </row>
    <row r="5314" spans="2:9" ht="14" thickBot="1" x14ac:dyDescent="0.2">
      <c r="B5314" s="1"/>
      <c r="C5314" s="1"/>
      <c r="D5314" s="1"/>
      <c r="E5314" s="1"/>
      <c r="F5314" s="1"/>
      <c r="G5314" s="1"/>
      <c r="H5314" s="37" t="s">
        <v>26</v>
      </c>
      <c r="I5314" s="163">
        <f>SUM(H5312:H5312)</f>
        <v>60750.000000000007</v>
      </c>
    </row>
    <row r="5315" spans="2:9" ht="14" thickBot="1" x14ac:dyDescent="0.2">
      <c r="B5315" s="28" t="s">
        <v>31</v>
      </c>
      <c r="C5315" s="28"/>
      <c r="D5315" s="26"/>
      <c r="E5315" s="1"/>
      <c r="F5315" s="1"/>
      <c r="G5315" s="1"/>
      <c r="H5315" s="1"/>
      <c r="I5315" s="1"/>
    </row>
    <row r="5316" spans="2:9" x14ac:dyDescent="0.15">
      <c r="B5316" s="51" t="s">
        <v>32</v>
      </c>
      <c r="C5316" s="52"/>
      <c r="D5316" s="97" t="s">
        <v>33</v>
      </c>
      <c r="E5316" s="209" t="s">
        <v>34</v>
      </c>
      <c r="F5316" s="209" t="s">
        <v>35</v>
      </c>
      <c r="G5316" s="209" t="s">
        <v>36</v>
      </c>
      <c r="H5316" s="59" t="s">
        <v>25</v>
      </c>
      <c r="I5316" s="43"/>
    </row>
    <row r="5317" spans="2:9" x14ac:dyDescent="0.15">
      <c r="B5317" s="4" t="s">
        <v>79</v>
      </c>
      <c r="C5317" s="6"/>
      <c r="D5317" s="53">
        <v>0.1</v>
      </c>
      <c r="E5317" s="2">
        <f>43+225.2</f>
        <v>268.2</v>
      </c>
      <c r="F5317" s="2">
        <f>E5317*D5317</f>
        <v>26.82</v>
      </c>
      <c r="G5317" s="162">
        <v>1100</v>
      </c>
      <c r="H5317" s="20">
        <f>G5317*F5317</f>
        <v>29502</v>
      </c>
      <c r="I5317" s="44"/>
    </row>
    <row r="5318" spans="2:9" ht="14" thickBot="1" x14ac:dyDescent="0.2">
      <c r="B5318" s="33"/>
      <c r="C5318" s="54"/>
      <c r="D5318" s="21"/>
      <c r="E5318" s="22"/>
      <c r="F5318" s="23"/>
      <c r="G5318" s="47"/>
      <c r="H5318" s="21"/>
      <c r="I5318" s="48"/>
    </row>
    <row r="5319" spans="2:9" ht="14" thickBot="1" x14ac:dyDescent="0.2">
      <c r="B5319" s="1"/>
      <c r="C5319" s="1"/>
      <c r="D5319" s="1"/>
      <c r="E5319" s="1"/>
      <c r="F5319" s="1"/>
      <c r="G5319" s="1"/>
      <c r="H5319" s="37" t="s">
        <v>26</v>
      </c>
      <c r="I5319" s="163">
        <f>SUM(H5317:H5318)</f>
        <v>29502</v>
      </c>
    </row>
    <row r="5320" spans="2:9" ht="14" thickBot="1" x14ac:dyDescent="0.2">
      <c r="B5320" s="28" t="s">
        <v>37</v>
      </c>
      <c r="C5320" s="28"/>
      <c r="D5320" s="1"/>
      <c r="E5320" s="1"/>
      <c r="F5320" s="1"/>
      <c r="G5320" s="1"/>
      <c r="H5320" s="1"/>
      <c r="I5320" s="1"/>
    </row>
    <row r="5321" spans="2:9" x14ac:dyDescent="0.15">
      <c r="B5321" s="51" t="s">
        <v>38</v>
      </c>
      <c r="C5321" s="86"/>
      <c r="D5321" s="31" t="s">
        <v>39</v>
      </c>
      <c r="E5321" s="209" t="s">
        <v>40</v>
      </c>
      <c r="F5321" s="19" t="s">
        <v>41</v>
      </c>
      <c r="G5321" s="31" t="s">
        <v>24</v>
      </c>
      <c r="H5321" s="59" t="s">
        <v>25</v>
      </c>
      <c r="I5321" s="43"/>
    </row>
    <row r="5322" spans="2:9" x14ac:dyDescent="0.15">
      <c r="B5322" s="4" t="s">
        <v>42</v>
      </c>
      <c r="C5322" s="24"/>
      <c r="D5322" s="32">
        <f>'MANO DE OBRA'!E15</f>
        <v>95333</v>
      </c>
      <c r="E5322" s="168">
        <v>1.75</v>
      </c>
      <c r="F5322" s="164">
        <f>+E5322*D5322</f>
        <v>166832.75</v>
      </c>
      <c r="G5322" s="20">
        <v>15</v>
      </c>
      <c r="H5322" s="169">
        <f>+F5322/G5322</f>
        <v>11122.183333333332</v>
      </c>
      <c r="I5322" s="44"/>
    </row>
    <row r="5323" spans="2:9" x14ac:dyDescent="0.15">
      <c r="B5323" s="4" t="s">
        <v>707</v>
      </c>
      <c r="C5323" s="24"/>
      <c r="D5323" s="32">
        <f>'MANO DE OBRA'!E14*4</f>
        <v>208000</v>
      </c>
      <c r="E5323" s="168">
        <v>1.75</v>
      </c>
      <c r="F5323" s="164">
        <f>+E5323*D5323</f>
        <v>364000</v>
      </c>
      <c r="G5323" s="20">
        <v>15</v>
      </c>
      <c r="H5323" s="169">
        <f>+F5323/G5323</f>
        <v>24266.666666666668</v>
      </c>
      <c r="I5323" s="44"/>
    </row>
    <row r="5324" spans="2:9" ht="14" thickBot="1" x14ac:dyDescent="0.2">
      <c r="B5324" s="33"/>
      <c r="C5324" s="34"/>
      <c r="D5324" s="22"/>
      <c r="E5324" s="21"/>
      <c r="F5324" s="22"/>
      <c r="G5324" s="23"/>
      <c r="H5324" s="87"/>
      <c r="I5324" s="44"/>
    </row>
    <row r="5325" spans="2:9" ht="14" thickBot="1" x14ac:dyDescent="0.2">
      <c r="B5325" s="1"/>
      <c r="C5325" s="1"/>
      <c r="D5325" s="1"/>
      <c r="E5325" s="1"/>
      <c r="F5325" s="1"/>
      <c r="G5325" s="1"/>
      <c r="H5325" s="37" t="s">
        <v>26</v>
      </c>
      <c r="I5325" s="163">
        <f>SUM(H5322:H5324)</f>
        <v>35388.85</v>
      </c>
    </row>
    <row r="5326" spans="2:9" ht="14" thickBot="1" x14ac:dyDescent="0.2">
      <c r="B5326" s="1"/>
      <c r="C5326" s="1"/>
      <c r="D5326" s="1"/>
      <c r="E5326" s="1"/>
      <c r="F5326" s="1"/>
      <c r="G5326" s="1"/>
      <c r="H5326" s="61"/>
      <c r="I5326" s="1"/>
    </row>
    <row r="5327" spans="2:9" ht="15" thickBot="1" x14ac:dyDescent="0.2">
      <c r="B5327" s="1"/>
      <c r="C5327" s="1"/>
      <c r="D5327" s="1"/>
      <c r="E5327" s="1"/>
      <c r="F5327" s="35" t="s">
        <v>43</v>
      </c>
      <c r="G5327" s="16"/>
      <c r="H5327" s="16"/>
      <c r="I5327" s="232">
        <f>ROUND((I5309+I5314+I5319+I5325),0)</f>
        <v>127410</v>
      </c>
    </row>
    <row r="5328" spans="2:9" x14ac:dyDescent="0.15">
      <c r="B5328" s="12"/>
      <c r="C5328" s="12"/>
      <c r="D5328" s="1"/>
      <c r="E5328" s="1"/>
      <c r="F5328" s="1"/>
      <c r="G5328" s="1"/>
      <c r="H5328" s="172"/>
      <c r="I5328" s="172"/>
    </row>
    <row r="5329" spans="2:9" x14ac:dyDescent="0.15">
      <c r="B5329" s="16"/>
      <c r="C5329" s="16"/>
      <c r="D5329" s="16"/>
      <c r="E5329" s="16"/>
      <c r="F5329" s="16"/>
      <c r="G5329" s="61"/>
      <c r="H5329" s="173"/>
      <c r="I5329" s="172"/>
    </row>
    <row r="5330" spans="2:9" x14ac:dyDescent="0.15">
      <c r="B5330" s="1"/>
      <c r="C5330" s="1"/>
      <c r="D5330" s="1"/>
      <c r="E5330" s="1"/>
      <c r="F5330" s="1"/>
      <c r="G5330" s="161"/>
      <c r="H5330" s="172"/>
      <c r="I5330" s="172"/>
    </row>
    <row r="5331" spans="2:9" x14ac:dyDescent="0.15">
      <c r="B5331" s="1"/>
      <c r="C5331" s="1"/>
      <c r="D5331" s="1"/>
      <c r="E5331" s="1"/>
      <c r="F5331" s="1"/>
      <c r="G5331" s="161"/>
      <c r="H5331" s="172"/>
      <c r="I5331" s="172"/>
    </row>
    <row r="5332" spans="2:9" x14ac:dyDescent="0.15">
      <c r="B5332" s="1"/>
      <c r="C5332" s="1"/>
      <c r="D5332" s="1"/>
      <c r="E5332" s="1"/>
      <c r="F5332" s="1"/>
      <c r="G5332" s="161"/>
      <c r="H5332" s="172"/>
      <c r="I5332" s="172"/>
    </row>
    <row r="5333" spans="2:9" x14ac:dyDescent="0.15">
      <c r="B5333" s="1"/>
      <c r="C5333" s="1"/>
      <c r="D5333" s="1"/>
      <c r="E5333" s="1"/>
      <c r="F5333" s="1"/>
      <c r="G5333" s="1"/>
      <c r="H5333" s="37"/>
      <c r="I5333" s="172"/>
    </row>
    <row r="5334" spans="2:9" ht="14" x14ac:dyDescent="0.15">
      <c r="B5334" s="102"/>
      <c r="C5334" s="1"/>
      <c r="D5334" s="1"/>
      <c r="E5334" s="1"/>
      <c r="F5334" s="1"/>
      <c r="G5334" s="1"/>
      <c r="H5334" s="1"/>
      <c r="I5334" s="172"/>
    </row>
    <row r="5335" spans="2:9" ht="14" x14ac:dyDescent="0.15">
      <c r="B5335" s="83"/>
      <c r="C5335" s="11"/>
      <c r="D5335" s="1"/>
      <c r="E5335" s="916"/>
      <c r="F5335" s="916"/>
      <c r="G5335" s="916"/>
      <c r="H5335" s="916"/>
      <c r="I5335" s="171"/>
    </row>
    <row r="5336" spans="2:9" x14ac:dyDescent="0.15">
      <c r="B5336" s="11"/>
      <c r="C5336" s="11"/>
      <c r="D5336" s="1"/>
      <c r="E5336" s="155"/>
      <c r="F5336" s="155"/>
      <c r="G5336" s="155"/>
      <c r="H5336" s="155"/>
      <c r="I5336" s="171"/>
    </row>
    <row r="5337" spans="2:9" x14ac:dyDescent="0.15">
      <c r="B5337" s="11"/>
      <c r="C5337" s="11"/>
      <c r="D5337" s="1"/>
      <c r="E5337" s="155"/>
      <c r="F5337" s="155"/>
      <c r="G5337" s="155"/>
      <c r="H5337" s="155"/>
      <c r="I5337" s="171"/>
    </row>
    <row r="5338" spans="2:9" ht="14" x14ac:dyDescent="0.15">
      <c r="B5338" s="102"/>
      <c r="C5338" s="11"/>
      <c r="D5338" s="1"/>
      <c r="E5338" s="155"/>
      <c r="F5338" s="155"/>
      <c r="G5338" s="155"/>
      <c r="H5338" s="155"/>
      <c r="I5338" s="171"/>
    </row>
    <row r="5339" spans="2:9" ht="14" x14ac:dyDescent="0.15">
      <c r="B5339" s="83"/>
      <c r="C5339" s="11"/>
      <c r="D5339" s="1"/>
      <c r="E5339" s="155"/>
      <c r="F5339" s="155"/>
      <c r="G5339" s="155"/>
      <c r="H5339" s="155"/>
      <c r="I5339" s="171"/>
    </row>
    <row r="5340" spans="2:9" x14ac:dyDescent="0.15">
      <c r="B5340" s="11"/>
      <c r="C5340" s="11"/>
      <c r="D5340" s="1"/>
      <c r="E5340" s="155"/>
      <c r="F5340" s="155"/>
      <c r="G5340" s="155"/>
      <c r="H5340" s="155"/>
      <c r="I5340" s="171"/>
    </row>
    <row r="5341" spans="2:9" x14ac:dyDescent="0.15">
      <c r="B5341" s="11"/>
      <c r="C5341" s="11"/>
      <c r="D5341" s="1"/>
      <c r="E5341" s="155"/>
      <c r="F5341" s="155"/>
      <c r="G5341" s="155"/>
      <c r="H5341" s="155"/>
      <c r="I5341" s="171"/>
    </row>
    <row r="5342" spans="2:9" x14ac:dyDescent="0.15">
      <c r="B5342" s="11"/>
      <c r="C5342" s="11"/>
      <c r="D5342" s="1"/>
      <c r="E5342" s="155"/>
      <c r="F5342" s="155"/>
      <c r="G5342" s="155"/>
      <c r="H5342" s="155"/>
      <c r="I5342" s="171"/>
    </row>
    <row r="5345" spans="2:10" ht="14" x14ac:dyDescent="0.15">
      <c r="B5345" s="102"/>
      <c r="C5345" s="83"/>
      <c r="D5345" s="84"/>
      <c r="E5345" s="83"/>
      <c r="F5345" s="160"/>
      <c r="G5345" s="157"/>
      <c r="H5345" s="83"/>
      <c r="I5345" s="83"/>
      <c r="J5345" s="85"/>
    </row>
    <row r="5346" spans="2:10" ht="14" x14ac:dyDescent="0.15">
      <c r="B5346" s="102"/>
      <c r="C5346" s="83"/>
      <c r="D5346" s="84"/>
      <c r="E5346" s="83"/>
      <c r="F5346" s="160"/>
      <c r="G5346" s="157"/>
      <c r="H5346" s="83"/>
      <c r="I5346" s="83"/>
      <c r="J5346" s="85"/>
    </row>
    <row r="5347" spans="2:10" ht="14" x14ac:dyDescent="0.15">
      <c r="B5347" s="83"/>
      <c r="C5347" s="83"/>
      <c r="D5347" s="84"/>
      <c r="E5347" s="83"/>
      <c r="F5347" s="156"/>
      <c r="G5347" s="157"/>
      <c r="H5347" s="158"/>
      <c r="I5347" s="159"/>
      <c r="J5347" s="85"/>
    </row>
    <row r="5348" spans="2:10" ht="14" x14ac:dyDescent="0.15">
      <c r="B5348" s="83"/>
      <c r="C5348" s="11"/>
      <c r="D5348" s="11"/>
      <c r="E5348" s="11"/>
      <c r="F5348" s="938"/>
      <c r="G5348" s="938"/>
      <c r="H5348" s="938"/>
      <c r="I5348" s="938"/>
    </row>
    <row r="5349" spans="2:10" ht="14" thickBot="1" x14ac:dyDescent="0.2">
      <c r="B5349" s="11"/>
      <c r="C5349" s="11"/>
      <c r="D5349" s="1"/>
      <c r="E5349" s="155"/>
      <c r="F5349" s="155"/>
      <c r="G5349" s="155"/>
      <c r="H5349" s="155"/>
      <c r="I5349" s="171"/>
    </row>
    <row r="5350" spans="2:10" ht="21" customHeight="1" x14ac:dyDescent="0.15">
      <c r="B5350" s="885" t="s">
        <v>874</v>
      </c>
      <c r="C5350" s="886"/>
      <c r="D5350" s="886"/>
      <c r="E5350" s="886"/>
      <c r="F5350" s="887"/>
      <c r="G5350" s="1"/>
      <c r="H5350" s="879" t="s">
        <v>20</v>
      </c>
      <c r="I5350" s="880"/>
    </row>
    <row r="5351" spans="2:10" ht="16.5" customHeight="1" x14ac:dyDescent="0.15">
      <c r="B5351" s="888" t="s">
        <v>875</v>
      </c>
      <c r="C5351" s="889"/>
      <c r="D5351" s="889"/>
      <c r="E5351" s="889"/>
      <c r="F5351" s="890"/>
      <c r="G5351" s="63"/>
      <c r="H5351" s="881"/>
      <c r="I5351" s="882"/>
    </row>
    <row r="5352" spans="2:10" ht="12.75" customHeight="1" x14ac:dyDescent="0.15">
      <c r="B5352" s="906" t="s">
        <v>876</v>
      </c>
      <c r="C5352" s="907"/>
      <c r="D5352" s="907"/>
      <c r="E5352" s="907"/>
      <c r="F5352" s="908"/>
      <c r="G5352" s="63"/>
      <c r="H5352" s="883"/>
      <c r="I5352" s="884"/>
    </row>
    <row r="5353" spans="2:10" ht="16.5" customHeight="1" thickBot="1" x14ac:dyDescent="0.2">
      <c r="B5353" s="909"/>
      <c r="C5353" s="910"/>
      <c r="D5353" s="910"/>
      <c r="E5353" s="910"/>
      <c r="F5353" s="911"/>
      <c r="G5353" s="1"/>
      <c r="H5353" s="956" t="s">
        <v>1377</v>
      </c>
      <c r="I5353" s="957"/>
    </row>
    <row r="5354" spans="2:10" ht="13.5" customHeight="1" thickBot="1" x14ac:dyDescent="0.2">
      <c r="B5354" s="37"/>
      <c r="C5354" s="61"/>
      <c r="D5354" s="1"/>
      <c r="E5354" s="1"/>
      <c r="F5354" s="1"/>
      <c r="G5354" s="1"/>
      <c r="H5354" s="958"/>
      <c r="I5354" s="959"/>
    </row>
    <row r="5355" spans="2:10" ht="12.75" customHeight="1" x14ac:dyDescent="0.15">
      <c r="B5355" s="947" t="s">
        <v>836</v>
      </c>
      <c r="C5355" s="948"/>
      <c r="D5355" s="948"/>
      <c r="E5355" s="948"/>
      <c r="F5355" s="949"/>
      <c r="G5355" s="1"/>
      <c r="H5355" s="958"/>
      <c r="I5355" s="959"/>
    </row>
    <row r="5356" spans="2:10" ht="12.75" customHeight="1" x14ac:dyDescent="0.15">
      <c r="B5356" s="950"/>
      <c r="C5356" s="951"/>
      <c r="D5356" s="951"/>
      <c r="E5356" s="951"/>
      <c r="F5356" s="952"/>
      <c r="G5356" s="1"/>
      <c r="H5356" s="958"/>
      <c r="I5356" s="959"/>
    </row>
    <row r="5357" spans="2:10" ht="12.75" customHeight="1" x14ac:dyDescent="0.15">
      <c r="B5357" s="950"/>
      <c r="C5357" s="951"/>
      <c r="D5357" s="951"/>
      <c r="E5357" s="951"/>
      <c r="F5357" s="952"/>
      <c r="H5357" s="958"/>
      <c r="I5357" s="959"/>
    </row>
    <row r="5358" spans="2:10" ht="13.5" customHeight="1" x14ac:dyDescent="0.15">
      <c r="B5358" s="950"/>
      <c r="C5358" s="951"/>
      <c r="D5358" s="951"/>
      <c r="E5358" s="951"/>
      <c r="F5358" s="952"/>
      <c r="G5358" s="11"/>
      <c r="H5358" s="960"/>
      <c r="I5358" s="961"/>
    </row>
    <row r="5359" spans="2:10" ht="21.75" customHeight="1" thickBot="1" x14ac:dyDescent="0.2">
      <c r="B5359" s="953"/>
      <c r="C5359" s="954"/>
      <c r="D5359" s="954"/>
      <c r="E5359" s="954"/>
      <c r="F5359" s="955"/>
      <c r="H5359" s="64" t="s">
        <v>45</v>
      </c>
      <c r="I5359" s="17" t="s">
        <v>5</v>
      </c>
    </row>
    <row r="5360" spans="2:10" ht="13.5" customHeight="1" x14ac:dyDescent="0.15">
      <c r="B5360" s="379"/>
      <c r="C5360" s="379"/>
      <c r="D5360" s="379"/>
      <c r="E5360" s="379"/>
      <c r="F5360" s="379"/>
      <c r="G5360" s="18"/>
      <c r="H5360" s="18"/>
      <c r="I5360" s="1"/>
    </row>
    <row r="5361" spans="2:9" ht="13.5" customHeight="1" thickBot="1" x14ac:dyDescent="0.2">
      <c r="B5361" s="12" t="s">
        <v>21</v>
      </c>
      <c r="C5361" s="12"/>
      <c r="D5361" s="1"/>
      <c r="E5361" s="1"/>
      <c r="F5361" s="1"/>
      <c r="G5361" s="1"/>
      <c r="H5361" s="1"/>
      <c r="I5361" s="1"/>
    </row>
    <row r="5362" spans="2:9" x14ac:dyDescent="0.15">
      <c r="B5362" s="903" t="s">
        <v>22</v>
      </c>
      <c r="C5362" s="904"/>
      <c r="D5362" s="905"/>
      <c r="E5362" s="209" t="s">
        <v>23</v>
      </c>
      <c r="F5362" s="19" t="s">
        <v>47</v>
      </c>
      <c r="G5362" s="209" t="s">
        <v>24</v>
      </c>
      <c r="H5362" s="208" t="s">
        <v>25</v>
      </c>
      <c r="I5362" s="43"/>
    </row>
    <row r="5363" spans="2:9" x14ac:dyDescent="0.15">
      <c r="B5363" s="897" t="s">
        <v>56</v>
      </c>
      <c r="C5363" s="898"/>
      <c r="D5363" s="899"/>
      <c r="E5363" s="5"/>
      <c r="F5363" s="162"/>
      <c r="G5363" s="673"/>
      <c r="H5363" s="162">
        <f>I5385*0.05</f>
        <v>2180.2046875000001</v>
      </c>
      <c r="I5363" s="44"/>
    </row>
    <row r="5364" spans="2:9" x14ac:dyDescent="0.15">
      <c r="B5364" s="897"/>
      <c r="C5364" s="898"/>
      <c r="D5364" s="899"/>
      <c r="E5364" s="5"/>
      <c r="F5364" s="46"/>
      <c r="G5364" s="20"/>
      <c r="H5364" s="56"/>
      <c r="I5364" s="44"/>
    </row>
    <row r="5365" spans="2:9" ht="14" thickBot="1" x14ac:dyDescent="0.2">
      <c r="B5365" s="900"/>
      <c r="C5365" s="901"/>
      <c r="D5365" s="902"/>
      <c r="E5365" s="21"/>
      <c r="F5365" s="22"/>
      <c r="G5365" s="23"/>
      <c r="H5365" s="47"/>
      <c r="I5365" s="48"/>
    </row>
    <row r="5366" spans="2:9" ht="14" thickBot="1" x14ac:dyDescent="0.2">
      <c r="B5366" s="1"/>
      <c r="C5366" s="1"/>
      <c r="D5366" s="1"/>
      <c r="E5366" s="1"/>
      <c r="F5366" s="1"/>
      <c r="G5366" s="1"/>
      <c r="H5366" s="37" t="s">
        <v>26</v>
      </c>
      <c r="I5366" s="163">
        <f>SUM(H5363:H5365)</f>
        <v>2180.2046875000001</v>
      </c>
    </row>
    <row r="5367" spans="2:9" ht="14" thickBot="1" x14ac:dyDescent="0.2">
      <c r="B5367" s="12" t="s">
        <v>27</v>
      </c>
      <c r="C5367" s="12"/>
      <c r="D5367" s="1"/>
      <c r="E5367" s="1"/>
      <c r="F5367" s="1"/>
      <c r="G5367" s="1"/>
      <c r="H5367" s="1"/>
      <c r="I5367" s="1"/>
    </row>
    <row r="5368" spans="2:9" x14ac:dyDescent="0.15">
      <c r="B5368" s="903" t="s">
        <v>22</v>
      </c>
      <c r="C5368" s="904"/>
      <c r="D5368" s="905"/>
      <c r="E5368" s="209" t="s">
        <v>28</v>
      </c>
      <c r="F5368" s="209" t="s">
        <v>29</v>
      </c>
      <c r="G5368" s="209" t="s">
        <v>30</v>
      </c>
      <c r="H5368" s="59" t="s">
        <v>25</v>
      </c>
      <c r="I5368" s="43"/>
    </row>
    <row r="5369" spans="2:9" x14ac:dyDescent="0.15">
      <c r="B5369" s="4" t="s">
        <v>1105</v>
      </c>
      <c r="C5369" s="24"/>
      <c r="D5369" s="6"/>
      <c r="E5369" s="5" t="s">
        <v>103</v>
      </c>
      <c r="F5369" s="166">
        <f>MATERIALES!C184</f>
        <v>94365</v>
      </c>
      <c r="G5369" s="65">
        <v>0.1</v>
      </c>
      <c r="H5369" s="169">
        <f>G5369*F5369</f>
        <v>9436.5</v>
      </c>
      <c r="I5369" s="44"/>
    </row>
    <row r="5370" spans="2:9" x14ac:dyDescent="0.15">
      <c r="B5370" s="107" t="s">
        <v>1106</v>
      </c>
      <c r="C5370" s="415"/>
      <c r="D5370" s="66"/>
      <c r="E5370" s="5" t="s">
        <v>44</v>
      </c>
      <c r="F5370" s="162">
        <f>MATERIALES!C185</f>
        <v>48465</v>
      </c>
      <c r="G5370" s="65">
        <v>0.1</v>
      </c>
      <c r="H5370" s="169">
        <f t="shared" ref="H5370:H5372" si="33">G5370*F5370</f>
        <v>4846.5</v>
      </c>
      <c r="I5370" s="44"/>
    </row>
    <row r="5371" spans="2:9" x14ac:dyDescent="0.15">
      <c r="B5371" s="107" t="s">
        <v>1107</v>
      </c>
      <c r="C5371" s="415"/>
      <c r="D5371" s="66"/>
      <c r="E5371" s="5" t="s">
        <v>6</v>
      </c>
      <c r="F5371" s="162">
        <f>'APU -BASICOS'!H153</f>
        <v>643337</v>
      </c>
      <c r="G5371" s="65">
        <f>1*1*0.02</f>
        <v>0.02</v>
      </c>
      <c r="H5371" s="169">
        <f t="shared" si="33"/>
        <v>12866.74</v>
      </c>
      <c r="I5371" s="44"/>
    </row>
    <row r="5372" spans="2:9" ht="14" thickBot="1" x14ac:dyDescent="0.2">
      <c r="B5372" s="33" t="s">
        <v>161</v>
      </c>
      <c r="C5372" s="34"/>
      <c r="D5372" s="54"/>
      <c r="E5372" s="21" t="s">
        <v>62</v>
      </c>
      <c r="F5372" s="167">
        <f>SUM(H5368:H5370)</f>
        <v>14283</v>
      </c>
      <c r="G5372" s="23">
        <v>0.05</v>
      </c>
      <c r="H5372" s="211">
        <f t="shared" si="33"/>
        <v>714.15000000000009</v>
      </c>
      <c r="I5372" s="48"/>
    </row>
    <row r="5373" spans="2:9" ht="14" thickBot="1" x14ac:dyDescent="0.2">
      <c r="B5373" s="1"/>
      <c r="C5373" s="1"/>
      <c r="D5373" s="1"/>
      <c r="E5373" s="1"/>
      <c r="F5373" s="1"/>
      <c r="G5373" s="1"/>
      <c r="H5373" s="37" t="s">
        <v>26</v>
      </c>
      <c r="I5373" s="177">
        <f>SUM(H5369:H5372)</f>
        <v>27863.89</v>
      </c>
    </row>
    <row r="5374" spans="2:9" ht="14" thickBot="1" x14ac:dyDescent="0.2">
      <c r="B5374" s="28" t="s">
        <v>31</v>
      </c>
      <c r="C5374" s="28"/>
      <c r="D5374" s="26"/>
      <c r="E5374" s="1"/>
      <c r="F5374" s="1"/>
      <c r="G5374" s="1"/>
      <c r="H5374" s="1"/>
      <c r="I5374" s="1"/>
    </row>
    <row r="5375" spans="2:9" x14ac:dyDescent="0.15">
      <c r="B5375" s="51" t="s">
        <v>32</v>
      </c>
      <c r="C5375" s="52"/>
      <c r="D5375" s="97" t="s">
        <v>33</v>
      </c>
      <c r="E5375" s="209" t="s">
        <v>34</v>
      </c>
      <c r="F5375" s="209" t="s">
        <v>35</v>
      </c>
      <c r="G5375" s="209" t="s">
        <v>36</v>
      </c>
      <c r="H5375" s="59" t="s">
        <v>25</v>
      </c>
      <c r="I5375" s="43"/>
    </row>
    <row r="5376" spans="2:9" x14ac:dyDescent="0.15">
      <c r="B5376" s="4" t="s">
        <v>79</v>
      </c>
      <c r="C5376" s="6"/>
      <c r="D5376" s="53">
        <v>0.1</v>
      </c>
      <c r="E5376" s="2">
        <v>15</v>
      </c>
      <c r="F5376" s="2">
        <f>E5376*D5376</f>
        <v>1.5</v>
      </c>
      <c r="G5376" s="65">
        <v>1100</v>
      </c>
      <c r="H5376" s="20">
        <f>G5376*F5376</f>
        <v>1650</v>
      </c>
      <c r="I5376" s="44"/>
    </row>
    <row r="5377" spans="2:11" x14ac:dyDescent="0.15">
      <c r="B5377" s="107"/>
      <c r="C5377" s="66"/>
      <c r="D5377" s="67"/>
      <c r="E5377" s="68"/>
      <c r="F5377" s="68"/>
      <c r="G5377" s="69"/>
      <c r="H5377" s="65"/>
      <c r="I5377" s="44"/>
    </row>
    <row r="5378" spans="2:11" ht="14" thickBot="1" x14ac:dyDescent="0.2">
      <c r="B5378" s="33"/>
      <c r="C5378" s="54"/>
      <c r="D5378" s="21"/>
      <c r="E5378" s="22"/>
      <c r="F5378" s="23"/>
      <c r="G5378" s="47"/>
      <c r="H5378" s="21"/>
      <c r="I5378" s="48"/>
    </row>
    <row r="5379" spans="2:11" ht="14" thickBot="1" x14ac:dyDescent="0.2">
      <c r="B5379" s="1"/>
      <c r="C5379" s="1"/>
      <c r="D5379" s="1"/>
      <c r="E5379" s="1"/>
      <c r="F5379" s="1"/>
      <c r="G5379" s="1"/>
      <c r="H5379" s="37" t="s">
        <v>26</v>
      </c>
      <c r="I5379" s="163">
        <f>SUM(H5376:H5378)</f>
        <v>1650</v>
      </c>
    </row>
    <row r="5380" spans="2:11" ht="14" thickBot="1" x14ac:dyDescent="0.2">
      <c r="B5380" s="28" t="s">
        <v>37</v>
      </c>
      <c r="C5380" s="28"/>
      <c r="D5380" s="1"/>
      <c r="E5380" s="1"/>
      <c r="F5380" s="1"/>
      <c r="G5380" s="1"/>
      <c r="H5380" s="1"/>
      <c r="I5380" s="1"/>
    </row>
    <row r="5381" spans="2:11" x14ac:dyDescent="0.15">
      <c r="B5381" s="51" t="s">
        <v>38</v>
      </c>
      <c r="C5381" s="86"/>
      <c r="D5381" s="31" t="s">
        <v>39</v>
      </c>
      <c r="E5381" s="209" t="s">
        <v>40</v>
      </c>
      <c r="F5381" s="19" t="s">
        <v>41</v>
      </c>
      <c r="G5381" s="31" t="s">
        <v>24</v>
      </c>
      <c r="H5381" s="208" t="s">
        <v>25</v>
      </c>
      <c r="I5381" s="43"/>
    </row>
    <row r="5382" spans="2:11" x14ac:dyDescent="0.15">
      <c r="B5382" s="4" t="s">
        <v>65</v>
      </c>
      <c r="C5382" s="24"/>
      <c r="D5382" s="32">
        <f>'MANO DE OBRA'!E15</f>
        <v>95333</v>
      </c>
      <c r="E5382" s="168">
        <v>1.75</v>
      </c>
      <c r="F5382" s="164">
        <f>+E5382*D5382</f>
        <v>166832.75</v>
      </c>
      <c r="G5382" s="20">
        <v>8</v>
      </c>
      <c r="H5382" s="169">
        <f>+F5382/G5382</f>
        <v>20854.09375</v>
      </c>
      <c r="I5382" s="44"/>
    </row>
    <row r="5383" spans="2:11" x14ac:dyDescent="0.15">
      <c r="B5383" s="4" t="s">
        <v>55</v>
      </c>
      <c r="C5383" s="24"/>
      <c r="D5383" s="32">
        <f>'MANO DE OBRA'!E14*2</f>
        <v>104000</v>
      </c>
      <c r="E5383" s="168">
        <v>1.75</v>
      </c>
      <c r="F5383" s="164">
        <f>+E5383*D5383</f>
        <v>182000</v>
      </c>
      <c r="G5383" s="20">
        <v>8</v>
      </c>
      <c r="H5383" s="169">
        <f>+F5383/G5383</f>
        <v>22750</v>
      </c>
      <c r="I5383" s="44"/>
    </row>
    <row r="5384" spans="2:11" ht="14" thickBot="1" x14ac:dyDescent="0.2">
      <c r="B5384" s="33"/>
      <c r="C5384" s="34"/>
      <c r="D5384" s="22"/>
      <c r="E5384" s="21"/>
      <c r="F5384" s="22"/>
      <c r="G5384" s="23"/>
      <c r="H5384" s="47"/>
      <c r="I5384" s="48"/>
      <c r="K5384" s="106"/>
    </row>
    <row r="5385" spans="2:11" ht="14" thickBot="1" x14ac:dyDescent="0.2">
      <c r="B5385" s="1"/>
      <c r="C5385" s="1"/>
      <c r="D5385" s="1"/>
      <c r="E5385" s="1"/>
      <c r="F5385" s="1"/>
      <c r="G5385" s="1"/>
      <c r="H5385" s="37" t="s">
        <v>26</v>
      </c>
      <c r="I5385" s="177">
        <f>SUM(H5382:H5384)</f>
        <v>43604.09375</v>
      </c>
      <c r="K5385" s="106"/>
    </row>
    <row r="5386" spans="2:11" ht="14" thickBot="1" x14ac:dyDescent="0.2">
      <c r="B5386" s="1"/>
      <c r="C5386" s="1"/>
      <c r="D5386" s="1"/>
      <c r="E5386" s="1"/>
      <c r="F5386" s="1"/>
      <c r="G5386" s="1"/>
      <c r="H5386" s="61"/>
      <c r="I5386" s="1"/>
    </row>
    <row r="5387" spans="2:11" ht="15" thickBot="1" x14ac:dyDescent="0.2">
      <c r="B5387" s="1"/>
      <c r="C5387" s="1"/>
      <c r="D5387" s="1"/>
      <c r="E5387" s="1"/>
      <c r="F5387" s="35" t="s">
        <v>43</v>
      </c>
      <c r="G5387" s="16"/>
      <c r="H5387" s="16"/>
      <c r="I5387" s="232">
        <f>ROUND((I5366+I5373+I5379+I5385),0)</f>
        <v>75298</v>
      </c>
    </row>
    <row r="5388" spans="2:11" x14ac:dyDescent="0.15">
      <c r="B5388" s="12"/>
      <c r="C5388" s="12"/>
      <c r="D5388" s="1"/>
      <c r="E5388" s="1"/>
      <c r="F5388" s="1"/>
      <c r="G5388" s="1"/>
      <c r="H5388" s="172"/>
      <c r="I5388" s="172"/>
    </row>
    <row r="5389" spans="2:11" x14ac:dyDescent="0.15">
      <c r="B5389" s="16"/>
      <c r="C5389" s="16"/>
      <c r="D5389" s="16"/>
      <c r="E5389" s="16"/>
      <c r="F5389" s="16"/>
      <c r="G5389" s="61"/>
      <c r="H5389" s="173"/>
      <c r="I5389" s="172"/>
    </row>
    <row r="5390" spans="2:11" x14ac:dyDescent="0.15">
      <c r="B5390" s="1"/>
      <c r="C5390" s="1"/>
      <c r="D5390" s="1"/>
      <c r="E5390" s="1"/>
      <c r="F5390" s="1"/>
      <c r="G5390" s="161"/>
      <c r="H5390" s="172"/>
      <c r="I5390" s="172"/>
    </row>
    <row r="5391" spans="2:11" x14ac:dyDescent="0.15">
      <c r="B5391" s="1"/>
      <c r="C5391" s="1"/>
      <c r="D5391" s="1"/>
      <c r="E5391" s="1"/>
      <c r="F5391" s="1"/>
      <c r="G5391" s="161"/>
      <c r="H5391" s="172"/>
      <c r="I5391" s="172"/>
    </row>
    <row r="5392" spans="2:11" x14ac:dyDescent="0.15">
      <c r="B5392" s="1"/>
      <c r="C5392" s="1"/>
      <c r="D5392" s="1"/>
      <c r="E5392" s="1"/>
      <c r="F5392" s="1"/>
      <c r="G5392" s="161"/>
      <c r="H5392" s="172"/>
      <c r="I5392" s="172"/>
    </row>
    <row r="5393" spans="1:10" x14ac:dyDescent="0.15">
      <c r="B5393" s="1"/>
      <c r="C5393" s="1"/>
      <c r="D5393" s="1"/>
      <c r="E5393" s="1"/>
      <c r="F5393" s="1"/>
      <c r="G5393" s="1"/>
      <c r="H5393" s="37"/>
      <c r="I5393" s="172"/>
    </row>
    <row r="5394" spans="1:10" ht="14" x14ac:dyDescent="0.15">
      <c r="B5394" s="102"/>
      <c r="C5394" s="1"/>
      <c r="D5394" s="1"/>
      <c r="E5394" s="1"/>
      <c r="F5394" s="1"/>
      <c r="G5394" s="1"/>
      <c r="H5394" s="1"/>
      <c r="I5394" s="172"/>
    </row>
    <row r="5395" spans="1:10" ht="14" x14ac:dyDescent="0.15">
      <c r="B5395" s="83"/>
      <c r="C5395" s="11"/>
      <c r="D5395" s="1"/>
      <c r="E5395" s="916"/>
      <c r="F5395" s="916"/>
      <c r="G5395" s="916"/>
      <c r="H5395" s="916"/>
      <c r="I5395" s="171"/>
    </row>
    <row r="5396" spans="1:10" ht="14" x14ac:dyDescent="0.15">
      <c r="B5396" s="102"/>
      <c r="C5396" s="11"/>
      <c r="D5396" s="1"/>
      <c r="E5396" s="155"/>
      <c r="F5396" s="155"/>
      <c r="G5396" s="155"/>
      <c r="H5396" s="155"/>
      <c r="I5396" s="171"/>
    </row>
    <row r="5397" spans="1:10" ht="14" x14ac:dyDescent="0.15">
      <c r="B5397" s="83"/>
      <c r="C5397" s="11"/>
      <c r="D5397" s="1"/>
      <c r="E5397" s="155"/>
      <c r="F5397" s="155"/>
      <c r="G5397" s="155"/>
      <c r="H5397" s="155"/>
      <c r="I5397" s="171"/>
    </row>
    <row r="5398" spans="1:10" x14ac:dyDescent="0.15">
      <c r="B5398" s="11"/>
      <c r="C5398" s="11"/>
      <c r="D5398" s="1"/>
      <c r="E5398" s="155"/>
      <c r="F5398" s="155"/>
      <c r="G5398" s="155"/>
      <c r="H5398" s="155"/>
      <c r="I5398" s="171"/>
    </row>
    <row r="5399" spans="1:10" x14ac:dyDescent="0.15">
      <c r="B5399" s="11"/>
      <c r="C5399" s="11"/>
      <c r="D5399" s="1"/>
      <c r="E5399" s="155"/>
      <c r="F5399" s="155"/>
      <c r="G5399" s="155"/>
      <c r="H5399" s="155"/>
      <c r="I5399" s="171"/>
    </row>
    <row r="5400" spans="1:10" x14ac:dyDescent="0.15">
      <c r="B5400" s="11"/>
      <c r="C5400" s="11"/>
      <c r="D5400" s="1"/>
      <c r="E5400" s="155"/>
      <c r="F5400" s="155"/>
      <c r="G5400" s="155"/>
      <c r="H5400" s="155"/>
      <c r="I5400" s="171"/>
    </row>
    <row r="5401" spans="1:10" x14ac:dyDescent="0.15">
      <c r="B5401" s="11"/>
      <c r="C5401" s="11"/>
      <c r="D5401" s="1"/>
      <c r="E5401" s="155"/>
      <c r="F5401" s="155"/>
      <c r="G5401" s="155"/>
      <c r="H5401" s="155"/>
      <c r="I5401" s="171"/>
    </row>
    <row r="5402" spans="1:10" ht="14" x14ac:dyDescent="0.15">
      <c r="A5402" s="85"/>
      <c r="B5402" s="83"/>
      <c r="C5402" s="83"/>
      <c r="D5402" s="84"/>
      <c r="E5402" s="83"/>
      <c r="F5402" s="156"/>
      <c r="G5402" s="157"/>
      <c r="H5402" s="158"/>
      <c r="I5402" s="159"/>
      <c r="J5402" s="85"/>
    </row>
    <row r="5403" spans="1:10" ht="14" x14ac:dyDescent="0.15">
      <c r="B5403" s="83"/>
      <c r="C5403" s="11"/>
      <c r="D5403" s="11"/>
      <c r="E5403" s="11"/>
      <c r="F5403" s="938"/>
      <c r="G5403" s="938"/>
      <c r="H5403" s="938"/>
      <c r="I5403" s="938"/>
    </row>
    <row r="5404" spans="1:10" x14ac:dyDescent="0.15">
      <c r="B5404" s="11"/>
      <c r="C5404" s="11"/>
      <c r="D5404" s="1"/>
      <c r="E5404" s="155"/>
      <c r="F5404" s="155"/>
      <c r="G5404" s="155"/>
      <c r="H5404" s="155"/>
      <c r="I5404" s="171"/>
    </row>
    <row r="5405" spans="1:10" ht="14" thickBot="1" x14ac:dyDescent="0.2">
      <c r="B5405" s="11"/>
      <c r="C5405" s="11"/>
      <c r="D5405" s="1"/>
      <c r="E5405" s="155"/>
      <c r="F5405" s="155"/>
      <c r="G5405" s="155"/>
      <c r="H5405" s="155"/>
      <c r="I5405" s="171"/>
    </row>
    <row r="5406" spans="1:10" ht="21" customHeight="1" x14ac:dyDescent="0.15">
      <c r="B5406" s="885" t="s">
        <v>874</v>
      </c>
      <c r="C5406" s="886"/>
      <c r="D5406" s="886"/>
      <c r="E5406" s="886"/>
      <c r="F5406" s="887"/>
      <c r="G5406" s="1"/>
      <c r="H5406" s="879" t="s">
        <v>20</v>
      </c>
      <c r="I5406" s="880"/>
    </row>
    <row r="5407" spans="1:10" ht="16.5" customHeight="1" x14ac:dyDescent="0.15">
      <c r="B5407" s="888" t="s">
        <v>875</v>
      </c>
      <c r="C5407" s="889"/>
      <c r="D5407" s="889"/>
      <c r="E5407" s="889"/>
      <c r="F5407" s="890"/>
      <c r="G5407" s="63"/>
      <c r="H5407" s="881"/>
      <c r="I5407" s="882"/>
    </row>
    <row r="5408" spans="1:10" ht="12.75" customHeight="1" x14ac:dyDescent="0.15">
      <c r="B5408" s="906" t="s">
        <v>876</v>
      </c>
      <c r="C5408" s="907"/>
      <c r="D5408" s="907"/>
      <c r="E5408" s="907"/>
      <c r="F5408" s="908"/>
      <c r="G5408" s="63"/>
      <c r="H5408" s="883"/>
      <c r="I5408" s="884"/>
    </row>
    <row r="5409" spans="2:9" ht="16.5" customHeight="1" thickBot="1" x14ac:dyDescent="0.2">
      <c r="B5409" s="909"/>
      <c r="C5409" s="910"/>
      <c r="D5409" s="910"/>
      <c r="E5409" s="910"/>
      <c r="F5409" s="911"/>
      <c r="G5409" s="1"/>
      <c r="H5409" s="873" t="s">
        <v>1380</v>
      </c>
      <c r="I5409" s="874"/>
    </row>
    <row r="5410" spans="2:9" ht="14" thickBot="1" x14ac:dyDescent="0.2">
      <c r="B5410" s="15"/>
      <c r="C5410" s="16"/>
      <c r="D5410" s="1"/>
      <c r="E5410" s="1"/>
      <c r="F5410" s="1"/>
      <c r="G5410" s="1"/>
      <c r="H5410" s="875"/>
      <c r="I5410" s="876"/>
    </row>
    <row r="5411" spans="2:9" ht="12.75" customHeight="1" x14ac:dyDescent="0.15">
      <c r="B5411" s="922" t="s">
        <v>836</v>
      </c>
      <c r="C5411" s="923"/>
      <c r="D5411" s="923"/>
      <c r="E5411" s="923"/>
      <c r="F5411" s="924"/>
      <c r="G5411" s="1"/>
      <c r="H5411" s="875"/>
      <c r="I5411" s="876"/>
    </row>
    <row r="5412" spans="2:9" ht="12.75" customHeight="1" x14ac:dyDescent="0.15">
      <c r="B5412" s="925"/>
      <c r="C5412" s="926"/>
      <c r="D5412" s="926"/>
      <c r="E5412" s="926"/>
      <c r="F5412" s="927"/>
      <c r="G5412" s="1"/>
      <c r="H5412" s="875"/>
      <c r="I5412" s="876"/>
    </row>
    <row r="5413" spans="2:9" ht="13.5" customHeight="1" x14ac:dyDescent="0.15">
      <c r="B5413" s="925"/>
      <c r="C5413" s="926"/>
      <c r="D5413" s="926"/>
      <c r="E5413" s="926"/>
      <c r="F5413" s="927"/>
      <c r="G5413" s="11"/>
      <c r="H5413" s="877"/>
      <c r="I5413" s="878"/>
    </row>
    <row r="5414" spans="2:9" ht="21.75" customHeight="1" thickBot="1" x14ac:dyDescent="0.2">
      <c r="B5414" s="928"/>
      <c r="C5414" s="929"/>
      <c r="D5414" s="929"/>
      <c r="E5414" s="929"/>
      <c r="F5414" s="930"/>
      <c r="H5414" s="64" t="s">
        <v>45</v>
      </c>
      <c r="I5414" s="17" t="s">
        <v>7</v>
      </c>
    </row>
    <row r="5415" spans="2:9" x14ac:dyDescent="0.15">
      <c r="B5415" s="18"/>
      <c r="C5415" s="18"/>
      <c r="D5415" s="1"/>
      <c r="E5415" s="18"/>
      <c r="F5415" s="18"/>
      <c r="G5415" s="18"/>
      <c r="H5415" s="18"/>
      <c r="I5415" s="1"/>
    </row>
    <row r="5416" spans="2:9" ht="14" thickBot="1" x14ac:dyDescent="0.2">
      <c r="B5416" s="12" t="s">
        <v>21</v>
      </c>
      <c r="C5416" s="12"/>
      <c r="D5416" s="1"/>
      <c r="E5416" s="1"/>
      <c r="F5416" s="1"/>
      <c r="G5416" s="1"/>
      <c r="H5416" s="1"/>
      <c r="I5416" s="1"/>
    </row>
    <row r="5417" spans="2:9" x14ac:dyDescent="0.15">
      <c r="B5417" s="903" t="s">
        <v>22</v>
      </c>
      <c r="C5417" s="904"/>
      <c r="D5417" s="905"/>
      <c r="E5417" s="209" t="s">
        <v>23</v>
      </c>
      <c r="F5417" s="19" t="s">
        <v>47</v>
      </c>
      <c r="G5417" s="209" t="s">
        <v>24</v>
      </c>
      <c r="H5417" s="208" t="s">
        <v>25</v>
      </c>
      <c r="I5417" s="43"/>
    </row>
    <row r="5418" spans="2:9" x14ac:dyDescent="0.15">
      <c r="B5418" s="897" t="s">
        <v>56</v>
      </c>
      <c r="C5418" s="898"/>
      <c r="D5418" s="899"/>
      <c r="E5418" s="5"/>
      <c r="F5418" s="162"/>
      <c r="G5418" s="58"/>
      <c r="H5418" s="162">
        <f>I5440*0.05</f>
        <v>445.52046874999996</v>
      </c>
      <c r="I5418" s="44"/>
    </row>
    <row r="5419" spans="2:9" x14ac:dyDescent="0.15">
      <c r="B5419" s="897"/>
      <c r="C5419" s="898"/>
      <c r="D5419" s="899"/>
      <c r="E5419" s="5"/>
      <c r="F5419" s="162"/>
      <c r="G5419" s="58"/>
      <c r="H5419" s="162"/>
      <c r="I5419" s="44"/>
    </row>
    <row r="5420" spans="2:9" ht="14" thickBot="1" x14ac:dyDescent="0.2">
      <c r="B5420" s="900"/>
      <c r="C5420" s="901"/>
      <c r="D5420" s="902"/>
      <c r="E5420" s="21"/>
      <c r="F5420" s="22"/>
      <c r="G5420" s="23"/>
      <c r="H5420" s="47"/>
      <c r="I5420" s="48"/>
    </row>
    <row r="5421" spans="2:9" ht="14" thickBot="1" x14ac:dyDescent="0.2">
      <c r="B5421" s="1"/>
      <c r="C5421" s="1"/>
      <c r="D5421" s="1"/>
      <c r="E5421" s="1"/>
      <c r="F5421" s="1"/>
      <c r="G5421" s="1"/>
      <c r="H5421" s="37" t="s">
        <v>26</v>
      </c>
      <c r="I5421" s="163">
        <f>SUM(H5418:H5420)</f>
        <v>445.52046874999996</v>
      </c>
    </row>
    <row r="5422" spans="2:9" ht="14" thickBot="1" x14ac:dyDescent="0.2">
      <c r="B5422" s="12" t="s">
        <v>27</v>
      </c>
      <c r="C5422" s="12"/>
      <c r="D5422" s="1"/>
      <c r="E5422" s="1"/>
      <c r="F5422" s="1"/>
      <c r="G5422" s="1"/>
      <c r="H5422" s="1"/>
      <c r="I5422" s="1"/>
    </row>
    <row r="5423" spans="2:9" x14ac:dyDescent="0.15">
      <c r="B5423" s="903" t="s">
        <v>22</v>
      </c>
      <c r="C5423" s="904"/>
      <c r="D5423" s="905"/>
      <c r="E5423" s="209" t="s">
        <v>28</v>
      </c>
      <c r="F5423" s="209" t="s">
        <v>29</v>
      </c>
      <c r="G5423" s="209" t="s">
        <v>30</v>
      </c>
      <c r="H5423" s="208" t="s">
        <v>25</v>
      </c>
      <c r="I5423" s="43"/>
    </row>
    <row r="5424" spans="2:9" x14ac:dyDescent="0.15">
      <c r="B5424" s="4" t="s">
        <v>307</v>
      </c>
      <c r="C5424" s="24"/>
      <c r="D5424" s="6"/>
      <c r="E5424" s="3" t="s">
        <v>193</v>
      </c>
      <c r="F5424" s="164">
        <f>MATERIALES!C121</f>
        <v>27880</v>
      </c>
      <c r="G5424" s="182">
        <v>1</v>
      </c>
      <c r="H5424" s="165">
        <f>G5424*F5424</f>
        <v>27880</v>
      </c>
      <c r="I5424" s="44"/>
    </row>
    <row r="5425" spans="2:11" x14ac:dyDescent="0.15">
      <c r="B5425" s="4" t="s">
        <v>74</v>
      </c>
      <c r="C5425" s="24"/>
      <c r="D5425" s="6"/>
      <c r="E5425" s="3" t="s">
        <v>58</v>
      </c>
      <c r="F5425" s="164">
        <f>MATERIALES!C106</f>
        <v>24500</v>
      </c>
      <c r="G5425" s="65">
        <v>0.05</v>
      </c>
      <c r="H5425" s="165">
        <f t="shared" ref="H5425:H5427" si="34">G5425*F5425</f>
        <v>1225</v>
      </c>
      <c r="I5425" s="44"/>
    </row>
    <row r="5426" spans="2:11" x14ac:dyDescent="0.15">
      <c r="B5426" s="4" t="s">
        <v>119</v>
      </c>
      <c r="C5426" s="24"/>
      <c r="D5426" s="6"/>
      <c r="E5426" s="3" t="s">
        <v>76</v>
      </c>
      <c r="F5426" s="164">
        <f>MATERIALES!C107</f>
        <v>110500</v>
      </c>
      <c r="G5426" s="65">
        <v>0.05</v>
      </c>
      <c r="H5426" s="165">
        <f t="shared" si="34"/>
        <v>5525</v>
      </c>
      <c r="I5426" s="44"/>
    </row>
    <row r="5427" spans="2:11" x14ac:dyDescent="0.15">
      <c r="B5427" s="4" t="s">
        <v>75</v>
      </c>
      <c r="C5427" s="24"/>
      <c r="D5427" s="6"/>
      <c r="E5427" s="3" t="s">
        <v>76</v>
      </c>
      <c r="F5427" s="164">
        <f>MATERIALES!C109</f>
        <v>82420</v>
      </c>
      <c r="G5427" s="65">
        <v>0.02</v>
      </c>
      <c r="H5427" s="165">
        <f t="shared" si="34"/>
        <v>1648.4</v>
      </c>
      <c r="I5427" s="44"/>
    </row>
    <row r="5428" spans="2:11" ht="14" thickBot="1" x14ac:dyDescent="0.2">
      <c r="B5428" s="25"/>
      <c r="C5428" s="26"/>
      <c r="D5428" s="27"/>
      <c r="E5428" s="21"/>
      <c r="F5428" s="22"/>
      <c r="G5428" s="167"/>
      <c r="H5428" s="47"/>
      <c r="I5428" s="48"/>
    </row>
    <row r="5429" spans="2:11" ht="14" thickBot="1" x14ac:dyDescent="0.2">
      <c r="B5429" s="1"/>
      <c r="C5429" s="1"/>
      <c r="D5429" s="1"/>
      <c r="E5429" s="1"/>
      <c r="F5429" s="1"/>
      <c r="G5429" s="1"/>
      <c r="H5429" s="37" t="s">
        <v>26</v>
      </c>
      <c r="I5429" s="163">
        <f>SUM(H5424:H5427)</f>
        <v>36278.400000000001</v>
      </c>
    </row>
    <row r="5430" spans="2:11" ht="14" thickBot="1" x14ac:dyDescent="0.2">
      <c r="B5430" s="28" t="s">
        <v>31</v>
      </c>
      <c r="C5430" s="28"/>
      <c r="D5430" s="26"/>
      <c r="E5430" s="1"/>
      <c r="F5430" s="1"/>
      <c r="G5430" s="1"/>
      <c r="H5430" s="1"/>
      <c r="I5430" s="1"/>
    </row>
    <row r="5431" spans="2:11" x14ac:dyDescent="0.15">
      <c r="B5431" s="51" t="s">
        <v>32</v>
      </c>
      <c r="C5431" s="52"/>
      <c r="D5431" s="97" t="s">
        <v>33</v>
      </c>
      <c r="E5431" s="209" t="s">
        <v>34</v>
      </c>
      <c r="F5431" s="209" t="s">
        <v>35</v>
      </c>
      <c r="G5431" s="209" t="s">
        <v>36</v>
      </c>
      <c r="H5431" s="59" t="s">
        <v>25</v>
      </c>
      <c r="I5431" s="43"/>
    </row>
    <row r="5432" spans="2:11" x14ac:dyDescent="0.15">
      <c r="B5432" s="4" t="s">
        <v>79</v>
      </c>
      <c r="C5432" s="6"/>
      <c r="D5432" s="53">
        <v>0.05</v>
      </c>
      <c r="E5432" s="2">
        <v>43</v>
      </c>
      <c r="F5432" s="2">
        <f>E5432*D5432</f>
        <v>2.15</v>
      </c>
      <c r="G5432" s="58">
        <v>1100</v>
      </c>
      <c r="H5432" s="20">
        <f>G5432*F5432</f>
        <v>2365</v>
      </c>
      <c r="I5432" s="44"/>
    </row>
    <row r="5433" spans="2:11" ht="14" thickBot="1" x14ac:dyDescent="0.2">
      <c r="B5433" s="33"/>
      <c r="C5433" s="54"/>
      <c r="D5433" s="21"/>
      <c r="E5433" s="22"/>
      <c r="F5433" s="23"/>
      <c r="G5433" s="47"/>
      <c r="H5433" s="21"/>
      <c r="I5433" s="48"/>
    </row>
    <row r="5434" spans="2:11" ht="14" thickBot="1" x14ac:dyDescent="0.2">
      <c r="B5434" s="1"/>
      <c r="C5434" s="1"/>
      <c r="D5434" s="1"/>
      <c r="E5434" s="1"/>
      <c r="F5434" s="1"/>
      <c r="G5434" s="1"/>
      <c r="H5434" s="37" t="s">
        <v>26</v>
      </c>
      <c r="I5434" s="163">
        <f>SUM(H5432:H5433)</f>
        <v>2365</v>
      </c>
    </row>
    <row r="5435" spans="2:11" ht="14" thickBot="1" x14ac:dyDescent="0.2">
      <c r="B5435" s="28" t="s">
        <v>37</v>
      </c>
      <c r="C5435" s="28"/>
      <c r="D5435" s="1"/>
      <c r="E5435" s="1"/>
      <c r="F5435" s="1"/>
      <c r="G5435" s="1"/>
      <c r="H5435" s="1"/>
      <c r="I5435" s="1"/>
    </row>
    <row r="5436" spans="2:11" x14ac:dyDescent="0.15">
      <c r="B5436" s="51" t="s">
        <v>38</v>
      </c>
      <c r="C5436" s="86"/>
      <c r="D5436" s="31" t="s">
        <v>39</v>
      </c>
      <c r="E5436" s="209" t="s">
        <v>40</v>
      </c>
      <c r="F5436" s="19" t="s">
        <v>41</v>
      </c>
      <c r="G5436" s="31" t="s">
        <v>24</v>
      </c>
      <c r="H5436" s="208" t="s">
        <v>25</v>
      </c>
      <c r="I5436" s="43"/>
    </row>
    <row r="5437" spans="2:11" x14ac:dyDescent="0.15">
      <c r="B5437" s="4" t="s">
        <v>949</v>
      </c>
      <c r="C5437" s="24"/>
      <c r="D5437" s="32">
        <f>'MANO DE OBRA'!E17</f>
        <v>95333</v>
      </c>
      <c r="E5437" s="88">
        <v>1.75</v>
      </c>
      <c r="F5437" s="164">
        <f>+E5437*D5437</f>
        <v>166832.75</v>
      </c>
      <c r="G5437" s="20">
        <v>80</v>
      </c>
      <c r="H5437" s="169">
        <f>+F5437/G5437</f>
        <v>2085.4093750000002</v>
      </c>
      <c r="I5437" s="44"/>
      <c r="K5437" s="106"/>
    </row>
    <row r="5438" spans="2:11" x14ac:dyDescent="0.15">
      <c r="B5438" s="4" t="s">
        <v>94</v>
      </c>
      <c r="C5438" s="24"/>
      <c r="D5438" s="32">
        <f>'MANO DE OBRA'!E14*6</f>
        <v>312000</v>
      </c>
      <c r="E5438" s="88">
        <v>1.75</v>
      </c>
      <c r="F5438" s="164">
        <f>+E5438*D5438</f>
        <v>546000</v>
      </c>
      <c r="G5438" s="20">
        <v>80</v>
      </c>
      <c r="H5438" s="169">
        <f>+F5438/G5438</f>
        <v>6825</v>
      </c>
      <c r="I5438" s="44"/>
    </row>
    <row r="5439" spans="2:11" ht="14" thickBot="1" x14ac:dyDescent="0.2">
      <c r="B5439" s="33"/>
      <c r="C5439" s="34"/>
      <c r="D5439" s="22"/>
      <c r="E5439" s="21"/>
      <c r="F5439" s="22"/>
      <c r="G5439" s="23"/>
      <c r="H5439" s="47"/>
      <c r="I5439" s="48"/>
    </row>
    <row r="5440" spans="2:11" ht="14" thickBot="1" x14ac:dyDescent="0.2">
      <c r="B5440" s="1"/>
      <c r="C5440" s="1"/>
      <c r="D5440" s="1"/>
      <c r="E5440" s="1"/>
      <c r="F5440" s="1"/>
      <c r="G5440" s="1"/>
      <c r="H5440" s="37" t="s">
        <v>26</v>
      </c>
      <c r="I5440" s="177">
        <f>SUM(H5437:H5438)</f>
        <v>8910.4093749999993</v>
      </c>
    </row>
    <row r="5441" spans="2:11" ht="14" thickBot="1" x14ac:dyDescent="0.2">
      <c r="B5441" s="1"/>
      <c r="C5441" s="1"/>
      <c r="D5441" s="1"/>
      <c r="E5441" s="1"/>
      <c r="F5441" s="1"/>
      <c r="G5441" s="1"/>
      <c r="H5441" s="61"/>
      <c r="I5441" s="1"/>
    </row>
    <row r="5442" spans="2:11" ht="15" thickBot="1" x14ac:dyDescent="0.2">
      <c r="B5442" s="1"/>
      <c r="C5442" s="1"/>
      <c r="D5442" s="1"/>
      <c r="E5442" s="1"/>
      <c r="F5442" s="35" t="s">
        <v>43</v>
      </c>
      <c r="G5442" s="16"/>
      <c r="H5442" s="16"/>
      <c r="I5442" s="232">
        <f>ROUND((I5421+I5429+I5434+I5440),0)</f>
        <v>47999</v>
      </c>
    </row>
    <row r="5443" spans="2:11" x14ac:dyDescent="0.15">
      <c r="B5443" s="12"/>
      <c r="C5443" s="12"/>
      <c r="D5443" s="1"/>
      <c r="E5443" s="1"/>
      <c r="F5443" s="1"/>
      <c r="G5443" s="1"/>
      <c r="H5443" s="172"/>
      <c r="I5443" s="172"/>
    </row>
    <row r="5444" spans="2:11" x14ac:dyDescent="0.15">
      <c r="B5444" s="16"/>
      <c r="C5444" s="16"/>
      <c r="D5444" s="16"/>
      <c r="E5444" s="16"/>
      <c r="F5444" s="16"/>
      <c r="G5444" s="61"/>
      <c r="H5444" s="173"/>
      <c r="I5444" s="172"/>
    </row>
    <row r="5445" spans="2:11" x14ac:dyDescent="0.15">
      <c r="B5445" s="1"/>
      <c r="C5445" s="1"/>
      <c r="D5445" s="1"/>
      <c r="E5445" s="1"/>
      <c r="F5445" s="1"/>
      <c r="G5445" s="161"/>
      <c r="H5445" s="172"/>
      <c r="I5445" s="172"/>
      <c r="K5445" s="174"/>
    </row>
    <row r="5446" spans="2:11" x14ac:dyDescent="0.15">
      <c r="B5446" s="1"/>
      <c r="C5446" s="1"/>
      <c r="D5446" s="1"/>
      <c r="E5446" s="1"/>
      <c r="F5446" s="1"/>
      <c r="G5446" s="161"/>
      <c r="H5446" s="172"/>
      <c r="I5446" s="172"/>
    </row>
    <row r="5447" spans="2:11" x14ac:dyDescent="0.15">
      <c r="B5447" s="1"/>
      <c r="C5447" s="1"/>
      <c r="D5447" s="1"/>
      <c r="E5447" s="1"/>
      <c r="F5447" s="1"/>
      <c r="G5447" s="161"/>
      <c r="H5447" s="172"/>
      <c r="I5447" s="172"/>
    </row>
    <row r="5448" spans="2:11" x14ac:dyDescent="0.15">
      <c r="B5448" s="1"/>
      <c r="C5448" s="1"/>
      <c r="D5448" s="1"/>
      <c r="E5448" s="1"/>
      <c r="F5448" s="1"/>
      <c r="G5448" s="161"/>
      <c r="H5448" s="172"/>
      <c r="I5448" s="172"/>
    </row>
    <row r="5449" spans="2:11" x14ac:dyDescent="0.15">
      <c r="B5449" s="1"/>
      <c r="C5449" s="1"/>
      <c r="D5449" s="1"/>
      <c r="E5449" s="1"/>
      <c r="F5449" s="1"/>
      <c r="G5449" s="161"/>
      <c r="H5449" s="172"/>
      <c r="I5449" s="172"/>
    </row>
    <row r="5450" spans="2:11" ht="14" x14ac:dyDescent="0.15">
      <c r="B5450" s="102"/>
      <c r="C5450" s="11"/>
      <c r="D5450" s="1"/>
      <c r="E5450" s="155"/>
      <c r="F5450" s="155"/>
      <c r="G5450" s="155"/>
      <c r="H5450" s="155"/>
      <c r="I5450" s="171"/>
    </row>
    <row r="5451" spans="2:11" ht="14" x14ac:dyDescent="0.15">
      <c r="B5451" s="83"/>
      <c r="C5451" s="11"/>
      <c r="D5451" s="1"/>
      <c r="E5451" s="155"/>
      <c r="F5451" s="155"/>
      <c r="G5451" s="155"/>
      <c r="H5451" s="155"/>
      <c r="I5451" s="171"/>
    </row>
    <row r="5452" spans="2:11" x14ac:dyDescent="0.15">
      <c r="B5452" s="11"/>
      <c r="C5452" s="11"/>
      <c r="D5452" s="1"/>
      <c r="E5452" s="155"/>
      <c r="F5452" s="155"/>
      <c r="G5452" s="155"/>
      <c r="H5452" s="155"/>
      <c r="I5452" s="171"/>
    </row>
    <row r="5453" spans="2:11" x14ac:dyDescent="0.15">
      <c r="B5453" s="11"/>
      <c r="C5453" s="11"/>
      <c r="D5453" s="1"/>
      <c r="E5453" s="155"/>
      <c r="F5453" s="155"/>
      <c r="G5453" s="155"/>
      <c r="H5453" s="155"/>
      <c r="I5453" s="171"/>
    </row>
    <row r="5454" spans="2:11" x14ac:dyDescent="0.15">
      <c r="B5454" s="11"/>
      <c r="C5454" s="11"/>
      <c r="D5454" s="1"/>
      <c r="E5454" s="155"/>
      <c r="F5454" s="155"/>
      <c r="G5454" s="155"/>
      <c r="H5454" s="155"/>
      <c r="I5454" s="171"/>
    </row>
    <row r="5455" spans="2:11" x14ac:dyDescent="0.15">
      <c r="B5455" s="11"/>
      <c r="C5455" s="11"/>
      <c r="D5455" s="1"/>
      <c r="E5455" s="155"/>
      <c r="F5455" s="155"/>
      <c r="G5455" s="155"/>
      <c r="H5455" s="155"/>
      <c r="I5455" s="171"/>
    </row>
    <row r="5456" spans="2:11" x14ac:dyDescent="0.15">
      <c r="B5456" s="11"/>
      <c r="C5456" s="11"/>
      <c r="D5456" s="1"/>
      <c r="E5456" s="155"/>
      <c r="F5456" s="155"/>
      <c r="G5456" s="155"/>
      <c r="H5456" s="155"/>
      <c r="I5456" s="171"/>
    </row>
    <row r="5457" spans="2:10" x14ac:dyDescent="0.15">
      <c r="B5457" s="11"/>
      <c r="C5457" s="11"/>
      <c r="D5457" s="1"/>
      <c r="E5457" s="155"/>
      <c r="F5457" s="155"/>
      <c r="G5457" s="155"/>
      <c r="H5457" s="155"/>
      <c r="I5457" s="171"/>
    </row>
    <row r="5458" spans="2:10" x14ac:dyDescent="0.15">
      <c r="B5458" s="11"/>
      <c r="C5458" s="11"/>
      <c r="D5458" s="1"/>
      <c r="E5458" s="155"/>
      <c r="F5458" s="155"/>
      <c r="G5458" s="155"/>
      <c r="H5458" s="155"/>
      <c r="I5458" s="171"/>
    </row>
    <row r="5459" spans="2:10" x14ac:dyDescent="0.15">
      <c r="B5459" s="11"/>
      <c r="C5459" s="11"/>
      <c r="D5459" s="1"/>
      <c r="E5459" s="155"/>
      <c r="F5459" s="155"/>
      <c r="G5459" s="155"/>
      <c r="H5459" s="155"/>
      <c r="I5459" s="171"/>
    </row>
    <row r="5460" spans="2:10" ht="14" x14ac:dyDescent="0.15">
      <c r="B5460" s="102"/>
      <c r="C5460" s="83"/>
      <c r="D5460" s="84"/>
      <c r="E5460" s="83"/>
      <c r="F5460" s="83"/>
      <c r="G5460" s="103"/>
      <c r="H5460" s="83"/>
      <c r="I5460" s="85"/>
      <c r="J5460" s="85"/>
    </row>
    <row r="5461" spans="2:10" ht="15" thickBot="1" x14ac:dyDescent="0.2">
      <c r="B5461" s="83"/>
      <c r="C5461" s="83"/>
      <c r="D5461" s="84"/>
      <c r="E5461" s="83"/>
      <c r="F5461" s="83"/>
      <c r="G5461" s="104"/>
      <c r="H5461" s="83"/>
      <c r="I5461" s="85"/>
      <c r="J5461" s="85"/>
    </row>
    <row r="5462" spans="2:10" ht="21" customHeight="1" x14ac:dyDescent="0.15">
      <c r="B5462" s="885" t="s">
        <v>527</v>
      </c>
      <c r="C5462" s="886"/>
      <c r="D5462" s="886"/>
      <c r="E5462" s="886"/>
      <c r="F5462" s="887"/>
      <c r="G5462" s="1"/>
      <c r="H5462" s="912" t="s">
        <v>20</v>
      </c>
      <c r="I5462" s="913"/>
    </row>
    <row r="5463" spans="2:10" ht="16.5" customHeight="1" x14ac:dyDescent="0.15">
      <c r="B5463" s="888" t="s">
        <v>528</v>
      </c>
      <c r="C5463" s="889"/>
      <c r="D5463" s="889"/>
      <c r="E5463" s="889"/>
      <c r="F5463" s="890"/>
      <c r="G5463" s="63"/>
      <c r="H5463" s="943"/>
      <c r="I5463" s="944"/>
    </row>
    <row r="5464" spans="2:10" ht="12.75" customHeight="1" x14ac:dyDescent="0.15">
      <c r="B5464" s="906" t="s">
        <v>529</v>
      </c>
      <c r="C5464" s="907"/>
      <c r="D5464" s="907"/>
      <c r="E5464" s="907"/>
      <c r="F5464" s="908"/>
      <c r="G5464" s="63"/>
      <c r="H5464" s="1013" t="s">
        <v>1413</v>
      </c>
      <c r="I5464" s="1014"/>
    </row>
    <row r="5465" spans="2:10" ht="16.5" customHeight="1" thickBot="1" x14ac:dyDescent="0.2">
      <c r="B5465" s="909"/>
      <c r="C5465" s="910"/>
      <c r="D5465" s="910"/>
      <c r="E5465" s="910"/>
      <c r="F5465" s="911"/>
      <c r="G5465" s="1"/>
      <c r="H5465" s="1013"/>
      <c r="I5465" s="1014"/>
    </row>
    <row r="5466" spans="2:10" ht="14" thickBot="1" x14ac:dyDescent="0.2">
      <c r="B5466" s="15"/>
      <c r="C5466" s="16"/>
      <c r="D5466" s="1"/>
      <c r="E5466" s="1"/>
      <c r="F5466" s="1"/>
      <c r="G5466" s="1"/>
      <c r="H5466" s="1013"/>
      <c r="I5466" s="1014"/>
    </row>
    <row r="5467" spans="2:10" ht="12.75" customHeight="1" x14ac:dyDescent="0.15">
      <c r="B5467" s="947" t="s">
        <v>1283</v>
      </c>
      <c r="C5467" s="948"/>
      <c r="D5467" s="948"/>
      <c r="E5467" s="948"/>
      <c r="F5467" s="949"/>
      <c r="G5467" s="1"/>
      <c r="H5467" s="1013"/>
      <c r="I5467" s="1014"/>
    </row>
    <row r="5468" spans="2:10" ht="12.75" customHeight="1" x14ac:dyDescent="0.15">
      <c r="B5468" s="950"/>
      <c r="C5468" s="951"/>
      <c r="D5468" s="951"/>
      <c r="E5468" s="951"/>
      <c r="F5468" s="952"/>
      <c r="G5468" s="1"/>
      <c r="H5468" s="1013"/>
      <c r="I5468" s="1014"/>
    </row>
    <row r="5469" spans="2:10" ht="21" customHeight="1" x14ac:dyDescent="0.15">
      <c r="B5469" s="950"/>
      <c r="C5469" s="951"/>
      <c r="D5469" s="951"/>
      <c r="E5469" s="951"/>
      <c r="F5469" s="952"/>
      <c r="G5469" s="11"/>
      <c r="H5469" s="1013"/>
      <c r="I5469" s="1014"/>
    </row>
    <row r="5470" spans="2:10" ht="21.75" customHeight="1" thickBot="1" x14ac:dyDescent="0.2">
      <c r="B5470" s="953"/>
      <c r="C5470" s="954"/>
      <c r="D5470" s="954"/>
      <c r="E5470" s="954"/>
      <c r="F5470" s="955"/>
      <c r="H5470" s="64" t="s">
        <v>45</v>
      </c>
      <c r="I5470" s="17" t="s">
        <v>7</v>
      </c>
    </row>
    <row r="5471" spans="2:10" x14ac:dyDescent="0.15">
      <c r="B5471" s="18"/>
      <c r="C5471" s="18"/>
      <c r="D5471" s="1"/>
      <c r="E5471" s="18"/>
      <c r="F5471" s="18"/>
      <c r="G5471" s="18"/>
      <c r="H5471" s="18"/>
      <c r="I5471" s="1"/>
    </row>
    <row r="5472" spans="2:10" ht="14" thickBot="1" x14ac:dyDescent="0.2">
      <c r="B5472" s="12" t="s">
        <v>21</v>
      </c>
      <c r="C5472" s="12"/>
      <c r="D5472" s="1"/>
      <c r="E5472" s="1"/>
      <c r="F5472" s="1"/>
      <c r="G5472" s="1"/>
      <c r="H5472" s="1"/>
      <c r="I5472" s="1"/>
    </row>
    <row r="5473" spans="2:11" x14ac:dyDescent="0.15">
      <c r="B5473" s="903" t="s">
        <v>22</v>
      </c>
      <c r="C5473" s="904"/>
      <c r="D5473" s="905"/>
      <c r="E5473" s="209" t="s">
        <v>23</v>
      </c>
      <c r="F5473" s="19" t="s">
        <v>47</v>
      </c>
      <c r="G5473" s="209" t="s">
        <v>24</v>
      </c>
      <c r="H5473" s="208" t="s">
        <v>25</v>
      </c>
      <c r="I5473" s="43"/>
    </row>
    <row r="5474" spans="2:11" x14ac:dyDescent="0.15">
      <c r="B5474" s="897" t="s">
        <v>56</v>
      </c>
      <c r="C5474" s="898"/>
      <c r="D5474" s="899"/>
      <c r="E5474" s="5"/>
      <c r="F5474" s="162"/>
      <c r="G5474" s="58"/>
      <c r="H5474" s="162">
        <f>I5496*0.05</f>
        <v>2491.6625000000004</v>
      </c>
      <c r="I5474" s="44"/>
    </row>
    <row r="5475" spans="2:11" ht="14" thickBot="1" x14ac:dyDescent="0.2">
      <c r="B5475" s="900"/>
      <c r="C5475" s="901"/>
      <c r="D5475" s="902"/>
      <c r="E5475" s="21"/>
      <c r="F5475" s="22"/>
      <c r="G5475" s="23"/>
      <c r="H5475" s="47"/>
      <c r="I5475" s="48"/>
    </row>
    <row r="5476" spans="2:11" ht="14" thickBot="1" x14ac:dyDescent="0.2">
      <c r="B5476" s="1"/>
      <c r="C5476" s="1"/>
      <c r="D5476" s="1"/>
      <c r="E5476" s="1"/>
      <c r="F5476" s="1"/>
      <c r="G5476" s="1"/>
      <c r="H5476" s="37" t="s">
        <v>26</v>
      </c>
      <c r="I5476" s="163">
        <f>SUM(H5474:H5475)</f>
        <v>2491.6625000000004</v>
      </c>
    </row>
    <row r="5477" spans="2:11" ht="14" thickBot="1" x14ac:dyDescent="0.2">
      <c r="B5477" s="12" t="s">
        <v>27</v>
      </c>
      <c r="C5477" s="12"/>
      <c r="D5477" s="1"/>
      <c r="E5477" s="1"/>
      <c r="F5477" s="1"/>
      <c r="G5477" s="1"/>
      <c r="H5477" s="1"/>
      <c r="I5477" s="1"/>
    </row>
    <row r="5478" spans="2:11" x14ac:dyDescent="0.15">
      <c r="B5478" s="903" t="s">
        <v>22</v>
      </c>
      <c r="C5478" s="904"/>
      <c r="D5478" s="905"/>
      <c r="E5478" s="209" t="s">
        <v>28</v>
      </c>
      <c r="F5478" s="209" t="s">
        <v>29</v>
      </c>
      <c r="G5478" s="209" t="s">
        <v>30</v>
      </c>
      <c r="H5478" s="208" t="s">
        <v>25</v>
      </c>
      <c r="I5478" s="43"/>
    </row>
    <row r="5479" spans="2:11" x14ac:dyDescent="0.15">
      <c r="B5479" s="4" t="s">
        <v>1411</v>
      </c>
      <c r="C5479" s="24"/>
      <c r="D5479" s="6"/>
      <c r="E5479" s="3" t="s">
        <v>7</v>
      </c>
      <c r="F5479" s="164">
        <f>MATERIALES!C141</f>
        <v>64066</v>
      </c>
      <c r="G5479" s="65">
        <v>2</v>
      </c>
      <c r="H5479" s="165">
        <f t="shared" ref="H5479:H5482" si="35">G5479*F5479</f>
        <v>128132</v>
      </c>
      <c r="I5479" s="44"/>
    </row>
    <row r="5480" spans="2:11" x14ac:dyDescent="0.15">
      <c r="B5480" s="4" t="s">
        <v>74</v>
      </c>
      <c r="C5480" s="24"/>
      <c r="D5480" s="6"/>
      <c r="E5480" s="3" t="s">
        <v>58</v>
      </c>
      <c r="F5480" s="164">
        <f>MATERIALES!C106</f>
        <v>24500</v>
      </c>
      <c r="G5480" s="65">
        <v>0.1</v>
      </c>
      <c r="H5480" s="165">
        <f t="shared" si="35"/>
        <v>2450</v>
      </c>
      <c r="I5480" s="44"/>
    </row>
    <row r="5481" spans="2:11" x14ac:dyDescent="0.15">
      <c r="B5481" s="4" t="s">
        <v>119</v>
      </c>
      <c r="C5481" s="24"/>
      <c r="D5481" s="6"/>
      <c r="E5481" s="3" t="s">
        <v>76</v>
      </c>
      <c r="F5481" s="164">
        <f>MATERIALES!C107</f>
        <v>110500</v>
      </c>
      <c r="G5481" s="65">
        <v>0.1</v>
      </c>
      <c r="H5481" s="165">
        <f t="shared" si="35"/>
        <v>11050</v>
      </c>
      <c r="I5481" s="44"/>
    </row>
    <row r="5482" spans="2:11" x14ac:dyDescent="0.15">
      <c r="B5482" s="4" t="s">
        <v>75</v>
      </c>
      <c r="C5482" s="24"/>
      <c r="D5482" s="6"/>
      <c r="E5482" s="3" t="s">
        <v>76</v>
      </c>
      <c r="F5482" s="164">
        <f>MATERIALES!C109</f>
        <v>82420</v>
      </c>
      <c r="G5482" s="65">
        <v>0.1</v>
      </c>
      <c r="H5482" s="165">
        <f t="shared" si="35"/>
        <v>8242</v>
      </c>
      <c r="I5482" s="44"/>
    </row>
    <row r="5483" spans="2:11" ht="14" thickBot="1" x14ac:dyDescent="0.2">
      <c r="B5483" s="25"/>
      <c r="C5483" s="26"/>
      <c r="D5483" s="27"/>
      <c r="E5483" s="21"/>
      <c r="F5483" s="22"/>
      <c r="G5483" s="167"/>
      <c r="H5483" s="47"/>
      <c r="I5483" s="48"/>
    </row>
    <row r="5484" spans="2:11" ht="14" thickBot="1" x14ac:dyDescent="0.2">
      <c r="B5484" s="1"/>
      <c r="C5484" s="1"/>
      <c r="D5484" s="1"/>
      <c r="E5484" s="1"/>
      <c r="F5484" s="1"/>
      <c r="G5484" s="1"/>
      <c r="H5484" s="37" t="s">
        <v>26</v>
      </c>
      <c r="I5484" s="163">
        <f>SUM(H5479:H5483)</f>
        <v>149874</v>
      </c>
    </row>
    <row r="5485" spans="2:11" ht="14" thickBot="1" x14ac:dyDescent="0.2">
      <c r="B5485" s="28" t="s">
        <v>31</v>
      </c>
      <c r="C5485" s="28"/>
      <c r="D5485" s="26"/>
      <c r="E5485" s="1"/>
      <c r="F5485" s="1"/>
      <c r="G5485" s="1"/>
      <c r="H5485" s="1"/>
      <c r="I5485" s="1"/>
    </row>
    <row r="5486" spans="2:11" x14ac:dyDescent="0.15">
      <c r="B5486" s="51" t="s">
        <v>32</v>
      </c>
      <c r="C5486" s="52"/>
      <c r="D5486" s="97" t="s">
        <v>33</v>
      </c>
      <c r="E5486" s="209" t="s">
        <v>34</v>
      </c>
      <c r="F5486" s="209" t="s">
        <v>35</v>
      </c>
      <c r="G5486" s="209" t="s">
        <v>36</v>
      </c>
      <c r="H5486" s="59" t="s">
        <v>25</v>
      </c>
      <c r="I5486" s="43"/>
    </row>
    <row r="5487" spans="2:11" x14ac:dyDescent="0.15">
      <c r="B5487" s="4" t="s">
        <v>79</v>
      </c>
      <c r="C5487" s="6"/>
      <c r="D5487" s="53">
        <v>0.22</v>
      </c>
      <c r="E5487" s="2">
        <v>43</v>
      </c>
      <c r="F5487" s="2">
        <f>E5487*D5487</f>
        <v>9.4600000000000009</v>
      </c>
      <c r="G5487" s="162">
        <v>1100</v>
      </c>
      <c r="H5487" s="20">
        <f>G5487*F5487</f>
        <v>10406.000000000002</v>
      </c>
      <c r="I5487" s="44"/>
    </row>
    <row r="5488" spans="2:11" x14ac:dyDescent="0.15">
      <c r="B5488" s="107"/>
      <c r="C5488" s="66"/>
      <c r="D5488" s="67"/>
      <c r="E5488" s="68"/>
      <c r="F5488" s="68"/>
      <c r="G5488" s="69"/>
      <c r="H5488" s="65"/>
      <c r="I5488" s="44"/>
      <c r="K5488" s="106"/>
    </row>
    <row r="5489" spans="2:11" ht="14" thickBot="1" x14ac:dyDescent="0.2">
      <c r="B5489" s="33"/>
      <c r="C5489" s="54"/>
      <c r="D5489" s="21"/>
      <c r="E5489" s="22"/>
      <c r="F5489" s="23"/>
      <c r="G5489" s="47"/>
      <c r="H5489" s="21"/>
      <c r="I5489" s="48"/>
    </row>
    <row r="5490" spans="2:11" ht="14" thickBot="1" x14ac:dyDescent="0.2">
      <c r="B5490" s="1"/>
      <c r="C5490" s="1"/>
      <c r="D5490" s="1"/>
      <c r="E5490" s="1"/>
      <c r="F5490" s="1"/>
      <c r="G5490" s="1"/>
      <c r="H5490" s="37" t="s">
        <v>26</v>
      </c>
      <c r="I5490" s="163">
        <f>SUM(H5487:H5489)</f>
        <v>10406.000000000002</v>
      </c>
    </row>
    <row r="5491" spans="2:11" ht="14" thickBot="1" x14ac:dyDescent="0.2">
      <c r="B5491" s="28" t="s">
        <v>37</v>
      </c>
      <c r="C5491" s="28"/>
      <c r="D5491" s="1"/>
      <c r="E5491" s="1"/>
      <c r="F5491" s="1"/>
      <c r="G5491" s="1"/>
      <c r="H5491" s="1"/>
      <c r="I5491" s="1"/>
    </row>
    <row r="5492" spans="2:11" x14ac:dyDescent="0.15">
      <c r="B5492" s="51" t="s">
        <v>38</v>
      </c>
      <c r="C5492" s="86"/>
      <c r="D5492" s="31" t="s">
        <v>39</v>
      </c>
      <c r="E5492" s="209" t="s">
        <v>40</v>
      </c>
      <c r="F5492" s="19" t="s">
        <v>41</v>
      </c>
      <c r="G5492" s="31" t="s">
        <v>24</v>
      </c>
      <c r="H5492" s="208" t="s">
        <v>25</v>
      </c>
      <c r="I5492" s="43"/>
      <c r="K5492" s="106"/>
    </row>
    <row r="5493" spans="2:11" x14ac:dyDescent="0.15">
      <c r="B5493" s="4" t="s">
        <v>1132</v>
      </c>
      <c r="C5493" s="24"/>
      <c r="D5493" s="32">
        <f>'MANO DE OBRA'!E17</f>
        <v>95333</v>
      </c>
      <c r="E5493" s="88">
        <v>1.75</v>
      </c>
      <c r="F5493" s="164">
        <f>+E5493*D5493</f>
        <v>166832.75</v>
      </c>
      <c r="G5493" s="20">
        <v>7</v>
      </c>
      <c r="H5493" s="169">
        <f>+F5493/G5493</f>
        <v>23833.25</v>
      </c>
      <c r="I5493" s="44"/>
    </row>
    <row r="5494" spans="2:11" x14ac:dyDescent="0.15">
      <c r="B5494" s="4" t="s">
        <v>55</v>
      </c>
      <c r="C5494" s="24"/>
      <c r="D5494" s="32">
        <f>'MANO DE OBRA'!E14*2</f>
        <v>104000</v>
      </c>
      <c r="E5494" s="88">
        <v>1.75</v>
      </c>
      <c r="F5494" s="164">
        <f>+E5494*D5494</f>
        <v>182000</v>
      </c>
      <c r="G5494" s="20">
        <v>7</v>
      </c>
      <c r="H5494" s="169">
        <f>+F5494/G5494</f>
        <v>26000</v>
      </c>
      <c r="I5494" s="44"/>
    </row>
    <row r="5495" spans="2:11" ht="14" thickBot="1" x14ac:dyDescent="0.2">
      <c r="B5495" s="33"/>
      <c r="C5495" s="34"/>
      <c r="D5495" s="22"/>
      <c r="E5495" s="21"/>
      <c r="F5495" s="22"/>
      <c r="G5495" s="23"/>
      <c r="H5495" s="47"/>
      <c r="I5495" s="48"/>
    </row>
    <row r="5496" spans="2:11" ht="14" thickBot="1" x14ac:dyDescent="0.2">
      <c r="B5496" s="1"/>
      <c r="C5496" s="1"/>
      <c r="D5496" s="1"/>
      <c r="E5496" s="1"/>
      <c r="F5496" s="1"/>
      <c r="G5496" s="1"/>
      <c r="H5496" s="37" t="s">
        <v>26</v>
      </c>
      <c r="I5496" s="177">
        <f>SUM(H5493:H5495)</f>
        <v>49833.25</v>
      </c>
    </row>
    <row r="5497" spans="2:11" ht="14" thickBot="1" x14ac:dyDescent="0.2">
      <c r="B5497" s="1"/>
      <c r="C5497" s="1"/>
      <c r="D5497" s="1"/>
      <c r="E5497" s="1"/>
      <c r="F5497" s="1"/>
      <c r="G5497" s="1"/>
      <c r="H5497" s="61"/>
      <c r="I5497" s="1"/>
    </row>
    <row r="5498" spans="2:11" ht="15" thickBot="1" x14ac:dyDescent="0.2">
      <c r="B5498" s="1"/>
      <c r="C5498" s="1"/>
      <c r="D5498" s="1"/>
      <c r="E5498" s="1"/>
      <c r="F5498" s="35" t="s">
        <v>43</v>
      </c>
      <c r="G5498" s="16"/>
      <c r="H5498" s="16"/>
      <c r="I5498" s="232">
        <f>ROUND((I5476+I5484+I5490+I5496),0)</f>
        <v>212605</v>
      </c>
    </row>
    <row r="5499" spans="2:11" x14ac:dyDescent="0.15">
      <c r="B5499" s="12"/>
      <c r="C5499" s="12"/>
      <c r="D5499" s="1"/>
      <c r="E5499" s="1"/>
      <c r="F5499" s="1"/>
      <c r="G5499" s="1"/>
      <c r="H5499" s="172"/>
      <c r="I5499" s="172"/>
    </row>
    <row r="5500" spans="2:11" x14ac:dyDescent="0.15">
      <c r="B5500" s="16"/>
      <c r="C5500" s="16"/>
      <c r="D5500" s="16"/>
      <c r="E5500" s="16"/>
      <c r="F5500" s="16"/>
      <c r="G5500" s="61"/>
      <c r="H5500" s="173"/>
      <c r="I5500" s="172"/>
    </row>
    <row r="5501" spans="2:11" x14ac:dyDescent="0.15">
      <c r="B5501" s="1"/>
      <c r="C5501" s="1"/>
      <c r="D5501" s="1"/>
      <c r="E5501" s="1"/>
      <c r="F5501" s="1"/>
      <c r="G5501" s="161"/>
      <c r="H5501" s="172"/>
      <c r="I5501" s="172"/>
    </row>
    <row r="5502" spans="2:11" x14ac:dyDescent="0.15">
      <c r="B5502" s="1"/>
      <c r="C5502" s="1"/>
      <c r="D5502" s="1"/>
      <c r="E5502" s="1"/>
      <c r="F5502" s="1"/>
      <c r="G5502" s="161"/>
      <c r="H5502" s="172"/>
      <c r="I5502" s="172"/>
    </row>
    <row r="5503" spans="2:11" x14ac:dyDescent="0.15">
      <c r="B5503" s="1"/>
      <c r="C5503" s="1"/>
      <c r="D5503" s="1"/>
      <c r="E5503" s="1"/>
      <c r="F5503" s="1"/>
      <c r="G5503" s="161"/>
      <c r="H5503" s="172"/>
      <c r="I5503" s="172"/>
    </row>
    <row r="5504" spans="2:11" x14ac:dyDescent="0.15">
      <c r="B5504" s="1"/>
      <c r="C5504" s="1"/>
      <c r="D5504" s="1"/>
      <c r="E5504" s="1"/>
      <c r="F5504" s="1"/>
      <c r="G5504" s="1"/>
      <c r="H5504" s="37"/>
      <c r="I5504" s="172"/>
    </row>
    <row r="5505" spans="2:9" ht="14" x14ac:dyDescent="0.15">
      <c r="B5505" s="102"/>
      <c r="C5505" s="1"/>
      <c r="D5505" s="1"/>
      <c r="E5505" s="1"/>
      <c r="F5505" s="1"/>
      <c r="G5505" s="1"/>
      <c r="H5505" s="1"/>
      <c r="I5505" s="172"/>
    </row>
    <row r="5506" spans="2:9" ht="14" x14ac:dyDescent="0.15">
      <c r="B5506" s="102"/>
      <c r="C5506" s="1"/>
      <c r="D5506" s="1"/>
      <c r="E5506" s="1"/>
      <c r="F5506" s="1"/>
      <c r="G5506" s="1"/>
      <c r="H5506" s="1"/>
      <c r="I5506" s="172"/>
    </row>
    <row r="5507" spans="2:9" ht="14" x14ac:dyDescent="0.15">
      <c r="B5507" s="83"/>
      <c r="C5507" s="11"/>
      <c r="D5507" s="1"/>
      <c r="E5507" s="916"/>
      <c r="F5507" s="916"/>
      <c r="G5507" s="916"/>
      <c r="H5507" s="916"/>
      <c r="I5507" s="171"/>
    </row>
    <row r="5508" spans="2:9" ht="14" x14ac:dyDescent="0.15">
      <c r="B5508" s="102"/>
      <c r="C5508" s="11"/>
      <c r="D5508" s="1"/>
      <c r="E5508" s="155"/>
      <c r="F5508" s="155"/>
      <c r="G5508" s="155"/>
      <c r="H5508" s="155"/>
      <c r="I5508" s="171"/>
    </row>
    <row r="5509" spans="2:9" ht="14" x14ac:dyDescent="0.15">
      <c r="B5509" s="83"/>
      <c r="C5509" s="11"/>
      <c r="D5509" s="1"/>
      <c r="E5509" s="155"/>
      <c r="F5509" s="155"/>
      <c r="G5509" s="155"/>
      <c r="H5509" s="155"/>
      <c r="I5509" s="171"/>
    </row>
    <row r="5510" spans="2:9" ht="14" x14ac:dyDescent="0.15">
      <c r="B5510" s="83"/>
      <c r="C5510" s="11"/>
      <c r="D5510" s="1"/>
      <c r="E5510" s="155"/>
      <c r="F5510" s="155"/>
      <c r="G5510" s="155"/>
      <c r="H5510" s="155"/>
      <c r="I5510" s="171"/>
    </row>
    <row r="5511" spans="2:9" ht="14" x14ac:dyDescent="0.15">
      <c r="B5511" s="83"/>
      <c r="C5511" s="11"/>
      <c r="D5511" s="1"/>
      <c r="E5511" s="155"/>
      <c r="F5511" s="155"/>
      <c r="G5511" s="155"/>
      <c r="H5511" s="155"/>
      <c r="I5511" s="171"/>
    </row>
    <row r="5512" spans="2:9" ht="14" x14ac:dyDescent="0.15">
      <c r="B5512" s="83"/>
      <c r="C5512" s="11"/>
      <c r="D5512" s="1"/>
      <c r="E5512" s="155"/>
      <c r="F5512" s="155"/>
      <c r="G5512" s="155"/>
      <c r="H5512" s="155"/>
      <c r="I5512" s="171"/>
    </row>
    <row r="5513" spans="2:9" x14ac:dyDescent="0.15">
      <c r="B5513" s="11"/>
      <c r="C5513" s="11"/>
      <c r="D5513" s="1"/>
      <c r="E5513" s="155"/>
      <c r="F5513" s="155"/>
      <c r="G5513" s="155"/>
      <c r="H5513" s="155"/>
      <c r="I5513" s="171"/>
    </row>
    <row r="5514" spans="2:9" x14ac:dyDescent="0.15">
      <c r="B5514" s="11"/>
      <c r="C5514" s="11"/>
      <c r="D5514" s="1"/>
      <c r="E5514" s="155"/>
      <c r="F5514" s="155"/>
      <c r="G5514" s="155"/>
      <c r="H5514" s="155"/>
      <c r="I5514" s="171"/>
    </row>
    <row r="5515" spans="2:9" ht="14" thickBot="1" x14ac:dyDescent="0.2">
      <c r="B5515" s="11"/>
      <c r="C5515" s="11"/>
      <c r="D5515" s="1"/>
      <c r="E5515" s="155"/>
      <c r="F5515" s="155"/>
      <c r="G5515" s="155"/>
      <c r="H5515" s="155"/>
      <c r="I5515" s="171"/>
    </row>
    <row r="5516" spans="2:9" ht="21" customHeight="1" x14ac:dyDescent="0.15">
      <c r="B5516" s="885" t="s">
        <v>527</v>
      </c>
      <c r="C5516" s="886"/>
      <c r="D5516" s="886"/>
      <c r="E5516" s="886"/>
      <c r="F5516" s="887"/>
      <c r="G5516" s="1"/>
      <c r="H5516" s="912" t="s">
        <v>20</v>
      </c>
      <c r="I5516" s="913"/>
    </row>
    <row r="5517" spans="2:9" ht="16.5" customHeight="1" x14ac:dyDescent="0.15">
      <c r="B5517" s="888" t="s">
        <v>528</v>
      </c>
      <c r="C5517" s="889"/>
      <c r="D5517" s="889"/>
      <c r="E5517" s="889"/>
      <c r="F5517" s="890"/>
      <c r="G5517" s="63"/>
      <c r="H5517" s="943"/>
      <c r="I5517" s="944"/>
    </row>
    <row r="5518" spans="2:9" ht="12.75" customHeight="1" x14ac:dyDescent="0.15">
      <c r="B5518" s="906" t="s">
        <v>529</v>
      </c>
      <c r="C5518" s="907"/>
      <c r="D5518" s="907"/>
      <c r="E5518" s="907"/>
      <c r="F5518" s="908"/>
      <c r="G5518" s="63"/>
      <c r="H5518" s="1013" t="s">
        <v>1414</v>
      </c>
      <c r="I5518" s="1014"/>
    </row>
    <row r="5519" spans="2:9" ht="16.5" customHeight="1" thickBot="1" x14ac:dyDescent="0.2">
      <c r="B5519" s="909"/>
      <c r="C5519" s="910"/>
      <c r="D5519" s="910"/>
      <c r="E5519" s="910"/>
      <c r="F5519" s="911"/>
      <c r="G5519" s="1"/>
      <c r="H5519" s="1013"/>
      <c r="I5519" s="1014"/>
    </row>
    <row r="5520" spans="2:9" ht="14" thickBot="1" x14ac:dyDescent="0.2">
      <c r="B5520" s="15"/>
      <c r="C5520" s="16"/>
      <c r="D5520" s="1"/>
      <c r="E5520" s="1"/>
      <c r="F5520" s="1"/>
      <c r="G5520" s="1"/>
      <c r="H5520" s="1013"/>
      <c r="I5520" s="1014"/>
    </row>
    <row r="5521" spans="2:9" ht="12.75" customHeight="1" x14ac:dyDescent="0.15">
      <c r="B5521" s="947" t="s">
        <v>1283</v>
      </c>
      <c r="C5521" s="948"/>
      <c r="D5521" s="948"/>
      <c r="E5521" s="948"/>
      <c r="F5521" s="949"/>
      <c r="G5521" s="1"/>
      <c r="H5521" s="1013"/>
      <c r="I5521" s="1014"/>
    </row>
    <row r="5522" spans="2:9" ht="12.75" customHeight="1" x14ac:dyDescent="0.15">
      <c r="B5522" s="950"/>
      <c r="C5522" s="951"/>
      <c r="D5522" s="951"/>
      <c r="E5522" s="951"/>
      <c r="F5522" s="952"/>
      <c r="H5522" s="1013"/>
      <c r="I5522" s="1014"/>
    </row>
    <row r="5523" spans="2:9" ht="21" customHeight="1" x14ac:dyDescent="0.15">
      <c r="B5523" s="950"/>
      <c r="C5523" s="951"/>
      <c r="D5523" s="951"/>
      <c r="E5523" s="951"/>
      <c r="F5523" s="952"/>
      <c r="G5523" s="11"/>
      <c r="H5523" s="1013"/>
      <c r="I5523" s="1014"/>
    </row>
    <row r="5524" spans="2:9" ht="21.75" customHeight="1" thickBot="1" x14ac:dyDescent="0.2">
      <c r="B5524" s="953"/>
      <c r="C5524" s="954"/>
      <c r="D5524" s="954"/>
      <c r="E5524" s="954"/>
      <c r="F5524" s="955"/>
      <c r="H5524" s="64" t="s">
        <v>45</v>
      </c>
      <c r="I5524" s="17" t="s">
        <v>7</v>
      </c>
    </row>
    <row r="5525" spans="2:9" x14ac:dyDescent="0.15">
      <c r="B5525" s="18"/>
      <c r="C5525" s="18"/>
      <c r="D5525" s="1"/>
      <c r="E5525" s="18"/>
      <c r="F5525" s="18"/>
      <c r="G5525" s="18"/>
      <c r="H5525" s="18"/>
      <c r="I5525" s="1"/>
    </row>
    <row r="5526" spans="2:9" ht="14" thickBot="1" x14ac:dyDescent="0.2">
      <c r="B5526" s="12" t="s">
        <v>21</v>
      </c>
      <c r="C5526" s="12"/>
      <c r="D5526" s="1"/>
      <c r="E5526" s="1"/>
      <c r="F5526" s="1"/>
      <c r="G5526" s="1"/>
      <c r="H5526" s="1"/>
      <c r="I5526" s="1"/>
    </row>
    <row r="5527" spans="2:9" x14ac:dyDescent="0.15">
      <c r="B5527" s="903" t="s">
        <v>22</v>
      </c>
      <c r="C5527" s="904"/>
      <c r="D5527" s="905"/>
      <c r="E5527" s="209" t="s">
        <v>23</v>
      </c>
      <c r="F5527" s="19" t="s">
        <v>47</v>
      </c>
      <c r="G5527" s="209" t="s">
        <v>24</v>
      </c>
      <c r="H5527" s="208" t="s">
        <v>25</v>
      </c>
      <c r="I5527" s="43"/>
    </row>
    <row r="5528" spans="2:9" x14ac:dyDescent="0.15">
      <c r="B5528" s="897" t="s">
        <v>56</v>
      </c>
      <c r="C5528" s="898"/>
      <c r="D5528" s="899"/>
      <c r="E5528" s="5"/>
      <c r="F5528" s="162"/>
      <c r="G5528" s="58"/>
      <c r="H5528" s="162">
        <f>I5550*0.05</f>
        <v>1162.7758333333334</v>
      </c>
      <c r="I5528" s="44"/>
    </row>
    <row r="5529" spans="2:9" ht="14" thickBot="1" x14ac:dyDescent="0.2">
      <c r="B5529" s="900"/>
      <c r="C5529" s="901"/>
      <c r="D5529" s="902"/>
      <c r="E5529" s="21"/>
      <c r="F5529" s="22"/>
      <c r="G5529" s="23"/>
      <c r="H5529" s="47"/>
      <c r="I5529" s="48"/>
    </row>
    <row r="5530" spans="2:9" ht="14" thickBot="1" x14ac:dyDescent="0.2">
      <c r="B5530" s="1"/>
      <c r="C5530" s="1"/>
      <c r="D5530" s="1"/>
      <c r="E5530" s="1"/>
      <c r="F5530" s="1"/>
      <c r="G5530" s="1"/>
      <c r="H5530" s="37" t="s">
        <v>26</v>
      </c>
      <c r="I5530" s="163">
        <f>SUM(H5528:H5529)</f>
        <v>1162.7758333333334</v>
      </c>
    </row>
    <row r="5531" spans="2:9" ht="14" thickBot="1" x14ac:dyDescent="0.2">
      <c r="B5531" s="12" t="s">
        <v>27</v>
      </c>
      <c r="C5531" s="12"/>
      <c r="D5531" s="1"/>
      <c r="E5531" s="1"/>
      <c r="F5531" s="1"/>
      <c r="G5531" s="1"/>
      <c r="H5531" s="1"/>
      <c r="I5531" s="1"/>
    </row>
    <row r="5532" spans="2:9" x14ac:dyDescent="0.15">
      <c r="B5532" s="903" t="s">
        <v>22</v>
      </c>
      <c r="C5532" s="904"/>
      <c r="D5532" s="905"/>
      <c r="E5532" s="209" t="s">
        <v>28</v>
      </c>
      <c r="F5532" s="209" t="s">
        <v>29</v>
      </c>
      <c r="G5532" s="209" t="s">
        <v>30</v>
      </c>
      <c r="H5532" s="208" t="s">
        <v>25</v>
      </c>
      <c r="I5532" s="43"/>
    </row>
    <row r="5533" spans="2:9" x14ac:dyDescent="0.15">
      <c r="B5533" s="4" t="s">
        <v>1412</v>
      </c>
      <c r="C5533" s="24"/>
      <c r="D5533" s="6"/>
      <c r="E5533" s="3" t="s">
        <v>7</v>
      </c>
      <c r="F5533" s="164">
        <f>MATERIALES!C141</f>
        <v>64066</v>
      </c>
      <c r="G5533" s="65">
        <v>1</v>
      </c>
      <c r="H5533" s="165">
        <f t="shared" ref="H5533:H5536" si="36">G5533*F5533</f>
        <v>64066</v>
      </c>
      <c r="I5533" s="44"/>
    </row>
    <row r="5534" spans="2:9" x14ac:dyDescent="0.15">
      <c r="B5534" s="4" t="s">
        <v>74</v>
      </c>
      <c r="C5534" s="24"/>
      <c r="D5534" s="6"/>
      <c r="E5534" s="3" t="s">
        <v>58</v>
      </c>
      <c r="F5534" s="164">
        <f>MATERIALES!C106</f>
        <v>24500</v>
      </c>
      <c r="G5534" s="65">
        <v>2.5000000000000001E-2</v>
      </c>
      <c r="H5534" s="165">
        <f t="shared" si="36"/>
        <v>612.5</v>
      </c>
      <c r="I5534" s="44"/>
    </row>
    <row r="5535" spans="2:9" x14ac:dyDescent="0.15">
      <c r="B5535" s="4" t="s">
        <v>119</v>
      </c>
      <c r="C5535" s="24"/>
      <c r="D5535" s="6"/>
      <c r="E5535" s="3" t="s">
        <v>76</v>
      </c>
      <c r="F5535" s="164">
        <f>MATERIALES!C107</f>
        <v>110500</v>
      </c>
      <c r="G5535" s="65">
        <v>2.5000000000000001E-2</v>
      </c>
      <c r="H5535" s="165">
        <f t="shared" si="36"/>
        <v>2762.5</v>
      </c>
      <c r="I5535" s="44"/>
    </row>
    <row r="5536" spans="2:9" x14ac:dyDescent="0.15">
      <c r="B5536" s="4" t="s">
        <v>75</v>
      </c>
      <c r="C5536" s="24"/>
      <c r="D5536" s="6"/>
      <c r="E5536" s="3" t="s">
        <v>76</v>
      </c>
      <c r="F5536" s="164">
        <f>MATERIALES!C109</f>
        <v>82420</v>
      </c>
      <c r="G5536" s="65">
        <v>2.5000000000000001E-2</v>
      </c>
      <c r="H5536" s="165">
        <f t="shared" si="36"/>
        <v>2060.5</v>
      </c>
      <c r="I5536" s="44"/>
    </row>
    <row r="5537" spans="2:11" ht="14" thickBot="1" x14ac:dyDescent="0.2">
      <c r="B5537" s="25"/>
      <c r="C5537" s="26"/>
      <c r="D5537" s="27"/>
      <c r="E5537" s="21"/>
      <c r="F5537" s="22"/>
      <c r="G5537" s="167"/>
      <c r="H5537" s="47"/>
      <c r="I5537" s="48"/>
    </row>
    <row r="5538" spans="2:11" ht="14" thickBot="1" x14ac:dyDescent="0.2">
      <c r="B5538" s="1"/>
      <c r="C5538" s="1"/>
      <c r="D5538" s="1"/>
      <c r="E5538" s="1"/>
      <c r="F5538" s="1"/>
      <c r="G5538" s="1"/>
      <c r="H5538" s="37" t="s">
        <v>26</v>
      </c>
      <c r="I5538" s="163">
        <f>SUM(H5533:H5537)</f>
        <v>69501.5</v>
      </c>
    </row>
    <row r="5539" spans="2:11" ht="14" thickBot="1" x14ac:dyDescent="0.2">
      <c r="B5539" s="28" t="s">
        <v>31</v>
      </c>
      <c r="C5539" s="28"/>
      <c r="D5539" s="26"/>
      <c r="E5539" s="1"/>
      <c r="F5539" s="1"/>
      <c r="G5539" s="1"/>
      <c r="H5539" s="1"/>
      <c r="I5539" s="1"/>
    </row>
    <row r="5540" spans="2:11" x14ac:dyDescent="0.15">
      <c r="B5540" s="51" t="s">
        <v>32</v>
      </c>
      <c r="C5540" s="52"/>
      <c r="D5540" s="97" t="s">
        <v>33</v>
      </c>
      <c r="E5540" s="209" t="s">
        <v>34</v>
      </c>
      <c r="F5540" s="209" t="s">
        <v>35</v>
      </c>
      <c r="G5540" s="209" t="s">
        <v>36</v>
      </c>
      <c r="H5540" s="59" t="s">
        <v>25</v>
      </c>
      <c r="I5540" s="43"/>
    </row>
    <row r="5541" spans="2:11" x14ac:dyDescent="0.15">
      <c r="B5541" s="4" t="s">
        <v>79</v>
      </c>
      <c r="C5541" s="6"/>
      <c r="D5541" s="53">
        <v>0.11</v>
      </c>
      <c r="E5541" s="2">
        <v>43</v>
      </c>
      <c r="F5541" s="2">
        <f>E5541*D5541</f>
        <v>4.7300000000000004</v>
      </c>
      <c r="G5541" s="162">
        <v>1100</v>
      </c>
      <c r="H5541" s="20">
        <f>G5541*F5541</f>
        <v>5203.0000000000009</v>
      </c>
      <c r="I5541" s="44"/>
    </row>
    <row r="5542" spans="2:11" x14ac:dyDescent="0.15">
      <c r="B5542" s="107"/>
      <c r="C5542" s="66"/>
      <c r="D5542" s="67"/>
      <c r="E5542" s="68"/>
      <c r="F5542" s="68"/>
      <c r="G5542" s="69"/>
      <c r="H5542" s="65"/>
      <c r="I5542" s="44"/>
    </row>
    <row r="5543" spans="2:11" ht="14" thickBot="1" x14ac:dyDescent="0.2">
      <c r="B5543" s="33"/>
      <c r="C5543" s="54"/>
      <c r="D5543" s="21"/>
      <c r="E5543" s="22"/>
      <c r="F5543" s="23"/>
      <c r="G5543" s="47"/>
      <c r="H5543" s="21"/>
      <c r="I5543" s="48"/>
    </row>
    <row r="5544" spans="2:11" ht="14" thickBot="1" x14ac:dyDescent="0.2">
      <c r="B5544" s="1"/>
      <c r="C5544" s="1"/>
      <c r="D5544" s="1"/>
      <c r="E5544" s="1"/>
      <c r="F5544" s="1"/>
      <c r="G5544" s="1"/>
      <c r="H5544" s="37" t="s">
        <v>26</v>
      </c>
      <c r="I5544" s="163">
        <f>SUM(H5541:H5543)</f>
        <v>5203.0000000000009</v>
      </c>
    </row>
    <row r="5545" spans="2:11" ht="14" thickBot="1" x14ac:dyDescent="0.2">
      <c r="B5545" s="28" t="s">
        <v>37</v>
      </c>
      <c r="C5545" s="28"/>
      <c r="D5545" s="1"/>
      <c r="E5545" s="1"/>
      <c r="F5545" s="1"/>
      <c r="G5545" s="1"/>
      <c r="H5545" s="1"/>
      <c r="I5545" s="1"/>
    </row>
    <row r="5546" spans="2:11" x14ac:dyDescent="0.15">
      <c r="B5546" s="51" t="s">
        <v>38</v>
      </c>
      <c r="C5546" s="86"/>
      <c r="D5546" s="31" t="s">
        <v>39</v>
      </c>
      <c r="E5546" s="209" t="s">
        <v>40</v>
      </c>
      <c r="F5546" s="19" t="s">
        <v>41</v>
      </c>
      <c r="G5546" s="31" t="s">
        <v>24</v>
      </c>
      <c r="H5546" s="208" t="s">
        <v>25</v>
      </c>
      <c r="I5546" s="43"/>
    </row>
    <row r="5547" spans="2:11" x14ac:dyDescent="0.15">
      <c r="B5547" s="4" t="s">
        <v>1132</v>
      </c>
      <c r="C5547" s="24"/>
      <c r="D5547" s="32">
        <f>'MANO DE OBRA'!E17</f>
        <v>95333</v>
      </c>
      <c r="E5547" s="88">
        <v>1.75</v>
      </c>
      <c r="F5547" s="164">
        <f>+E5547*D5547</f>
        <v>166832.75</v>
      </c>
      <c r="G5547" s="20">
        <v>15</v>
      </c>
      <c r="H5547" s="169">
        <f>+F5547/G5547</f>
        <v>11122.183333333332</v>
      </c>
      <c r="I5547" s="44"/>
    </row>
    <row r="5548" spans="2:11" x14ac:dyDescent="0.15">
      <c r="B5548" s="4" t="s">
        <v>55</v>
      </c>
      <c r="C5548" s="24"/>
      <c r="D5548" s="32">
        <f>'MANO DE OBRA'!E14*2</f>
        <v>104000</v>
      </c>
      <c r="E5548" s="88">
        <v>1.75</v>
      </c>
      <c r="F5548" s="164">
        <f>+E5548*D5548</f>
        <v>182000</v>
      </c>
      <c r="G5548" s="20">
        <v>15</v>
      </c>
      <c r="H5548" s="169">
        <f>+F5548/G5548</f>
        <v>12133.333333333334</v>
      </c>
      <c r="I5548" s="44"/>
      <c r="K5548" s="106"/>
    </row>
    <row r="5549" spans="2:11" ht="14" thickBot="1" x14ac:dyDescent="0.2">
      <c r="B5549" s="33"/>
      <c r="C5549" s="34"/>
      <c r="D5549" s="22"/>
      <c r="E5549" s="21"/>
      <c r="F5549" s="22"/>
      <c r="G5549" s="23"/>
      <c r="H5549" s="47"/>
      <c r="I5549" s="48"/>
    </row>
    <row r="5550" spans="2:11" ht="14" thickBot="1" x14ac:dyDescent="0.2">
      <c r="B5550" s="1"/>
      <c r="C5550" s="1"/>
      <c r="D5550" s="1"/>
      <c r="E5550" s="1"/>
      <c r="F5550" s="1"/>
      <c r="G5550" s="1"/>
      <c r="H5550" s="37" t="s">
        <v>26</v>
      </c>
      <c r="I5550" s="177">
        <f>SUM(H5547:H5549)</f>
        <v>23255.516666666666</v>
      </c>
    </row>
    <row r="5551" spans="2:11" ht="14" thickBot="1" x14ac:dyDescent="0.2">
      <c r="B5551" s="1"/>
      <c r="C5551" s="1"/>
      <c r="D5551" s="1"/>
      <c r="E5551" s="1"/>
      <c r="F5551" s="1"/>
      <c r="G5551" s="1"/>
      <c r="H5551" s="61"/>
      <c r="I5551" s="1"/>
      <c r="K5551" s="106"/>
    </row>
    <row r="5552" spans="2:11" ht="15" thickBot="1" x14ac:dyDescent="0.2">
      <c r="B5552" s="1"/>
      <c r="C5552" s="1"/>
      <c r="D5552" s="1"/>
      <c r="E5552" s="1"/>
      <c r="F5552" s="35" t="s">
        <v>43</v>
      </c>
      <c r="G5552" s="16"/>
      <c r="H5552" s="16"/>
      <c r="I5552" s="232">
        <f>ROUND((I5530+I5538+I5544+I5550),0)</f>
        <v>99123</v>
      </c>
    </row>
    <row r="5553" spans="2:9" x14ac:dyDescent="0.15">
      <c r="B5553" s="12"/>
      <c r="C5553" s="12"/>
      <c r="D5553" s="1"/>
      <c r="E5553" s="1"/>
      <c r="F5553" s="1"/>
      <c r="G5553" s="1"/>
      <c r="H5553" s="172"/>
      <c r="I5553" s="172"/>
    </row>
    <row r="5554" spans="2:9" x14ac:dyDescent="0.15">
      <c r="B5554" s="16"/>
      <c r="C5554" s="16"/>
      <c r="D5554" s="16"/>
      <c r="E5554" s="16"/>
      <c r="F5554" s="16"/>
      <c r="G5554" s="61"/>
      <c r="H5554" s="173"/>
      <c r="I5554" s="172"/>
    </row>
    <row r="5555" spans="2:9" x14ac:dyDescent="0.15">
      <c r="B5555" s="1"/>
      <c r="C5555" s="1"/>
      <c r="D5555" s="1"/>
      <c r="E5555" s="1"/>
      <c r="F5555" s="1"/>
      <c r="G5555" s="161"/>
      <c r="H5555" s="172"/>
      <c r="I5555" s="172"/>
    </row>
    <row r="5556" spans="2:9" x14ac:dyDescent="0.15">
      <c r="B5556" s="1"/>
      <c r="C5556" s="1"/>
      <c r="D5556" s="1"/>
      <c r="E5556" s="1"/>
      <c r="F5556" s="1"/>
      <c r="G5556" s="161"/>
      <c r="H5556" s="172"/>
      <c r="I5556" s="172"/>
    </row>
    <row r="5557" spans="2:9" x14ac:dyDescent="0.15">
      <c r="B5557" s="1"/>
      <c r="C5557" s="1"/>
      <c r="D5557" s="1"/>
      <c r="E5557" s="1"/>
      <c r="F5557" s="1"/>
      <c r="G5557" s="161"/>
      <c r="H5557" s="172"/>
      <c r="I5557" s="172"/>
    </row>
    <row r="5558" spans="2:9" x14ac:dyDescent="0.15">
      <c r="B5558" s="1"/>
      <c r="C5558" s="1"/>
      <c r="D5558" s="1"/>
      <c r="E5558" s="1"/>
      <c r="F5558" s="1"/>
      <c r="G5558" s="1"/>
      <c r="H5558" s="37"/>
      <c r="I5558" s="172"/>
    </row>
    <row r="5559" spans="2:9" ht="14" x14ac:dyDescent="0.15">
      <c r="B5559" s="102"/>
      <c r="C5559" s="1"/>
      <c r="D5559" s="1"/>
      <c r="E5559" s="1"/>
      <c r="F5559" s="1"/>
      <c r="G5559" s="1"/>
      <c r="H5559" s="1"/>
      <c r="I5559" s="172"/>
    </row>
    <row r="5560" spans="2:9" ht="14" x14ac:dyDescent="0.15">
      <c r="B5560" s="102"/>
      <c r="C5560" s="1"/>
      <c r="D5560" s="1"/>
      <c r="E5560" s="1"/>
      <c r="F5560" s="1"/>
      <c r="G5560" s="1"/>
      <c r="H5560" s="1"/>
      <c r="I5560" s="172"/>
    </row>
    <row r="5561" spans="2:9" ht="14" x14ac:dyDescent="0.15">
      <c r="B5561" s="83"/>
      <c r="C5561" s="11"/>
      <c r="D5561" s="1"/>
      <c r="E5561" s="916"/>
      <c r="F5561" s="916"/>
      <c r="G5561" s="916"/>
      <c r="H5561" s="916"/>
      <c r="I5561" s="171"/>
    </row>
    <row r="5562" spans="2:9" ht="14" x14ac:dyDescent="0.15">
      <c r="B5562" s="102"/>
      <c r="C5562" s="11"/>
      <c r="D5562" s="1"/>
      <c r="E5562" s="155"/>
      <c r="F5562" s="155"/>
      <c r="G5562" s="155"/>
      <c r="H5562" s="155"/>
      <c r="I5562" s="171"/>
    </row>
    <row r="5563" spans="2:9" ht="14" x14ac:dyDescent="0.15">
      <c r="B5563" s="83"/>
      <c r="C5563" s="11"/>
      <c r="D5563" s="1"/>
      <c r="E5563" s="155"/>
      <c r="F5563" s="155"/>
      <c r="G5563" s="155"/>
      <c r="H5563" s="155"/>
      <c r="I5563" s="171"/>
    </row>
    <row r="5564" spans="2:9" ht="14" x14ac:dyDescent="0.15">
      <c r="B5564" s="83"/>
      <c r="C5564" s="11"/>
      <c r="D5564" s="1"/>
      <c r="E5564" s="155"/>
      <c r="F5564" s="155"/>
      <c r="G5564" s="155"/>
      <c r="H5564" s="155"/>
      <c r="I5564" s="171"/>
    </row>
    <row r="5565" spans="2:9" ht="14" x14ac:dyDescent="0.15">
      <c r="B5565" s="83"/>
      <c r="C5565" s="11"/>
      <c r="D5565" s="1"/>
      <c r="E5565" s="155"/>
      <c r="F5565" s="155"/>
      <c r="G5565" s="155"/>
      <c r="H5565" s="155"/>
      <c r="I5565" s="171"/>
    </row>
    <row r="5566" spans="2:9" ht="14" x14ac:dyDescent="0.15">
      <c r="B5566" s="83"/>
      <c r="C5566" s="11"/>
      <c r="D5566" s="1"/>
      <c r="E5566" s="155"/>
      <c r="F5566" s="155"/>
      <c r="G5566" s="155"/>
      <c r="H5566" s="155"/>
      <c r="I5566" s="171"/>
    </row>
    <row r="5567" spans="2:9" x14ac:dyDescent="0.15">
      <c r="B5567" s="11"/>
      <c r="C5567" s="11"/>
      <c r="D5567" s="1"/>
      <c r="E5567" s="155"/>
      <c r="F5567" s="155"/>
      <c r="G5567" s="155"/>
      <c r="H5567" s="155"/>
      <c r="I5567" s="171"/>
    </row>
    <row r="5568" spans="2:9" x14ac:dyDescent="0.15">
      <c r="B5568" s="11"/>
      <c r="C5568" s="11"/>
      <c r="D5568" s="1"/>
      <c r="E5568" s="155"/>
      <c r="F5568" s="155"/>
      <c r="G5568" s="155"/>
      <c r="H5568" s="155"/>
      <c r="I5568" s="171"/>
    </row>
    <row r="5569" spans="2:9" ht="14" thickBot="1" x14ac:dyDescent="0.2">
      <c r="B5569" s="11"/>
      <c r="C5569" s="11"/>
      <c r="D5569" s="1"/>
      <c r="E5569" s="155"/>
      <c r="F5569" s="155"/>
      <c r="G5569" s="155"/>
      <c r="H5569" s="155"/>
      <c r="I5569" s="171"/>
    </row>
    <row r="5570" spans="2:9" ht="21" customHeight="1" x14ac:dyDescent="0.15">
      <c r="B5570" s="885" t="s">
        <v>527</v>
      </c>
      <c r="C5570" s="886"/>
      <c r="D5570" s="886"/>
      <c r="E5570" s="886"/>
      <c r="F5570" s="887"/>
      <c r="G5570" s="1"/>
      <c r="H5570" s="912" t="s">
        <v>20</v>
      </c>
      <c r="I5570" s="913"/>
    </row>
    <row r="5571" spans="2:9" ht="16.5" customHeight="1" x14ac:dyDescent="0.15">
      <c r="B5571" s="888" t="s">
        <v>528</v>
      </c>
      <c r="C5571" s="889"/>
      <c r="D5571" s="889"/>
      <c r="E5571" s="889"/>
      <c r="F5571" s="890"/>
      <c r="G5571" s="63"/>
      <c r="H5571" s="943"/>
      <c r="I5571" s="944"/>
    </row>
    <row r="5572" spans="2:9" ht="12.75" customHeight="1" x14ac:dyDescent="0.15">
      <c r="B5572" s="906" t="s">
        <v>529</v>
      </c>
      <c r="C5572" s="907"/>
      <c r="D5572" s="907"/>
      <c r="E5572" s="907"/>
      <c r="F5572" s="908"/>
      <c r="G5572" s="63"/>
      <c r="H5572" s="1013" t="s">
        <v>1416</v>
      </c>
      <c r="I5572" s="1014"/>
    </row>
    <row r="5573" spans="2:9" ht="16.5" customHeight="1" thickBot="1" x14ac:dyDescent="0.2">
      <c r="B5573" s="909"/>
      <c r="C5573" s="910"/>
      <c r="D5573" s="910"/>
      <c r="E5573" s="910"/>
      <c r="F5573" s="911"/>
      <c r="G5573" s="1"/>
      <c r="H5573" s="1013"/>
      <c r="I5573" s="1014"/>
    </row>
    <row r="5574" spans="2:9" ht="14" thickBot="1" x14ac:dyDescent="0.2">
      <c r="B5574" s="15"/>
      <c r="C5574" s="16"/>
      <c r="D5574" s="1"/>
      <c r="E5574" s="1"/>
      <c r="F5574" s="1"/>
      <c r="G5574" s="1"/>
      <c r="H5574" s="1013"/>
      <c r="I5574" s="1014"/>
    </row>
    <row r="5575" spans="2:9" ht="12.75" customHeight="1" x14ac:dyDescent="0.15">
      <c r="B5575" s="947" t="s">
        <v>1283</v>
      </c>
      <c r="C5575" s="948"/>
      <c r="D5575" s="948"/>
      <c r="E5575" s="948"/>
      <c r="F5575" s="949"/>
      <c r="G5575" s="1"/>
      <c r="H5575" s="1013"/>
      <c r="I5575" s="1014"/>
    </row>
    <row r="5576" spans="2:9" ht="12.75" customHeight="1" x14ac:dyDescent="0.15">
      <c r="B5576" s="950"/>
      <c r="C5576" s="951"/>
      <c r="D5576" s="951"/>
      <c r="E5576" s="951"/>
      <c r="F5576" s="952"/>
      <c r="H5576" s="1013"/>
      <c r="I5576" s="1014"/>
    </row>
    <row r="5577" spans="2:9" ht="21" customHeight="1" x14ac:dyDescent="0.15">
      <c r="B5577" s="950"/>
      <c r="C5577" s="951"/>
      <c r="D5577" s="951"/>
      <c r="E5577" s="951"/>
      <c r="F5577" s="952"/>
      <c r="G5577" s="11"/>
      <c r="H5577" s="1013"/>
      <c r="I5577" s="1014"/>
    </row>
    <row r="5578" spans="2:9" ht="21.75" customHeight="1" thickBot="1" x14ac:dyDescent="0.2">
      <c r="B5578" s="953"/>
      <c r="C5578" s="954"/>
      <c r="D5578" s="954"/>
      <c r="E5578" s="954"/>
      <c r="F5578" s="955"/>
      <c r="H5578" s="64" t="s">
        <v>45</v>
      </c>
      <c r="I5578" s="17" t="s">
        <v>7</v>
      </c>
    </row>
    <row r="5579" spans="2:9" x14ac:dyDescent="0.15">
      <c r="B5579" s="18"/>
      <c r="C5579" s="18"/>
      <c r="D5579" s="1"/>
      <c r="E5579" s="18"/>
      <c r="F5579" s="18"/>
      <c r="G5579" s="18"/>
      <c r="H5579" s="18"/>
      <c r="I5579" s="1"/>
    </row>
    <row r="5580" spans="2:9" ht="14" thickBot="1" x14ac:dyDescent="0.2">
      <c r="B5580" s="12" t="s">
        <v>21</v>
      </c>
      <c r="C5580" s="12"/>
      <c r="D5580" s="1"/>
      <c r="E5580" s="1"/>
      <c r="F5580" s="1"/>
      <c r="G5580" s="1"/>
      <c r="H5580" s="1"/>
      <c r="I5580" s="1"/>
    </row>
    <row r="5581" spans="2:9" x14ac:dyDescent="0.15">
      <c r="B5581" s="903" t="s">
        <v>22</v>
      </c>
      <c r="C5581" s="904"/>
      <c r="D5581" s="905"/>
      <c r="E5581" s="209" t="s">
        <v>23</v>
      </c>
      <c r="F5581" s="19" t="s">
        <v>47</v>
      </c>
      <c r="G5581" s="209" t="s">
        <v>24</v>
      </c>
      <c r="H5581" s="208" t="s">
        <v>25</v>
      </c>
      <c r="I5581" s="43"/>
    </row>
    <row r="5582" spans="2:9" x14ac:dyDescent="0.15">
      <c r="B5582" s="897" t="s">
        <v>56</v>
      </c>
      <c r="C5582" s="898"/>
      <c r="D5582" s="899"/>
      <c r="E5582" s="5"/>
      <c r="F5582" s="162"/>
      <c r="G5582" s="58"/>
      <c r="H5582" s="162">
        <f>I5604*0.05</f>
        <v>758.33206521739146</v>
      </c>
      <c r="I5582" s="44"/>
    </row>
    <row r="5583" spans="2:9" ht="14" thickBot="1" x14ac:dyDescent="0.2">
      <c r="B5583" s="900"/>
      <c r="C5583" s="901"/>
      <c r="D5583" s="902"/>
      <c r="E5583" s="21"/>
      <c r="F5583" s="22"/>
      <c r="G5583" s="23"/>
      <c r="H5583" s="47"/>
      <c r="I5583" s="48"/>
    </row>
    <row r="5584" spans="2:9" ht="14" thickBot="1" x14ac:dyDescent="0.2">
      <c r="B5584" s="1"/>
      <c r="C5584" s="1"/>
      <c r="D5584" s="1"/>
      <c r="E5584" s="1"/>
      <c r="F5584" s="1"/>
      <c r="G5584" s="1"/>
      <c r="H5584" s="37" t="s">
        <v>26</v>
      </c>
      <c r="I5584" s="163">
        <f>SUM(H5582:H5583)</f>
        <v>758.33206521739146</v>
      </c>
    </row>
    <row r="5585" spans="2:13" ht="14" thickBot="1" x14ac:dyDescent="0.2">
      <c r="B5585" s="12" t="s">
        <v>27</v>
      </c>
      <c r="C5585" s="12"/>
      <c r="D5585" s="1"/>
      <c r="E5585" s="1"/>
      <c r="F5585" s="1"/>
      <c r="G5585" s="1"/>
      <c r="H5585" s="1"/>
      <c r="I5585" s="1"/>
    </row>
    <row r="5586" spans="2:13" x14ac:dyDescent="0.15">
      <c r="B5586" s="903" t="s">
        <v>22</v>
      </c>
      <c r="C5586" s="904"/>
      <c r="D5586" s="905"/>
      <c r="E5586" s="209" t="s">
        <v>28</v>
      </c>
      <c r="F5586" s="209" t="s">
        <v>29</v>
      </c>
      <c r="G5586" s="209" t="s">
        <v>30</v>
      </c>
      <c r="H5586" s="208" t="s">
        <v>25</v>
      </c>
      <c r="I5586" s="43"/>
    </row>
    <row r="5587" spans="2:13" x14ac:dyDescent="0.15">
      <c r="B5587" s="4" t="s">
        <v>1415</v>
      </c>
      <c r="C5587" s="24"/>
      <c r="D5587" s="6"/>
      <c r="E5587" s="3" t="s">
        <v>7</v>
      </c>
      <c r="F5587" s="164">
        <f>MATERIALES!C142</f>
        <v>41019</v>
      </c>
      <c r="G5587" s="65">
        <v>1</v>
      </c>
      <c r="H5587" s="165">
        <f t="shared" ref="H5587:H5590" si="37">G5587*F5587</f>
        <v>41019</v>
      </c>
      <c r="I5587" s="44"/>
    </row>
    <row r="5588" spans="2:13" x14ac:dyDescent="0.15">
      <c r="B5588" s="4" t="s">
        <v>74</v>
      </c>
      <c r="C5588" s="24"/>
      <c r="D5588" s="6"/>
      <c r="E5588" s="3" t="s">
        <v>58</v>
      </c>
      <c r="F5588" s="164">
        <f>MATERIALES!C106</f>
        <v>24500</v>
      </c>
      <c r="G5588" s="65">
        <v>2.5000000000000001E-2</v>
      </c>
      <c r="H5588" s="165">
        <f t="shared" si="37"/>
        <v>612.5</v>
      </c>
      <c r="I5588" s="44"/>
    </row>
    <row r="5589" spans="2:13" x14ac:dyDescent="0.15">
      <c r="B5589" s="4" t="s">
        <v>119</v>
      </c>
      <c r="C5589" s="24"/>
      <c r="D5589" s="6"/>
      <c r="E5589" s="3" t="s">
        <v>76</v>
      </c>
      <c r="F5589" s="164">
        <f>MATERIALES!C107</f>
        <v>110500</v>
      </c>
      <c r="G5589" s="65">
        <v>2.5000000000000001E-2</v>
      </c>
      <c r="H5589" s="165">
        <f t="shared" si="37"/>
        <v>2762.5</v>
      </c>
      <c r="I5589" s="44"/>
    </row>
    <row r="5590" spans="2:13" x14ac:dyDescent="0.15">
      <c r="B5590" s="4" t="s">
        <v>75</v>
      </c>
      <c r="C5590" s="24"/>
      <c r="D5590" s="6"/>
      <c r="E5590" s="3" t="s">
        <v>76</v>
      </c>
      <c r="F5590" s="164">
        <f>MATERIALES!C109</f>
        <v>82420</v>
      </c>
      <c r="G5590" s="65">
        <v>2.5000000000000001E-2</v>
      </c>
      <c r="H5590" s="165">
        <f t="shared" si="37"/>
        <v>2060.5</v>
      </c>
      <c r="I5590" s="44"/>
    </row>
    <row r="5591" spans="2:13" ht="14" thickBot="1" x14ac:dyDescent="0.2">
      <c r="B5591" s="25"/>
      <c r="C5591" s="26"/>
      <c r="D5591" s="27"/>
      <c r="E5591" s="21"/>
      <c r="F5591" s="22"/>
      <c r="G5591" s="167"/>
      <c r="H5591" s="47"/>
      <c r="I5591" s="48"/>
    </row>
    <row r="5592" spans="2:13" ht="14" thickBot="1" x14ac:dyDescent="0.2">
      <c r="B5592" s="1"/>
      <c r="C5592" s="1"/>
      <c r="D5592" s="1"/>
      <c r="E5592" s="1"/>
      <c r="F5592" s="1"/>
      <c r="G5592" s="1"/>
      <c r="H5592" s="37" t="s">
        <v>26</v>
      </c>
      <c r="I5592" s="163">
        <f>SUM(H5587:H5591)</f>
        <v>46454.5</v>
      </c>
    </row>
    <row r="5593" spans="2:13" ht="14" thickBot="1" x14ac:dyDescent="0.2">
      <c r="B5593" s="28" t="s">
        <v>31</v>
      </c>
      <c r="C5593" s="28"/>
      <c r="D5593" s="26"/>
      <c r="E5593" s="1"/>
      <c r="F5593" s="1"/>
      <c r="G5593" s="1"/>
      <c r="H5593" s="1"/>
      <c r="I5593" s="1"/>
    </row>
    <row r="5594" spans="2:13" x14ac:dyDescent="0.15">
      <c r="B5594" s="51" t="s">
        <v>32</v>
      </c>
      <c r="C5594" s="52"/>
      <c r="D5594" s="97" t="s">
        <v>33</v>
      </c>
      <c r="E5594" s="209" t="s">
        <v>34</v>
      </c>
      <c r="F5594" s="209" t="s">
        <v>35</v>
      </c>
      <c r="G5594" s="209" t="s">
        <v>36</v>
      </c>
      <c r="H5594" s="59" t="s">
        <v>25</v>
      </c>
      <c r="I5594" s="43"/>
    </row>
    <row r="5595" spans="2:13" x14ac:dyDescent="0.15">
      <c r="B5595" s="4" t="s">
        <v>79</v>
      </c>
      <c r="C5595" s="6"/>
      <c r="D5595" s="53">
        <v>0.05</v>
      </c>
      <c r="E5595" s="2">
        <v>43</v>
      </c>
      <c r="F5595" s="2">
        <f>E5595*D5595</f>
        <v>2.15</v>
      </c>
      <c r="G5595" s="162">
        <v>1100</v>
      </c>
      <c r="H5595" s="20">
        <f>G5595*F5595</f>
        <v>2365</v>
      </c>
      <c r="I5595" s="44"/>
    </row>
    <row r="5596" spans="2:13" x14ac:dyDescent="0.15">
      <c r="B5596" s="107"/>
      <c r="C5596" s="66"/>
      <c r="D5596" s="67"/>
      <c r="E5596" s="68"/>
      <c r="F5596" s="68"/>
      <c r="G5596" s="69"/>
      <c r="H5596" s="65"/>
      <c r="I5596" s="44"/>
    </row>
    <row r="5597" spans="2:13" ht="14" thickBot="1" x14ac:dyDescent="0.2">
      <c r="B5597" s="33"/>
      <c r="C5597" s="54"/>
      <c r="D5597" s="21"/>
      <c r="E5597" s="22"/>
      <c r="F5597" s="23"/>
      <c r="G5597" s="47"/>
      <c r="H5597" s="21"/>
      <c r="I5597" s="48"/>
    </row>
    <row r="5598" spans="2:13" ht="14" thickBot="1" x14ac:dyDescent="0.2">
      <c r="B5598" s="1"/>
      <c r="C5598" s="1"/>
      <c r="D5598" s="1"/>
      <c r="E5598" s="1"/>
      <c r="F5598" s="1"/>
      <c r="G5598" s="1"/>
      <c r="H5598" s="37" t="s">
        <v>26</v>
      </c>
      <c r="I5598" s="163">
        <f>SUM(H5595:H5597)</f>
        <v>2365</v>
      </c>
    </row>
    <row r="5599" spans="2:13" ht="14" thickBot="1" x14ac:dyDescent="0.2">
      <c r="B5599" s="28" t="s">
        <v>37</v>
      </c>
      <c r="C5599" s="28"/>
      <c r="D5599" s="1"/>
      <c r="E5599" s="1"/>
      <c r="F5599" s="1"/>
      <c r="G5599" s="1"/>
      <c r="H5599" s="1"/>
      <c r="I5599" s="1"/>
      <c r="M5599" s="106"/>
    </row>
    <row r="5600" spans="2:13" x14ac:dyDescent="0.15">
      <c r="B5600" s="51" t="s">
        <v>38</v>
      </c>
      <c r="C5600" s="86"/>
      <c r="D5600" s="31" t="s">
        <v>39</v>
      </c>
      <c r="E5600" s="209" t="s">
        <v>40</v>
      </c>
      <c r="F5600" s="19" t="s">
        <v>41</v>
      </c>
      <c r="G5600" s="31" t="s">
        <v>24</v>
      </c>
      <c r="H5600" s="208" t="s">
        <v>25</v>
      </c>
      <c r="I5600" s="43"/>
    </row>
    <row r="5601" spans="2:13" x14ac:dyDescent="0.15">
      <c r="B5601" s="4" t="s">
        <v>1132</v>
      </c>
      <c r="C5601" s="24"/>
      <c r="D5601" s="32">
        <f>'MANO DE OBRA'!E17</f>
        <v>95333</v>
      </c>
      <c r="E5601" s="88">
        <v>1.75</v>
      </c>
      <c r="F5601" s="164">
        <f>+E5601*D5601</f>
        <v>166832.75</v>
      </c>
      <c r="G5601" s="20">
        <v>23</v>
      </c>
      <c r="H5601" s="169">
        <f>+F5601/G5601</f>
        <v>7253.597826086957</v>
      </c>
      <c r="I5601" s="44"/>
    </row>
    <row r="5602" spans="2:13" x14ac:dyDescent="0.15">
      <c r="B5602" s="4" t="s">
        <v>55</v>
      </c>
      <c r="C5602" s="24"/>
      <c r="D5602" s="32">
        <f>'MANO DE OBRA'!E14*2</f>
        <v>104000</v>
      </c>
      <c r="E5602" s="88">
        <v>1.75</v>
      </c>
      <c r="F5602" s="164">
        <f>+E5602*D5602</f>
        <v>182000</v>
      </c>
      <c r="G5602" s="20">
        <v>23</v>
      </c>
      <c r="H5602" s="169">
        <f>+F5602/G5602</f>
        <v>7913.04347826087</v>
      </c>
      <c r="I5602" s="44"/>
    </row>
    <row r="5603" spans="2:13" ht="14" thickBot="1" x14ac:dyDescent="0.2">
      <c r="B5603" s="33"/>
      <c r="C5603" s="34"/>
      <c r="D5603" s="22"/>
      <c r="E5603" s="21"/>
      <c r="F5603" s="22"/>
      <c r="G5603" s="23"/>
      <c r="H5603" s="47"/>
      <c r="I5603" s="48"/>
      <c r="M5603" s="106"/>
    </row>
    <row r="5604" spans="2:13" ht="14" thickBot="1" x14ac:dyDescent="0.2">
      <c r="B5604" s="1"/>
      <c r="C5604" s="1"/>
      <c r="D5604" s="1"/>
      <c r="E5604" s="1"/>
      <c r="F5604" s="1"/>
      <c r="G5604" s="1"/>
      <c r="H5604" s="37" t="s">
        <v>26</v>
      </c>
      <c r="I5604" s="177">
        <f>SUM(H5601:H5603)</f>
        <v>15166.641304347828</v>
      </c>
    </row>
    <row r="5605" spans="2:13" ht="14" thickBot="1" x14ac:dyDescent="0.2">
      <c r="B5605" s="1"/>
      <c r="C5605" s="1"/>
      <c r="D5605" s="1"/>
      <c r="E5605" s="1"/>
      <c r="F5605" s="1"/>
      <c r="G5605" s="1"/>
      <c r="H5605" s="61"/>
      <c r="I5605" s="1"/>
    </row>
    <row r="5606" spans="2:13" ht="15" thickBot="1" x14ac:dyDescent="0.2">
      <c r="B5606" s="1"/>
      <c r="C5606" s="1"/>
      <c r="D5606" s="1"/>
      <c r="E5606" s="1"/>
      <c r="F5606" s="35" t="s">
        <v>43</v>
      </c>
      <c r="G5606" s="16"/>
      <c r="H5606" s="16"/>
      <c r="I5606" s="232">
        <f>ROUND((I5584+I5592+I5598+I5604),0)</f>
        <v>64744</v>
      </c>
    </row>
    <row r="5607" spans="2:13" x14ac:dyDescent="0.15">
      <c r="B5607" s="12"/>
      <c r="C5607" s="12"/>
      <c r="D5607" s="1"/>
      <c r="E5607" s="1"/>
      <c r="F5607" s="1"/>
      <c r="G5607" s="1"/>
      <c r="H5607" s="172"/>
      <c r="I5607" s="172"/>
    </row>
    <row r="5608" spans="2:13" x14ac:dyDescent="0.15">
      <c r="B5608" s="16"/>
      <c r="C5608" s="16"/>
      <c r="D5608" s="16"/>
      <c r="E5608" s="16"/>
      <c r="F5608" s="16"/>
      <c r="G5608" s="61"/>
      <c r="H5608" s="173"/>
      <c r="I5608" s="172"/>
    </row>
    <row r="5609" spans="2:13" x14ac:dyDescent="0.15">
      <c r="B5609" s="1"/>
      <c r="C5609" s="1"/>
      <c r="D5609" s="1"/>
      <c r="E5609" s="1"/>
      <c r="F5609" s="1"/>
      <c r="G5609" s="161"/>
      <c r="H5609" s="172"/>
      <c r="I5609" s="172"/>
    </row>
    <row r="5610" spans="2:13" x14ac:dyDescent="0.15">
      <c r="B5610" s="1"/>
      <c r="C5610" s="1"/>
      <c r="D5610" s="1"/>
      <c r="E5610" s="1"/>
      <c r="F5610" s="1"/>
      <c r="G5610" s="161"/>
      <c r="H5610" s="172"/>
      <c r="I5610" s="172"/>
    </row>
    <row r="5611" spans="2:13" x14ac:dyDescent="0.15">
      <c r="B5611" s="1"/>
      <c r="C5611" s="1"/>
      <c r="D5611" s="1"/>
      <c r="E5611" s="1"/>
      <c r="F5611" s="1"/>
      <c r="G5611" s="161"/>
      <c r="H5611" s="172"/>
      <c r="I5611" s="172"/>
    </row>
    <row r="5612" spans="2:13" x14ac:dyDescent="0.15">
      <c r="B5612" s="1"/>
      <c r="C5612" s="1"/>
      <c r="D5612" s="1"/>
      <c r="E5612" s="1"/>
      <c r="F5612" s="1"/>
      <c r="G5612" s="1"/>
      <c r="H5612" s="37"/>
      <c r="I5612" s="172"/>
    </row>
    <row r="5613" spans="2:13" x14ac:dyDescent="0.15">
      <c r="B5613" s="1"/>
      <c r="C5613" s="1"/>
      <c r="D5613" s="1"/>
      <c r="E5613" s="1"/>
      <c r="F5613" s="1"/>
      <c r="G5613" s="1"/>
      <c r="H5613" s="37"/>
      <c r="I5613" s="172"/>
    </row>
    <row r="5614" spans="2:13" x14ac:dyDescent="0.15">
      <c r="B5614" s="1"/>
      <c r="C5614" s="1"/>
      <c r="D5614" s="1"/>
      <c r="E5614" s="1"/>
      <c r="F5614" s="1"/>
      <c r="G5614" s="1"/>
      <c r="H5614" s="37"/>
      <c r="I5614" s="172"/>
    </row>
    <row r="5615" spans="2:13" ht="14" x14ac:dyDescent="0.15">
      <c r="B5615" s="102"/>
      <c r="C5615" s="1"/>
      <c r="D5615" s="1"/>
      <c r="E5615" s="1"/>
      <c r="F5615" s="1"/>
      <c r="G5615" s="1"/>
      <c r="H5615" s="1"/>
      <c r="I5615" s="172"/>
    </row>
    <row r="5616" spans="2:13" ht="14" x14ac:dyDescent="0.15">
      <c r="B5616" s="83"/>
      <c r="C5616" s="11"/>
      <c r="D5616" s="1"/>
      <c r="E5616" s="916"/>
      <c r="F5616" s="916"/>
      <c r="G5616" s="916"/>
      <c r="H5616" s="916"/>
      <c r="I5616" s="171"/>
    </row>
    <row r="5617" spans="2:9" ht="14" x14ac:dyDescent="0.15">
      <c r="B5617" s="102"/>
      <c r="C5617" s="11"/>
      <c r="D5617" s="1"/>
      <c r="E5617" s="155"/>
      <c r="F5617" s="155"/>
      <c r="G5617" s="155"/>
      <c r="H5617" s="155"/>
      <c r="I5617" s="171"/>
    </row>
    <row r="5618" spans="2:9" ht="14" x14ac:dyDescent="0.15">
      <c r="B5618" s="83"/>
      <c r="C5618" s="11"/>
      <c r="D5618" s="1"/>
      <c r="E5618" s="155"/>
      <c r="F5618" s="155"/>
      <c r="G5618" s="155"/>
      <c r="H5618" s="155"/>
      <c r="I5618" s="171"/>
    </row>
    <row r="5619" spans="2:9" ht="14" x14ac:dyDescent="0.15">
      <c r="B5619" s="83"/>
      <c r="C5619" s="11"/>
      <c r="D5619" s="1"/>
      <c r="E5619" s="155"/>
      <c r="F5619" s="155"/>
      <c r="G5619" s="155"/>
      <c r="H5619" s="155"/>
      <c r="I5619" s="171"/>
    </row>
    <row r="5620" spans="2:9" ht="14" x14ac:dyDescent="0.15">
      <c r="B5620" s="83"/>
      <c r="C5620" s="11"/>
      <c r="D5620" s="1"/>
      <c r="E5620" s="155"/>
      <c r="F5620" s="155"/>
      <c r="G5620" s="155"/>
      <c r="H5620" s="155"/>
      <c r="I5620" s="171"/>
    </row>
    <row r="5621" spans="2:9" ht="14" x14ac:dyDescent="0.15">
      <c r="B5621" s="83"/>
      <c r="C5621" s="11"/>
      <c r="D5621" s="1"/>
      <c r="E5621" s="155"/>
      <c r="F5621" s="155"/>
      <c r="G5621" s="155"/>
      <c r="H5621" s="155"/>
      <c r="I5621" s="171"/>
    </row>
    <row r="5622" spans="2:9" x14ac:dyDescent="0.15">
      <c r="B5622" s="11"/>
      <c r="C5622" s="11"/>
      <c r="D5622" s="1"/>
      <c r="E5622" s="155"/>
      <c r="F5622" s="155"/>
      <c r="G5622" s="155"/>
      <c r="H5622" s="155"/>
      <c r="I5622" s="171"/>
    </row>
    <row r="5623" spans="2:9" x14ac:dyDescent="0.15">
      <c r="B5623" s="11"/>
      <c r="C5623" s="11"/>
      <c r="D5623" s="1"/>
      <c r="E5623" s="155"/>
      <c r="F5623" s="155"/>
      <c r="G5623" s="155"/>
      <c r="H5623" s="155"/>
      <c r="I5623" s="171"/>
    </row>
    <row r="5624" spans="2:9" ht="14" thickBot="1" x14ac:dyDescent="0.2">
      <c r="B5624" s="11"/>
      <c r="C5624" s="11"/>
      <c r="D5624" s="1"/>
      <c r="E5624" s="155"/>
      <c r="F5624" s="155"/>
      <c r="G5624" s="155"/>
      <c r="H5624" s="155"/>
      <c r="I5624" s="171"/>
    </row>
    <row r="5625" spans="2:9" ht="21" customHeight="1" x14ac:dyDescent="0.15">
      <c r="B5625" s="885" t="s">
        <v>527</v>
      </c>
      <c r="C5625" s="886"/>
      <c r="D5625" s="886"/>
      <c r="E5625" s="886"/>
      <c r="F5625" s="887"/>
      <c r="G5625" s="1"/>
      <c r="H5625" s="912" t="s">
        <v>20</v>
      </c>
      <c r="I5625" s="913"/>
    </row>
    <row r="5626" spans="2:9" ht="16.5" customHeight="1" x14ac:dyDescent="0.15">
      <c r="B5626" s="888" t="s">
        <v>528</v>
      </c>
      <c r="C5626" s="889"/>
      <c r="D5626" s="889"/>
      <c r="E5626" s="889"/>
      <c r="F5626" s="890"/>
      <c r="G5626" s="63"/>
      <c r="H5626" s="943"/>
      <c r="I5626" s="944"/>
    </row>
    <row r="5627" spans="2:9" ht="12.75" customHeight="1" x14ac:dyDescent="0.15">
      <c r="B5627" s="906" t="s">
        <v>529</v>
      </c>
      <c r="C5627" s="907"/>
      <c r="D5627" s="907"/>
      <c r="E5627" s="907"/>
      <c r="F5627" s="908"/>
      <c r="G5627" s="63"/>
      <c r="H5627" s="945" t="s">
        <v>1434</v>
      </c>
      <c r="I5627" s="946"/>
    </row>
    <row r="5628" spans="2:9" ht="16.5" customHeight="1" thickBot="1" x14ac:dyDescent="0.2">
      <c r="B5628" s="909"/>
      <c r="C5628" s="910"/>
      <c r="D5628" s="910"/>
      <c r="E5628" s="910"/>
      <c r="F5628" s="911"/>
      <c r="G5628" s="1"/>
      <c r="H5628" s="945"/>
      <c r="I5628" s="946"/>
    </row>
    <row r="5629" spans="2:9" ht="14" thickBot="1" x14ac:dyDescent="0.2">
      <c r="B5629" s="15"/>
      <c r="C5629" s="16"/>
      <c r="D5629" s="1"/>
      <c r="E5629" s="1"/>
      <c r="F5629" s="1"/>
      <c r="G5629" s="1"/>
      <c r="H5629" s="945"/>
      <c r="I5629" s="946"/>
    </row>
    <row r="5630" spans="2:9" ht="12.75" customHeight="1" x14ac:dyDescent="0.15">
      <c r="B5630" s="947" t="s">
        <v>1283</v>
      </c>
      <c r="C5630" s="948"/>
      <c r="D5630" s="948"/>
      <c r="E5630" s="948"/>
      <c r="F5630" s="949"/>
      <c r="G5630" s="1"/>
      <c r="H5630" s="945"/>
      <c r="I5630" s="946"/>
    </row>
    <row r="5631" spans="2:9" ht="12.75" customHeight="1" x14ac:dyDescent="0.15">
      <c r="B5631" s="950"/>
      <c r="C5631" s="951"/>
      <c r="D5631" s="951"/>
      <c r="E5631" s="951"/>
      <c r="F5631" s="952"/>
      <c r="H5631" s="945"/>
      <c r="I5631" s="946"/>
    </row>
    <row r="5632" spans="2:9" ht="21" customHeight="1" x14ac:dyDescent="0.15">
      <c r="B5632" s="950"/>
      <c r="C5632" s="951"/>
      <c r="D5632" s="951"/>
      <c r="E5632" s="951"/>
      <c r="F5632" s="952"/>
      <c r="G5632" s="11"/>
      <c r="H5632" s="945"/>
      <c r="I5632" s="946"/>
    </row>
    <row r="5633" spans="2:9" ht="21.75" customHeight="1" thickBot="1" x14ac:dyDescent="0.2">
      <c r="B5633" s="953"/>
      <c r="C5633" s="954"/>
      <c r="D5633" s="954"/>
      <c r="E5633" s="954"/>
      <c r="F5633" s="955"/>
      <c r="H5633" s="64" t="s">
        <v>45</v>
      </c>
      <c r="I5633" s="17" t="s">
        <v>7</v>
      </c>
    </row>
    <row r="5634" spans="2:9" x14ac:dyDescent="0.15">
      <c r="B5634" s="18"/>
      <c r="C5634" s="18"/>
      <c r="D5634" s="1"/>
      <c r="E5634" s="18"/>
      <c r="F5634" s="18"/>
      <c r="G5634" s="18"/>
      <c r="H5634" s="18"/>
      <c r="I5634" s="1"/>
    </row>
    <row r="5635" spans="2:9" ht="14" thickBot="1" x14ac:dyDescent="0.2">
      <c r="B5635" s="12" t="s">
        <v>21</v>
      </c>
      <c r="C5635" s="12"/>
      <c r="D5635" s="1"/>
      <c r="E5635" s="1"/>
      <c r="F5635" s="1"/>
      <c r="G5635" s="1"/>
      <c r="H5635" s="1"/>
      <c r="I5635" s="1"/>
    </row>
    <row r="5636" spans="2:9" x14ac:dyDescent="0.15">
      <c r="B5636" s="903" t="s">
        <v>22</v>
      </c>
      <c r="C5636" s="904"/>
      <c r="D5636" s="905"/>
      <c r="E5636" s="209" t="s">
        <v>23</v>
      </c>
      <c r="F5636" s="19" t="s">
        <v>47</v>
      </c>
      <c r="G5636" s="209" t="s">
        <v>24</v>
      </c>
      <c r="H5636" s="208" t="s">
        <v>25</v>
      </c>
      <c r="I5636" s="43"/>
    </row>
    <row r="5637" spans="2:9" x14ac:dyDescent="0.15">
      <c r="B5637" s="897" t="s">
        <v>56</v>
      </c>
      <c r="C5637" s="898"/>
      <c r="D5637" s="899"/>
      <c r="E5637" s="5"/>
      <c r="F5637" s="162"/>
      <c r="G5637" s="58"/>
      <c r="H5637" s="162">
        <f>I5660*0.05</f>
        <v>4455.2046875000005</v>
      </c>
      <c r="I5637" s="44"/>
    </row>
    <row r="5638" spans="2:9" ht="14" thickBot="1" x14ac:dyDescent="0.2">
      <c r="B5638" s="900"/>
      <c r="C5638" s="901"/>
      <c r="D5638" s="902"/>
      <c r="E5638" s="21"/>
      <c r="F5638" s="22"/>
      <c r="G5638" s="23"/>
      <c r="H5638" s="47"/>
      <c r="I5638" s="48"/>
    </row>
    <row r="5639" spans="2:9" ht="14" thickBot="1" x14ac:dyDescent="0.2">
      <c r="B5639" s="1"/>
      <c r="C5639" s="1"/>
      <c r="D5639" s="1"/>
      <c r="E5639" s="1"/>
      <c r="F5639" s="1"/>
      <c r="G5639" s="1"/>
      <c r="H5639" s="37" t="s">
        <v>26</v>
      </c>
      <c r="I5639" s="163">
        <f>SUM(H5637:H5638)</f>
        <v>4455.2046875000005</v>
      </c>
    </row>
    <row r="5640" spans="2:9" ht="14" thickBot="1" x14ac:dyDescent="0.2">
      <c r="B5640" s="12" t="s">
        <v>27</v>
      </c>
      <c r="C5640" s="12"/>
      <c r="D5640" s="1"/>
      <c r="E5640" s="1"/>
      <c r="F5640" s="1"/>
      <c r="G5640" s="1"/>
      <c r="H5640" s="1"/>
      <c r="I5640" s="1"/>
    </row>
    <row r="5641" spans="2:9" x14ac:dyDescent="0.15">
      <c r="B5641" s="903" t="s">
        <v>22</v>
      </c>
      <c r="C5641" s="904"/>
      <c r="D5641" s="905"/>
      <c r="E5641" s="209" t="s">
        <v>28</v>
      </c>
      <c r="F5641" s="209" t="s">
        <v>29</v>
      </c>
      <c r="G5641" s="209" t="s">
        <v>30</v>
      </c>
      <c r="H5641" s="208" t="s">
        <v>25</v>
      </c>
      <c r="I5641" s="43"/>
    </row>
    <row r="5642" spans="2:9" x14ac:dyDescent="0.15">
      <c r="B5642" s="4" t="s">
        <v>1433</v>
      </c>
      <c r="C5642" s="24"/>
      <c r="D5642" s="6"/>
      <c r="E5642" s="3" t="s">
        <v>7</v>
      </c>
      <c r="F5642" s="164">
        <f>MATERIALES!C125</f>
        <v>262500</v>
      </c>
      <c r="G5642" s="65">
        <v>0.5</v>
      </c>
      <c r="H5642" s="165">
        <f t="shared" ref="H5642:H5645" si="38">G5642*F5642</f>
        <v>131250</v>
      </c>
      <c r="I5642" s="44"/>
    </row>
    <row r="5643" spans="2:9" x14ac:dyDescent="0.15">
      <c r="B5643" s="4" t="s">
        <v>74</v>
      </c>
      <c r="C5643" s="24"/>
      <c r="D5643" s="6"/>
      <c r="E5643" s="3" t="s">
        <v>58</v>
      </c>
      <c r="F5643" s="164">
        <f>MATERIALES!C106</f>
        <v>24500</v>
      </c>
      <c r="G5643" s="65">
        <v>0.2</v>
      </c>
      <c r="H5643" s="165">
        <f t="shared" si="38"/>
        <v>4900</v>
      </c>
      <c r="I5643" s="44"/>
    </row>
    <row r="5644" spans="2:9" x14ac:dyDescent="0.15">
      <c r="B5644" s="4" t="s">
        <v>119</v>
      </c>
      <c r="C5644" s="24"/>
      <c r="D5644" s="6"/>
      <c r="E5644" s="3" t="s">
        <v>76</v>
      </c>
      <c r="F5644" s="164">
        <f>MATERIALES!C107</f>
        <v>110500</v>
      </c>
      <c r="G5644" s="65">
        <v>0.05</v>
      </c>
      <c r="H5644" s="165">
        <f t="shared" si="38"/>
        <v>5525</v>
      </c>
      <c r="I5644" s="44"/>
    </row>
    <row r="5645" spans="2:9" x14ac:dyDescent="0.15">
      <c r="B5645" s="4" t="s">
        <v>518</v>
      </c>
      <c r="C5645" s="24"/>
      <c r="D5645" s="6"/>
      <c r="E5645" s="3" t="s">
        <v>76</v>
      </c>
      <c r="F5645" s="164">
        <f>MATERIALES!C110</f>
        <v>366520</v>
      </c>
      <c r="G5645" s="65">
        <v>2.5000000000000001E-2</v>
      </c>
      <c r="H5645" s="165">
        <f t="shared" si="38"/>
        <v>9163</v>
      </c>
      <c r="I5645" s="44"/>
    </row>
    <row r="5646" spans="2:9" x14ac:dyDescent="0.15">
      <c r="B5646" s="4" t="s">
        <v>75</v>
      </c>
      <c r="C5646" s="24"/>
      <c r="D5646" s="6"/>
      <c r="E5646" s="3" t="s">
        <v>76</v>
      </c>
      <c r="F5646" s="164">
        <f>MATERIALES!C109</f>
        <v>82420</v>
      </c>
      <c r="G5646" s="65">
        <v>0.05</v>
      </c>
      <c r="H5646" s="165">
        <f t="shared" ref="H5646" si="39">G5646*F5646</f>
        <v>4121</v>
      </c>
      <c r="I5646" s="44"/>
    </row>
    <row r="5647" spans="2:9" ht="14" thickBot="1" x14ac:dyDescent="0.2">
      <c r="B5647" s="25"/>
      <c r="C5647" s="26"/>
      <c r="D5647" s="27"/>
      <c r="E5647" s="21"/>
      <c r="F5647" s="22"/>
      <c r="G5647" s="167"/>
      <c r="H5647" s="47"/>
      <c r="I5647" s="48"/>
    </row>
    <row r="5648" spans="2:9" ht="14" thickBot="1" x14ac:dyDescent="0.2">
      <c r="B5648" s="1"/>
      <c r="C5648" s="1"/>
      <c r="D5648" s="1"/>
      <c r="E5648" s="1"/>
      <c r="F5648" s="1"/>
      <c r="G5648" s="1"/>
      <c r="H5648" s="37" t="s">
        <v>26</v>
      </c>
      <c r="I5648" s="163">
        <f>SUM(H5642:H5647)</f>
        <v>154959</v>
      </c>
    </row>
    <row r="5649" spans="2:11" ht="14" thickBot="1" x14ac:dyDescent="0.2">
      <c r="B5649" s="28" t="s">
        <v>31</v>
      </c>
      <c r="C5649" s="28"/>
      <c r="D5649" s="26"/>
      <c r="E5649" s="1"/>
      <c r="F5649" s="1"/>
      <c r="G5649" s="1"/>
      <c r="H5649" s="1"/>
      <c r="I5649" s="1"/>
    </row>
    <row r="5650" spans="2:11" x14ac:dyDescent="0.15">
      <c r="B5650" s="51" t="s">
        <v>32</v>
      </c>
      <c r="C5650" s="52"/>
      <c r="D5650" s="97" t="s">
        <v>33</v>
      </c>
      <c r="E5650" s="209" t="s">
        <v>34</v>
      </c>
      <c r="F5650" s="209" t="s">
        <v>35</v>
      </c>
      <c r="G5650" s="209" t="s">
        <v>36</v>
      </c>
      <c r="H5650" s="59" t="s">
        <v>25</v>
      </c>
      <c r="I5650" s="43"/>
    </row>
    <row r="5651" spans="2:11" x14ac:dyDescent="0.15">
      <c r="B5651" s="4" t="s">
        <v>79</v>
      </c>
      <c r="C5651" s="6"/>
      <c r="D5651" s="53">
        <v>0.5</v>
      </c>
      <c r="E5651" s="2">
        <v>43</v>
      </c>
      <c r="F5651" s="2">
        <f>E5651*D5651</f>
        <v>21.5</v>
      </c>
      <c r="G5651" s="162">
        <v>1100</v>
      </c>
      <c r="H5651" s="20">
        <f>G5651*F5651</f>
        <v>23650</v>
      </c>
      <c r="I5651" s="44"/>
    </row>
    <row r="5652" spans="2:11" x14ac:dyDescent="0.15">
      <c r="B5652" s="107"/>
      <c r="C5652" s="66"/>
      <c r="D5652" s="67"/>
      <c r="E5652" s="68"/>
      <c r="F5652" s="68"/>
      <c r="G5652" s="69"/>
      <c r="H5652" s="65"/>
      <c r="I5652" s="44"/>
    </row>
    <row r="5653" spans="2:11" ht="14" thickBot="1" x14ac:dyDescent="0.2">
      <c r="B5653" s="33"/>
      <c r="C5653" s="54"/>
      <c r="D5653" s="21"/>
      <c r="E5653" s="22"/>
      <c r="F5653" s="23"/>
      <c r="G5653" s="47"/>
      <c r="H5653" s="21"/>
      <c r="I5653" s="48"/>
    </row>
    <row r="5654" spans="2:11" ht="14" thickBot="1" x14ac:dyDescent="0.2">
      <c r="B5654" s="1"/>
      <c r="C5654" s="1"/>
      <c r="D5654" s="1"/>
      <c r="E5654" s="1"/>
      <c r="F5654" s="1"/>
      <c r="G5654" s="1"/>
      <c r="H5654" s="37" t="s">
        <v>26</v>
      </c>
      <c r="I5654" s="163">
        <f>SUM(H5651:H5653)</f>
        <v>23650</v>
      </c>
      <c r="K5654" s="106"/>
    </row>
    <row r="5655" spans="2:11" ht="14" thickBot="1" x14ac:dyDescent="0.2">
      <c r="B5655" s="28" t="s">
        <v>37</v>
      </c>
      <c r="C5655" s="28"/>
      <c r="D5655" s="1"/>
      <c r="E5655" s="1"/>
      <c r="F5655" s="1"/>
      <c r="G5655" s="1"/>
      <c r="H5655" s="1"/>
      <c r="I5655" s="1"/>
    </row>
    <row r="5656" spans="2:11" x14ac:dyDescent="0.15">
      <c r="B5656" s="51" t="s">
        <v>38</v>
      </c>
      <c r="C5656" s="86"/>
      <c r="D5656" s="31" t="s">
        <v>39</v>
      </c>
      <c r="E5656" s="209" t="s">
        <v>40</v>
      </c>
      <c r="F5656" s="19" t="s">
        <v>41</v>
      </c>
      <c r="G5656" s="31" t="s">
        <v>24</v>
      </c>
      <c r="H5656" s="208" t="s">
        <v>25</v>
      </c>
      <c r="I5656" s="43"/>
    </row>
    <row r="5657" spans="2:11" x14ac:dyDescent="0.15">
      <c r="B5657" s="4" t="s">
        <v>1132</v>
      </c>
      <c r="C5657" s="24"/>
      <c r="D5657" s="32">
        <f>'MANO DE OBRA'!E17</f>
        <v>95333</v>
      </c>
      <c r="E5657" s="88">
        <v>1.75</v>
      </c>
      <c r="F5657" s="164">
        <f>+E5657*D5657</f>
        <v>166832.75</v>
      </c>
      <c r="G5657" s="20">
        <v>8</v>
      </c>
      <c r="H5657" s="169">
        <f>+F5657/G5657</f>
        <v>20854.09375</v>
      </c>
      <c r="I5657" s="44"/>
    </row>
    <row r="5658" spans="2:11" x14ac:dyDescent="0.15">
      <c r="B5658" s="4" t="s">
        <v>94</v>
      </c>
      <c r="C5658" s="24"/>
      <c r="D5658" s="32">
        <f>'MANO DE OBRA'!E14*6</f>
        <v>312000</v>
      </c>
      <c r="E5658" s="88">
        <v>1.75</v>
      </c>
      <c r="F5658" s="164">
        <f>+E5658*D5658</f>
        <v>546000</v>
      </c>
      <c r="G5658" s="20">
        <v>8</v>
      </c>
      <c r="H5658" s="169">
        <f>+F5658/G5658</f>
        <v>68250</v>
      </c>
      <c r="I5658" s="44"/>
      <c r="K5658" s="106"/>
    </row>
    <row r="5659" spans="2:11" ht="14" thickBot="1" x14ac:dyDescent="0.2">
      <c r="B5659" s="33"/>
      <c r="C5659" s="34"/>
      <c r="D5659" s="22"/>
      <c r="E5659" s="21"/>
      <c r="F5659" s="22"/>
      <c r="G5659" s="23"/>
      <c r="H5659" s="47"/>
      <c r="I5659" s="48"/>
    </row>
    <row r="5660" spans="2:11" ht="14" thickBot="1" x14ac:dyDescent="0.2">
      <c r="B5660" s="1"/>
      <c r="C5660" s="1"/>
      <c r="D5660" s="1"/>
      <c r="E5660" s="1"/>
      <c r="F5660" s="1"/>
      <c r="G5660" s="1"/>
      <c r="H5660" s="37" t="s">
        <v>26</v>
      </c>
      <c r="I5660" s="177">
        <f>SUM(H5657:H5659)</f>
        <v>89104.09375</v>
      </c>
    </row>
    <row r="5661" spans="2:11" ht="14" thickBot="1" x14ac:dyDescent="0.2">
      <c r="B5661" s="1"/>
      <c r="C5661" s="1"/>
      <c r="D5661" s="1"/>
      <c r="E5661" s="1"/>
      <c r="F5661" s="1"/>
      <c r="G5661" s="1"/>
      <c r="H5661" s="61"/>
      <c r="I5661" s="1"/>
    </row>
    <row r="5662" spans="2:11" ht="15" thickBot="1" x14ac:dyDescent="0.2">
      <c r="B5662" s="1"/>
      <c r="C5662" s="1"/>
      <c r="D5662" s="1"/>
      <c r="E5662" s="1"/>
      <c r="F5662" s="35" t="s">
        <v>43</v>
      </c>
      <c r="G5662" s="16"/>
      <c r="H5662" s="16"/>
      <c r="I5662" s="232">
        <f>ROUND((I5639+I5648+I5654+I5660),0)</f>
        <v>272168</v>
      </c>
    </row>
    <row r="5663" spans="2:11" x14ac:dyDescent="0.15">
      <c r="B5663" s="12"/>
      <c r="C5663" s="12"/>
      <c r="D5663" s="1"/>
      <c r="E5663" s="1"/>
      <c r="F5663" s="1"/>
      <c r="G5663" s="1"/>
      <c r="H5663" s="172"/>
      <c r="I5663" s="172"/>
    </row>
    <row r="5664" spans="2:11" x14ac:dyDescent="0.15">
      <c r="B5664" s="16"/>
      <c r="C5664" s="16"/>
      <c r="D5664" s="16"/>
      <c r="E5664" s="16"/>
      <c r="F5664" s="16"/>
      <c r="G5664" s="61"/>
      <c r="H5664" s="173"/>
      <c r="I5664" s="172"/>
    </row>
    <row r="5665" spans="2:9" x14ac:dyDescent="0.15">
      <c r="B5665" s="1"/>
      <c r="C5665" s="1"/>
      <c r="D5665" s="1"/>
      <c r="E5665" s="1"/>
      <c r="F5665" s="1"/>
      <c r="G5665" s="161"/>
      <c r="H5665" s="172"/>
      <c r="I5665" s="172"/>
    </row>
    <row r="5666" spans="2:9" x14ac:dyDescent="0.15">
      <c r="B5666" s="1"/>
      <c r="C5666" s="1"/>
      <c r="D5666" s="1"/>
      <c r="E5666" s="1"/>
      <c r="F5666" s="1"/>
      <c r="G5666" s="161"/>
      <c r="H5666" s="172"/>
      <c r="I5666" s="172"/>
    </row>
    <row r="5667" spans="2:9" x14ac:dyDescent="0.15">
      <c r="B5667" s="1"/>
      <c r="C5667" s="1"/>
      <c r="D5667" s="1"/>
      <c r="E5667" s="1"/>
      <c r="F5667" s="1"/>
      <c r="G5667" s="161"/>
      <c r="H5667" s="172"/>
      <c r="I5667" s="172"/>
    </row>
    <row r="5668" spans="2:9" x14ac:dyDescent="0.15">
      <c r="B5668" s="1"/>
      <c r="C5668" s="1"/>
      <c r="D5668" s="1"/>
      <c r="E5668" s="1"/>
      <c r="F5668" s="1"/>
      <c r="G5668" s="1"/>
      <c r="H5668" s="37"/>
      <c r="I5668" s="172"/>
    </row>
    <row r="5669" spans="2:9" x14ac:dyDescent="0.15">
      <c r="B5669" s="1"/>
      <c r="C5669" s="1"/>
      <c r="D5669" s="1"/>
      <c r="E5669" s="1"/>
      <c r="F5669" s="1"/>
      <c r="G5669" s="1"/>
      <c r="H5669" s="37"/>
      <c r="I5669" s="172"/>
    </row>
    <row r="5670" spans="2:9" x14ac:dyDescent="0.15">
      <c r="B5670" s="1"/>
      <c r="C5670" s="1"/>
      <c r="D5670" s="1"/>
      <c r="E5670" s="1"/>
      <c r="F5670" s="1"/>
      <c r="G5670" s="1"/>
      <c r="H5670" s="37"/>
      <c r="I5670" s="172"/>
    </row>
    <row r="5671" spans="2:9" ht="14" x14ac:dyDescent="0.15">
      <c r="B5671" s="102"/>
      <c r="C5671" s="1"/>
      <c r="D5671" s="1"/>
      <c r="E5671" s="1"/>
      <c r="F5671" s="1"/>
      <c r="G5671" s="1"/>
      <c r="H5671" s="1"/>
      <c r="I5671" s="172"/>
    </row>
    <row r="5672" spans="2:9" ht="14" x14ac:dyDescent="0.15">
      <c r="B5672" s="102"/>
      <c r="C5672" s="11"/>
      <c r="D5672" s="1"/>
      <c r="E5672" s="155"/>
      <c r="F5672" s="155"/>
      <c r="G5672" s="155"/>
      <c r="H5672" s="155"/>
      <c r="I5672" s="171"/>
    </row>
    <row r="5673" spans="2:9" ht="14" x14ac:dyDescent="0.15">
      <c r="B5673" s="83"/>
      <c r="C5673" s="11"/>
      <c r="D5673" s="1"/>
      <c r="E5673" s="155"/>
      <c r="F5673" s="155"/>
      <c r="G5673" s="155"/>
      <c r="H5673" s="155"/>
      <c r="I5673" s="171"/>
    </row>
    <row r="5674" spans="2:9" ht="14" x14ac:dyDescent="0.15">
      <c r="B5674" s="83"/>
      <c r="C5674" s="11"/>
      <c r="D5674" s="1"/>
      <c r="E5674" s="155"/>
      <c r="F5674" s="155"/>
      <c r="G5674" s="155"/>
      <c r="H5674" s="155"/>
      <c r="I5674" s="171"/>
    </row>
    <row r="5675" spans="2:9" ht="14" x14ac:dyDescent="0.15">
      <c r="B5675" s="83"/>
      <c r="C5675" s="11"/>
      <c r="D5675" s="1"/>
      <c r="E5675" s="155"/>
      <c r="F5675" s="155"/>
      <c r="G5675" s="155"/>
      <c r="H5675" s="155"/>
      <c r="I5675" s="171"/>
    </row>
    <row r="5676" spans="2:9" ht="14" x14ac:dyDescent="0.15">
      <c r="B5676" s="83"/>
      <c r="C5676" s="11"/>
      <c r="D5676" s="1"/>
      <c r="E5676" s="155"/>
      <c r="F5676" s="155"/>
      <c r="G5676" s="155"/>
      <c r="H5676" s="155"/>
      <c r="I5676" s="171"/>
    </row>
    <row r="5677" spans="2:9" x14ac:dyDescent="0.15">
      <c r="B5677" s="11"/>
      <c r="C5677" s="11"/>
      <c r="D5677" s="1"/>
      <c r="E5677" s="155"/>
      <c r="F5677" s="155"/>
      <c r="G5677" s="155"/>
      <c r="H5677" s="155"/>
      <c r="I5677" s="171"/>
    </row>
    <row r="5678" spans="2:9" x14ac:dyDescent="0.15">
      <c r="B5678" s="11"/>
      <c r="C5678" s="11"/>
      <c r="D5678" s="1"/>
      <c r="E5678" s="155"/>
      <c r="F5678" s="155"/>
      <c r="G5678" s="155"/>
      <c r="H5678" s="155"/>
      <c r="I5678" s="171"/>
    </row>
    <row r="5679" spans="2:9" ht="14" thickBot="1" x14ac:dyDescent="0.2">
      <c r="B5679" s="11"/>
      <c r="C5679" s="11"/>
      <c r="D5679" s="1"/>
      <c r="E5679" s="155"/>
      <c r="F5679" s="155"/>
      <c r="G5679" s="155"/>
      <c r="H5679" s="155"/>
      <c r="I5679" s="171"/>
    </row>
    <row r="5680" spans="2:9" ht="21" customHeight="1" x14ac:dyDescent="0.15">
      <c r="B5680" s="885" t="s">
        <v>874</v>
      </c>
      <c r="C5680" s="886"/>
      <c r="D5680" s="886"/>
      <c r="E5680" s="886"/>
      <c r="F5680" s="887"/>
      <c r="G5680" s="1"/>
      <c r="H5680" s="879" t="s">
        <v>20</v>
      </c>
      <c r="I5680" s="880"/>
    </row>
    <row r="5681" spans="2:9" ht="16.5" customHeight="1" x14ac:dyDescent="0.15">
      <c r="B5681" s="888" t="s">
        <v>875</v>
      </c>
      <c r="C5681" s="889"/>
      <c r="D5681" s="889"/>
      <c r="E5681" s="889"/>
      <c r="F5681" s="890"/>
      <c r="G5681" s="63"/>
      <c r="H5681" s="881"/>
      <c r="I5681" s="882"/>
    </row>
    <row r="5682" spans="2:9" ht="12.75" customHeight="1" x14ac:dyDescent="0.15">
      <c r="B5682" s="906" t="s">
        <v>876</v>
      </c>
      <c r="C5682" s="907"/>
      <c r="D5682" s="907"/>
      <c r="E5682" s="907"/>
      <c r="F5682" s="908"/>
      <c r="G5682" s="63"/>
      <c r="H5682" s="883"/>
      <c r="I5682" s="884"/>
    </row>
    <row r="5683" spans="2:9" ht="16.5" customHeight="1" thickBot="1" x14ac:dyDescent="0.2">
      <c r="B5683" s="909"/>
      <c r="C5683" s="910"/>
      <c r="D5683" s="910"/>
      <c r="E5683" s="910"/>
      <c r="F5683" s="911"/>
      <c r="G5683" s="1"/>
      <c r="H5683" s="873" t="s">
        <v>954</v>
      </c>
      <c r="I5683" s="874"/>
    </row>
    <row r="5684" spans="2:9" ht="14" thickBot="1" x14ac:dyDescent="0.2">
      <c r="B5684" s="15"/>
      <c r="C5684" s="16"/>
      <c r="D5684" s="1"/>
      <c r="E5684" s="1"/>
      <c r="F5684" s="1"/>
      <c r="G5684" s="1"/>
      <c r="H5684" s="875"/>
      <c r="I5684" s="876"/>
    </row>
    <row r="5685" spans="2:9" ht="12.75" customHeight="1" x14ac:dyDescent="0.15">
      <c r="B5685" s="922" t="s">
        <v>836</v>
      </c>
      <c r="C5685" s="923"/>
      <c r="D5685" s="923"/>
      <c r="E5685" s="923"/>
      <c r="F5685" s="924"/>
      <c r="G5685" s="1"/>
      <c r="H5685" s="875"/>
      <c r="I5685" s="876"/>
    </row>
    <row r="5686" spans="2:9" ht="12.75" customHeight="1" x14ac:dyDescent="0.15">
      <c r="B5686" s="925"/>
      <c r="C5686" s="926"/>
      <c r="D5686" s="926"/>
      <c r="E5686" s="926"/>
      <c r="F5686" s="927"/>
      <c r="G5686" s="1"/>
      <c r="H5686" s="875"/>
      <c r="I5686" s="876"/>
    </row>
    <row r="5687" spans="2:9" ht="13.5" customHeight="1" x14ac:dyDescent="0.15">
      <c r="B5687" s="925"/>
      <c r="C5687" s="926"/>
      <c r="D5687" s="926"/>
      <c r="E5687" s="926"/>
      <c r="F5687" s="927"/>
      <c r="G5687" s="11"/>
      <c r="H5687" s="877"/>
      <c r="I5687" s="878"/>
    </row>
    <row r="5688" spans="2:9" ht="21.75" customHeight="1" thickBot="1" x14ac:dyDescent="0.2">
      <c r="B5688" s="928"/>
      <c r="C5688" s="929"/>
      <c r="D5688" s="929"/>
      <c r="E5688" s="929"/>
      <c r="F5688" s="930"/>
      <c r="H5688" s="64" t="s">
        <v>45</v>
      </c>
      <c r="I5688" s="17" t="s">
        <v>5</v>
      </c>
    </row>
    <row r="5689" spans="2:9" x14ac:dyDescent="0.15">
      <c r="B5689" s="18"/>
      <c r="C5689" s="18"/>
      <c r="D5689" s="1"/>
      <c r="E5689" s="18"/>
      <c r="F5689" s="18"/>
      <c r="G5689" s="18"/>
      <c r="H5689" s="18"/>
      <c r="I5689" s="1"/>
    </row>
    <row r="5690" spans="2:9" ht="14" thickBot="1" x14ac:dyDescent="0.2">
      <c r="B5690" s="12" t="s">
        <v>21</v>
      </c>
      <c r="C5690" s="12"/>
      <c r="D5690" s="1"/>
      <c r="E5690" s="1"/>
      <c r="F5690" s="1"/>
      <c r="G5690" s="1"/>
      <c r="H5690" s="1"/>
      <c r="I5690" s="1"/>
    </row>
    <row r="5691" spans="2:9" x14ac:dyDescent="0.15">
      <c r="B5691" s="903" t="s">
        <v>22</v>
      </c>
      <c r="C5691" s="904"/>
      <c r="D5691" s="905"/>
      <c r="E5691" s="209" t="s">
        <v>23</v>
      </c>
      <c r="F5691" s="19" t="s">
        <v>47</v>
      </c>
      <c r="G5691" s="209" t="s">
        <v>24</v>
      </c>
      <c r="H5691" s="208" t="s">
        <v>25</v>
      </c>
      <c r="I5691" s="43"/>
    </row>
    <row r="5692" spans="2:9" x14ac:dyDescent="0.15">
      <c r="B5692" s="897" t="s">
        <v>56</v>
      </c>
      <c r="C5692" s="898"/>
      <c r="D5692" s="899"/>
      <c r="E5692" s="5"/>
      <c r="F5692" s="162"/>
      <c r="G5692" s="58"/>
      <c r="H5692" s="162">
        <f>I5714*0.05</f>
        <v>356.41637500000002</v>
      </c>
      <c r="I5692" s="44"/>
    </row>
    <row r="5693" spans="2:9" x14ac:dyDescent="0.15">
      <c r="B5693" s="897"/>
      <c r="C5693" s="898"/>
      <c r="D5693" s="899"/>
      <c r="E5693" s="5"/>
      <c r="F5693" s="162"/>
      <c r="G5693" s="58"/>
      <c r="H5693" s="162"/>
      <c r="I5693" s="44"/>
    </row>
    <row r="5694" spans="2:9" ht="14" thickBot="1" x14ac:dyDescent="0.2">
      <c r="B5694" s="900"/>
      <c r="C5694" s="901"/>
      <c r="D5694" s="902"/>
      <c r="E5694" s="21"/>
      <c r="F5694" s="22"/>
      <c r="G5694" s="23"/>
      <c r="H5694" s="47"/>
      <c r="I5694" s="48"/>
    </row>
    <row r="5695" spans="2:9" ht="14" thickBot="1" x14ac:dyDescent="0.2">
      <c r="B5695" s="1"/>
      <c r="C5695" s="1"/>
      <c r="D5695" s="1"/>
      <c r="E5695" s="1"/>
      <c r="F5695" s="1"/>
      <c r="G5695" s="1"/>
      <c r="H5695" s="37" t="s">
        <v>26</v>
      </c>
      <c r="I5695" s="163">
        <f>SUM(H5692:H5694)</f>
        <v>356.41637500000002</v>
      </c>
    </row>
    <row r="5696" spans="2:9" ht="14" thickBot="1" x14ac:dyDescent="0.2">
      <c r="B5696" s="12" t="s">
        <v>27</v>
      </c>
      <c r="C5696" s="12"/>
      <c r="D5696" s="1"/>
      <c r="E5696" s="1"/>
      <c r="F5696" s="1"/>
      <c r="G5696" s="1"/>
      <c r="H5696" s="1"/>
      <c r="I5696" s="1"/>
    </row>
    <row r="5697" spans="2:11" x14ac:dyDescent="0.15">
      <c r="B5697" s="903" t="s">
        <v>22</v>
      </c>
      <c r="C5697" s="904"/>
      <c r="D5697" s="905"/>
      <c r="E5697" s="209" t="s">
        <v>28</v>
      </c>
      <c r="F5697" s="209" t="s">
        <v>29</v>
      </c>
      <c r="G5697" s="209" t="s">
        <v>30</v>
      </c>
      <c r="H5697" s="208" t="s">
        <v>25</v>
      </c>
      <c r="I5697" s="43"/>
    </row>
    <row r="5698" spans="2:11" x14ac:dyDescent="0.15">
      <c r="B5698" s="4" t="s">
        <v>74</v>
      </c>
      <c r="C5698" s="24"/>
      <c r="D5698" s="6"/>
      <c r="E5698" s="3" t="s">
        <v>58</v>
      </c>
      <c r="F5698" s="164">
        <f>MATERIALES!C106</f>
        <v>24500</v>
      </c>
      <c r="G5698" s="65">
        <v>0.1</v>
      </c>
      <c r="H5698" s="165">
        <f t="shared" ref="H5698:H5700" si="40">G5698*F5698</f>
        <v>2450</v>
      </c>
      <c r="I5698" s="44"/>
    </row>
    <row r="5699" spans="2:11" x14ac:dyDescent="0.15">
      <c r="B5699" s="4" t="s">
        <v>119</v>
      </c>
      <c r="C5699" s="24"/>
      <c r="D5699" s="6"/>
      <c r="E5699" s="3" t="s">
        <v>76</v>
      </c>
      <c r="F5699" s="164">
        <f>MATERIALES!C107</f>
        <v>110500</v>
      </c>
      <c r="G5699" s="65">
        <v>0.1</v>
      </c>
      <c r="H5699" s="165">
        <f t="shared" si="40"/>
        <v>11050</v>
      </c>
      <c r="I5699" s="44"/>
    </row>
    <row r="5700" spans="2:11" x14ac:dyDescent="0.15">
      <c r="B5700" s="4" t="s">
        <v>75</v>
      </c>
      <c r="C5700" s="24"/>
      <c r="D5700" s="6"/>
      <c r="E5700" s="3" t="s">
        <v>76</v>
      </c>
      <c r="F5700" s="164">
        <f>MATERIALES!C109</f>
        <v>82420</v>
      </c>
      <c r="G5700" s="65">
        <v>0.1</v>
      </c>
      <c r="H5700" s="165">
        <f t="shared" si="40"/>
        <v>8242</v>
      </c>
      <c r="I5700" s="44"/>
    </row>
    <row r="5701" spans="2:11" x14ac:dyDescent="0.15">
      <c r="B5701" s="4" t="s">
        <v>308</v>
      </c>
      <c r="C5701" s="24"/>
      <c r="D5701" s="6"/>
      <c r="E5701" s="3" t="s">
        <v>76</v>
      </c>
      <c r="F5701" s="164">
        <f>MATERIALES!C111</f>
        <v>60000</v>
      </c>
      <c r="G5701" s="182">
        <v>0.05</v>
      </c>
      <c r="H5701" s="165">
        <f>G5701*F5701</f>
        <v>3000</v>
      </c>
      <c r="I5701" s="44"/>
    </row>
    <row r="5702" spans="2:11" ht="14" thickBot="1" x14ac:dyDescent="0.2">
      <c r="B5702" s="25"/>
      <c r="C5702" s="26"/>
      <c r="D5702" s="27"/>
      <c r="E5702" s="21"/>
      <c r="F5702" s="22"/>
      <c r="G5702" s="167"/>
      <c r="H5702" s="47"/>
      <c r="I5702" s="48"/>
    </row>
    <row r="5703" spans="2:11" ht="14" thickBot="1" x14ac:dyDescent="0.2">
      <c r="B5703" s="1"/>
      <c r="C5703" s="1"/>
      <c r="D5703" s="1"/>
      <c r="E5703" s="1"/>
      <c r="F5703" s="1"/>
      <c r="G5703" s="1"/>
      <c r="H5703" s="37" t="s">
        <v>26</v>
      </c>
      <c r="I5703" s="163">
        <f>SUM(H5698:H5701)</f>
        <v>24742</v>
      </c>
    </row>
    <row r="5704" spans="2:11" ht="14" thickBot="1" x14ac:dyDescent="0.2">
      <c r="B5704" s="28" t="s">
        <v>31</v>
      </c>
      <c r="C5704" s="28"/>
      <c r="D5704" s="26"/>
      <c r="E5704" s="1"/>
      <c r="F5704" s="1"/>
      <c r="G5704" s="1"/>
      <c r="H5704" s="1"/>
      <c r="I5704" s="1"/>
    </row>
    <row r="5705" spans="2:11" x14ac:dyDescent="0.15">
      <c r="B5705" s="51" t="s">
        <v>32</v>
      </c>
      <c r="C5705" s="52"/>
      <c r="D5705" s="97" t="s">
        <v>33</v>
      </c>
      <c r="E5705" s="209" t="s">
        <v>34</v>
      </c>
      <c r="F5705" s="209" t="s">
        <v>35</v>
      </c>
      <c r="G5705" s="209" t="s">
        <v>36</v>
      </c>
      <c r="H5705" s="59" t="s">
        <v>25</v>
      </c>
      <c r="I5705" s="43"/>
    </row>
    <row r="5706" spans="2:11" x14ac:dyDescent="0.15">
      <c r="B5706" s="4" t="s">
        <v>79</v>
      </c>
      <c r="C5706" s="6"/>
      <c r="D5706" s="53">
        <v>0.05</v>
      </c>
      <c r="E5706" s="2">
        <v>43</v>
      </c>
      <c r="F5706" s="2">
        <f>E5706*D5706</f>
        <v>2.15</v>
      </c>
      <c r="G5706" s="58">
        <v>1100</v>
      </c>
      <c r="H5706" s="20">
        <f>G5706*F5706</f>
        <v>2365</v>
      </c>
      <c r="I5706" s="44"/>
    </row>
    <row r="5707" spans="2:11" ht="14" thickBot="1" x14ac:dyDescent="0.2">
      <c r="B5707" s="33"/>
      <c r="C5707" s="54"/>
      <c r="D5707" s="21"/>
      <c r="E5707" s="22"/>
      <c r="F5707" s="23"/>
      <c r="G5707" s="47"/>
      <c r="H5707" s="21"/>
      <c r="I5707" s="48"/>
    </row>
    <row r="5708" spans="2:11" ht="14" thickBot="1" x14ac:dyDescent="0.2">
      <c r="B5708" s="1"/>
      <c r="C5708" s="1"/>
      <c r="D5708" s="1"/>
      <c r="E5708" s="1"/>
      <c r="F5708" s="1"/>
      <c r="G5708" s="1"/>
      <c r="H5708" s="37" t="s">
        <v>26</v>
      </c>
      <c r="I5708" s="163">
        <f>SUM(H5706:H5707)</f>
        <v>2365</v>
      </c>
    </row>
    <row r="5709" spans="2:11" ht="14" thickBot="1" x14ac:dyDescent="0.2">
      <c r="B5709" s="28" t="s">
        <v>37</v>
      </c>
      <c r="C5709" s="28"/>
      <c r="D5709" s="1"/>
      <c r="E5709" s="1"/>
      <c r="F5709" s="1"/>
      <c r="G5709" s="1"/>
      <c r="H5709" s="1"/>
      <c r="I5709" s="1"/>
    </row>
    <row r="5710" spans="2:11" x14ac:dyDescent="0.15">
      <c r="B5710" s="51" t="s">
        <v>38</v>
      </c>
      <c r="C5710" s="86"/>
      <c r="D5710" s="31" t="s">
        <v>39</v>
      </c>
      <c r="E5710" s="209" t="s">
        <v>40</v>
      </c>
      <c r="F5710" s="19" t="s">
        <v>41</v>
      </c>
      <c r="G5710" s="31" t="s">
        <v>24</v>
      </c>
      <c r="H5710" s="208" t="s">
        <v>25</v>
      </c>
      <c r="I5710" s="43"/>
    </row>
    <row r="5711" spans="2:11" x14ac:dyDescent="0.15">
      <c r="B5711" s="4" t="s">
        <v>949</v>
      </c>
      <c r="C5711" s="24"/>
      <c r="D5711" s="32">
        <f>'MANO DE OBRA'!E17</f>
        <v>95333</v>
      </c>
      <c r="E5711" s="88">
        <v>1.75</v>
      </c>
      <c r="F5711" s="164">
        <f>+E5711*D5711</f>
        <v>166832.75</v>
      </c>
      <c r="G5711" s="20">
        <v>100</v>
      </c>
      <c r="H5711" s="169">
        <f>+F5711/G5711</f>
        <v>1668.3275000000001</v>
      </c>
      <c r="I5711" s="44"/>
      <c r="K5711" s="106"/>
    </row>
    <row r="5712" spans="2:11" x14ac:dyDescent="0.15">
      <c r="B5712" s="4" t="s">
        <v>94</v>
      </c>
      <c r="C5712" s="24"/>
      <c r="D5712" s="32">
        <f>'MANO DE OBRA'!E14*6</f>
        <v>312000</v>
      </c>
      <c r="E5712" s="88">
        <v>1.75</v>
      </c>
      <c r="F5712" s="164">
        <f>+E5712*D5712</f>
        <v>546000</v>
      </c>
      <c r="G5712" s="20">
        <v>100</v>
      </c>
      <c r="H5712" s="169">
        <f>+F5712/G5712</f>
        <v>5460</v>
      </c>
      <c r="I5712" s="44"/>
    </row>
    <row r="5713" spans="2:11" ht="14" thickBot="1" x14ac:dyDescent="0.2">
      <c r="B5713" s="33"/>
      <c r="C5713" s="34"/>
      <c r="D5713" s="22"/>
      <c r="E5713" s="21"/>
      <c r="F5713" s="22"/>
      <c r="G5713" s="23"/>
      <c r="H5713" s="47"/>
      <c r="I5713" s="48"/>
    </row>
    <row r="5714" spans="2:11" ht="14" thickBot="1" x14ac:dyDescent="0.2">
      <c r="B5714" s="1"/>
      <c r="C5714" s="1"/>
      <c r="D5714" s="1"/>
      <c r="E5714" s="1"/>
      <c r="F5714" s="1"/>
      <c r="G5714" s="1"/>
      <c r="H5714" s="37" t="s">
        <v>26</v>
      </c>
      <c r="I5714" s="177">
        <f>SUM(H5711:H5712)</f>
        <v>7128.3275000000003</v>
      </c>
    </row>
    <row r="5715" spans="2:11" ht="14" thickBot="1" x14ac:dyDescent="0.2">
      <c r="B5715" s="1"/>
      <c r="C5715" s="1"/>
      <c r="D5715" s="1"/>
      <c r="E5715" s="1"/>
      <c r="F5715" s="1"/>
      <c r="G5715" s="1"/>
      <c r="H5715" s="61"/>
      <c r="I5715" s="1"/>
    </row>
    <row r="5716" spans="2:11" ht="15" thickBot="1" x14ac:dyDescent="0.2">
      <c r="B5716" s="1"/>
      <c r="C5716" s="1"/>
      <c r="D5716" s="1"/>
      <c r="E5716" s="1"/>
      <c r="F5716" s="35" t="s">
        <v>43</v>
      </c>
      <c r="G5716" s="16"/>
      <c r="H5716" s="16"/>
      <c r="I5716" s="232">
        <f>ROUND((I5695+I5703+I5708+I5714),0)</f>
        <v>34592</v>
      </c>
    </row>
    <row r="5717" spans="2:11" x14ac:dyDescent="0.15">
      <c r="B5717" s="12"/>
      <c r="C5717" s="12"/>
      <c r="D5717" s="1"/>
      <c r="E5717" s="1"/>
      <c r="F5717" s="1"/>
      <c r="G5717" s="1"/>
      <c r="H5717" s="172"/>
      <c r="I5717" s="172"/>
    </row>
    <row r="5718" spans="2:11" x14ac:dyDescent="0.15">
      <c r="B5718" s="16"/>
      <c r="C5718" s="16"/>
      <c r="D5718" s="16"/>
      <c r="E5718" s="16"/>
      <c r="F5718" s="16"/>
      <c r="G5718" s="61"/>
      <c r="H5718" s="173"/>
      <c r="I5718" s="172"/>
    </row>
    <row r="5719" spans="2:11" x14ac:dyDescent="0.15">
      <c r="B5719" s="1"/>
      <c r="C5719" s="1"/>
      <c r="D5719" s="1"/>
      <c r="E5719" s="1"/>
      <c r="F5719" s="1"/>
      <c r="G5719" s="161"/>
      <c r="H5719" s="172"/>
      <c r="I5719" s="172"/>
      <c r="K5719" s="174"/>
    </row>
    <row r="5720" spans="2:11" x14ac:dyDescent="0.15">
      <c r="B5720" s="1"/>
      <c r="C5720" s="1"/>
      <c r="D5720" s="1"/>
      <c r="E5720" s="1"/>
      <c r="F5720" s="1"/>
      <c r="G5720" s="161"/>
      <c r="H5720" s="172"/>
      <c r="I5720" s="172"/>
    </row>
    <row r="5721" spans="2:11" x14ac:dyDescent="0.15">
      <c r="B5721" s="1"/>
      <c r="C5721" s="1"/>
      <c r="D5721" s="1"/>
      <c r="E5721" s="1"/>
      <c r="F5721" s="1"/>
      <c r="G5721" s="161"/>
      <c r="H5721" s="172"/>
      <c r="I5721" s="172"/>
    </row>
    <row r="5722" spans="2:11" x14ac:dyDescent="0.15">
      <c r="B5722" s="1"/>
      <c r="C5722" s="1"/>
      <c r="D5722" s="1"/>
      <c r="E5722" s="1"/>
      <c r="F5722" s="1"/>
      <c r="G5722" s="161"/>
      <c r="H5722" s="172"/>
      <c r="I5722" s="172"/>
    </row>
    <row r="5723" spans="2:11" x14ac:dyDescent="0.15">
      <c r="B5723" s="1"/>
      <c r="C5723" s="1"/>
      <c r="D5723" s="1"/>
      <c r="E5723" s="1"/>
      <c r="F5723" s="1"/>
      <c r="G5723" s="161"/>
      <c r="H5723" s="172"/>
      <c r="I5723" s="172"/>
    </row>
    <row r="5724" spans="2:11" ht="14" x14ac:dyDescent="0.15">
      <c r="B5724" s="102"/>
      <c r="C5724" s="11"/>
      <c r="D5724" s="1"/>
      <c r="E5724" s="155"/>
      <c r="F5724" s="155"/>
      <c r="G5724" s="155"/>
      <c r="H5724" s="155"/>
      <c r="I5724" s="171"/>
    </row>
    <row r="5725" spans="2:11" ht="14" x14ac:dyDescent="0.15">
      <c r="B5725" s="83"/>
      <c r="C5725" s="11"/>
      <c r="D5725" s="1"/>
      <c r="E5725" s="155"/>
      <c r="F5725" s="155"/>
      <c r="G5725" s="155"/>
      <c r="H5725" s="155"/>
      <c r="I5725" s="171"/>
    </row>
    <row r="5726" spans="2:11" x14ac:dyDescent="0.15">
      <c r="B5726" s="11"/>
      <c r="C5726" s="11"/>
      <c r="D5726" s="1"/>
      <c r="E5726" s="155"/>
      <c r="F5726" s="155"/>
      <c r="G5726" s="155"/>
      <c r="H5726" s="155"/>
      <c r="I5726" s="171"/>
    </row>
    <row r="5727" spans="2:11" x14ac:dyDescent="0.15">
      <c r="B5727" s="11"/>
      <c r="C5727" s="11"/>
      <c r="D5727" s="1"/>
      <c r="E5727" s="155"/>
      <c r="F5727" s="155"/>
      <c r="G5727" s="155"/>
      <c r="H5727" s="155"/>
      <c r="I5727" s="171"/>
    </row>
    <row r="5728" spans="2:11" x14ac:dyDescent="0.15">
      <c r="B5728" s="11"/>
      <c r="C5728" s="11"/>
      <c r="D5728" s="1"/>
      <c r="E5728" s="155"/>
      <c r="F5728" s="155"/>
      <c r="G5728" s="155"/>
      <c r="H5728" s="155"/>
      <c r="I5728" s="171"/>
    </row>
    <row r="5729" spans="2:10" x14ac:dyDescent="0.15">
      <c r="B5729" s="11"/>
      <c r="C5729" s="11"/>
      <c r="D5729" s="1"/>
      <c r="E5729" s="155"/>
      <c r="F5729" s="155"/>
      <c r="G5729" s="155"/>
      <c r="H5729" s="155"/>
      <c r="I5729" s="171"/>
    </row>
    <row r="5730" spans="2:10" x14ac:dyDescent="0.15">
      <c r="B5730" s="11"/>
      <c r="C5730" s="11"/>
      <c r="D5730" s="1"/>
      <c r="E5730" s="155"/>
      <c r="F5730" s="155"/>
      <c r="G5730" s="155"/>
      <c r="H5730" s="155"/>
      <c r="I5730" s="171"/>
    </row>
    <row r="5731" spans="2:10" x14ac:dyDescent="0.15">
      <c r="B5731" s="11"/>
      <c r="C5731" s="11"/>
      <c r="D5731" s="1"/>
      <c r="E5731" s="155"/>
      <c r="F5731" s="155"/>
      <c r="G5731" s="155"/>
      <c r="H5731" s="155"/>
      <c r="I5731" s="171"/>
    </row>
    <row r="5732" spans="2:10" x14ac:dyDescent="0.15">
      <c r="B5732" s="11"/>
      <c r="C5732" s="11"/>
      <c r="D5732" s="1"/>
      <c r="E5732" s="155"/>
      <c r="F5732" s="155"/>
      <c r="G5732" s="155"/>
      <c r="H5732" s="155"/>
      <c r="I5732" s="171"/>
    </row>
    <row r="5733" spans="2:10" x14ac:dyDescent="0.15">
      <c r="B5733" s="11"/>
      <c r="C5733" s="11"/>
      <c r="D5733" s="1"/>
      <c r="E5733" s="155"/>
      <c r="F5733" s="155"/>
      <c r="G5733" s="155"/>
      <c r="H5733" s="155"/>
      <c r="I5733" s="171"/>
    </row>
    <row r="5734" spans="2:10" ht="14" x14ac:dyDescent="0.15">
      <c r="B5734" s="102"/>
      <c r="C5734" s="83"/>
      <c r="D5734" s="84"/>
      <c r="E5734" s="83"/>
      <c r="F5734" s="83"/>
      <c r="G5734" s="103"/>
      <c r="H5734" s="83"/>
      <c r="I5734" s="85"/>
      <c r="J5734" s="85"/>
    </row>
    <row r="5735" spans="2:10" ht="15" thickBot="1" x14ac:dyDescent="0.2">
      <c r="B5735" s="83"/>
      <c r="C5735" s="83"/>
      <c r="D5735" s="84"/>
      <c r="E5735" s="83"/>
      <c r="F5735" s="83"/>
      <c r="G5735" s="104"/>
      <c r="H5735" s="83"/>
      <c r="I5735" s="85"/>
      <c r="J5735" s="85"/>
    </row>
    <row r="5736" spans="2:10" ht="21" customHeight="1" x14ac:dyDescent="0.15">
      <c r="B5736" s="885" t="s">
        <v>874</v>
      </c>
      <c r="C5736" s="886"/>
      <c r="D5736" s="886"/>
      <c r="E5736" s="886"/>
      <c r="F5736" s="887"/>
      <c r="G5736" s="1"/>
      <c r="H5736" s="879" t="s">
        <v>20</v>
      </c>
      <c r="I5736" s="880"/>
    </row>
    <row r="5737" spans="2:10" ht="16.5" customHeight="1" x14ac:dyDescent="0.15">
      <c r="B5737" s="888" t="s">
        <v>875</v>
      </c>
      <c r="C5737" s="889"/>
      <c r="D5737" s="889"/>
      <c r="E5737" s="889"/>
      <c r="F5737" s="890"/>
      <c r="G5737" s="63"/>
      <c r="H5737" s="881"/>
      <c r="I5737" s="882"/>
    </row>
    <row r="5738" spans="2:10" ht="12.75" customHeight="1" x14ac:dyDescent="0.15">
      <c r="B5738" s="906" t="s">
        <v>876</v>
      </c>
      <c r="C5738" s="907"/>
      <c r="D5738" s="907"/>
      <c r="E5738" s="907"/>
      <c r="F5738" s="908"/>
      <c r="G5738" s="63"/>
      <c r="H5738" s="883"/>
      <c r="I5738" s="884"/>
    </row>
    <row r="5739" spans="2:10" ht="16.5" customHeight="1" thickBot="1" x14ac:dyDescent="0.2">
      <c r="B5739" s="909"/>
      <c r="C5739" s="910"/>
      <c r="D5739" s="910"/>
      <c r="E5739" s="910"/>
      <c r="F5739" s="911"/>
      <c r="G5739" s="1"/>
      <c r="H5739" s="873" t="s">
        <v>1201</v>
      </c>
      <c r="I5739" s="874"/>
    </row>
    <row r="5740" spans="2:10" ht="14" thickBot="1" x14ac:dyDescent="0.2">
      <c r="B5740" s="15"/>
      <c r="C5740" s="16"/>
      <c r="D5740" s="1"/>
      <c r="E5740" s="1"/>
      <c r="F5740" s="1"/>
      <c r="G5740" s="1"/>
      <c r="H5740" s="875"/>
      <c r="I5740" s="876"/>
    </row>
    <row r="5741" spans="2:10" ht="12.75" customHeight="1" x14ac:dyDescent="0.15">
      <c r="B5741" s="922" t="s">
        <v>836</v>
      </c>
      <c r="C5741" s="923"/>
      <c r="D5741" s="923"/>
      <c r="E5741" s="923"/>
      <c r="F5741" s="924"/>
      <c r="G5741" s="1"/>
      <c r="H5741" s="875"/>
      <c r="I5741" s="876"/>
    </row>
    <row r="5742" spans="2:10" ht="12.75" customHeight="1" x14ac:dyDescent="0.15">
      <c r="B5742" s="925"/>
      <c r="C5742" s="926"/>
      <c r="D5742" s="926"/>
      <c r="E5742" s="926"/>
      <c r="F5742" s="927"/>
      <c r="G5742" s="1"/>
      <c r="H5742" s="875"/>
      <c r="I5742" s="876"/>
    </row>
    <row r="5743" spans="2:10" ht="13.5" customHeight="1" x14ac:dyDescent="0.15">
      <c r="B5743" s="925"/>
      <c r="C5743" s="926"/>
      <c r="D5743" s="926"/>
      <c r="E5743" s="926"/>
      <c r="F5743" s="927"/>
      <c r="G5743" s="11"/>
      <c r="H5743" s="877"/>
      <c r="I5743" s="878"/>
    </row>
    <row r="5744" spans="2:10" ht="21.75" customHeight="1" thickBot="1" x14ac:dyDescent="0.2">
      <c r="B5744" s="928"/>
      <c r="C5744" s="929"/>
      <c r="D5744" s="929"/>
      <c r="E5744" s="929"/>
      <c r="F5744" s="930"/>
      <c r="H5744" s="64" t="s">
        <v>45</v>
      </c>
      <c r="I5744" s="17" t="s">
        <v>5</v>
      </c>
    </row>
    <row r="5745" spans="2:9" x14ac:dyDescent="0.15">
      <c r="B5745" s="18"/>
      <c r="C5745" s="18"/>
      <c r="D5745" s="1"/>
      <c r="E5745" s="18"/>
      <c r="F5745" s="18"/>
      <c r="G5745" s="18"/>
      <c r="H5745" s="18"/>
      <c r="I5745" s="1"/>
    </row>
    <row r="5746" spans="2:9" ht="14" thickBot="1" x14ac:dyDescent="0.2">
      <c r="B5746" s="12" t="s">
        <v>21</v>
      </c>
      <c r="C5746" s="12"/>
      <c r="D5746" s="1"/>
      <c r="E5746" s="1"/>
      <c r="F5746" s="1"/>
      <c r="G5746" s="1"/>
      <c r="H5746" s="1"/>
      <c r="I5746" s="1"/>
    </row>
    <row r="5747" spans="2:9" x14ac:dyDescent="0.15">
      <c r="B5747" s="903" t="s">
        <v>22</v>
      </c>
      <c r="C5747" s="904"/>
      <c r="D5747" s="905"/>
      <c r="E5747" s="209" t="s">
        <v>23</v>
      </c>
      <c r="F5747" s="19" t="s">
        <v>47</v>
      </c>
      <c r="G5747" s="209" t="s">
        <v>24</v>
      </c>
      <c r="H5747" s="208" t="s">
        <v>25</v>
      </c>
      <c r="I5747" s="43"/>
    </row>
    <row r="5748" spans="2:9" x14ac:dyDescent="0.15">
      <c r="B5748" s="897" t="s">
        <v>56</v>
      </c>
      <c r="C5748" s="898"/>
      <c r="D5748" s="899"/>
      <c r="E5748" s="5"/>
      <c r="F5748" s="162"/>
      <c r="G5748" s="58"/>
      <c r="H5748" s="162">
        <f>I5770*0.05</f>
        <v>891.04093749999993</v>
      </c>
      <c r="I5748" s="44"/>
    </row>
    <row r="5749" spans="2:9" x14ac:dyDescent="0.15">
      <c r="B5749" s="897"/>
      <c r="C5749" s="898"/>
      <c r="D5749" s="899"/>
      <c r="E5749" s="5"/>
      <c r="F5749" s="162"/>
      <c r="G5749" s="58"/>
      <c r="H5749" s="162"/>
      <c r="I5749" s="44"/>
    </row>
    <row r="5750" spans="2:9" ht="14" thickBot="1" x14ac:dyDescent="0.2">
      <c r="B5750" s="900"/>
      <c r="C5750" s="901"/>
      <c r="D5750" s="902"/>
      <c r="E5750" s="21"/>
      <c r="F5750" s="22"/>
      <c r="G5750" s="23"/>
      <c r="H5750" s="47"/>
      <c r="I5750" s="48"/>
    </row>
    <row r="5751" spans="2:9" ht="14" thickBot="1" x14ac:dyDescent="0.2">
      <c r="B5751" s="1"/>
      <c r="C5751" s="1"/>
      <c r="D5751" s="1"/>
      <c r="E5751" s="1"/>
      <c r="F5751" s="1"/>
      <c r="G5751" s="1"/>
      <c r="H5751" s="37" t="s">
        <v>26</v>
      </c>
      <c r="I5751" s="163">
        <f>SUM(H5748:H5750)</f>
        <v>891.04093749999993</v>
      </c>
    </row>
    <row r="5752" spans="2:9" ht="14" thickBot="1" x14ac:dyDescent="0.2">
      <c r="B5752" s="12" t="s">
        <v>27</v>
      </c>
      <c r="C5752" s="12"/>
      <c r="D5752" s="1"/>
      <c r="E5752" s="1"/>
      <c r="F5752" s="1"/>
      <c r="G5752" s="1"/>
      <c r="H5752" s="1"/>
      <c r="I5752" s="1"/>
    </row>
    <row r="5753" spans="2:9" x14ac:dyDescent="0.15">
      <c r="B5753" s="903" t="s">
        <v>22</v>
      </c>
      <c r="C5753" s="904"/>
      <c r="D5753" s="905"/>
      <c r="E5753" s="209" t="s">
        <v>28</v>
      </c>
      <c r="F5753" s="209" t="s">
        <v>29</v>
      </c>
      <c r="G5753" s="209" t="s">
        <v>30</v>
      </c>
      <c r="H5753" s="208" t="s">
        <v>25</v>
      </c>
      <c r="I5753" s="43"/>
    </row>
    <row r="5754" spans="2:9" x14ac:dyDescent="0.15">
      <c r="B5754" s="4"/>
      <c r="C5754" s="24"/>
      <c r="D5754" s="6"/>
      <c r="E5754" s="3"/>
      <c r="F5754" s="164"/>
      <c r="G5754" s="65"/>
      <c r="H5754" s="165"/>
      <c r="I5754" s="44"/>
    </row>
    <row r="5755" spans="2:9" x14ac:dyDescent="0.15">
      <c r="B5755" s="4"/>
      <c r="C5755" s="24"/>
      <c r="D5755" s="6"/>
      <c r="E5755" s="3"/>
      <c r="F5755" s="164"/>
      <c r="G5755" s="65"/>
      <c r="H5755" s="165"/>
      <c r="I5755" s="44"/>
    </row>
    <row r="5756" spans="2:9" x14ac:dyDescent="0.15">
      <c r="B5756" s="4"/>
      <c r="C5756" s="24"/>
      <c r="D5756" s="6"/>
      <c r="E5756" s="3"/>
      <c r="F5756" s="164"/>
      <c r="G5756" s="65"/>
      <c r="H5756" s="165"/>
      <c r="I5756" s="44"/>
    </row>
    <row r="5757" spans="2:9" x14ac:dyDescent="0.15">
      <c r="B5757" s="4"/>
      <c r="C5757" s="24"/>
      <c r="D5757" s="6"/>
      <c r="E5757" s="3"/>
      <c r="F5757" s="164"/>
      <c r="G5757" s="182"/>
      <c r="H5757" s="165"/>
      <c r="I5757" s="44"/>
    </row>
    <row r="5758" spans="2:9" ht="14" thickBot="1" x14ac:dyDescent="0.2">
      <c r="B5758" s="25"/>
      <c r="C5758" s="26"/>
      <c r="D5758" s="27"/>
      <c r="E5758" s="21"/>
      <c r="F5758" s="22"/>
      <c r="G5758" s="167"/>
      <c r="H5758" s="47"/>
      <c r="I5758" s="48"/>
    </row>
    <row r="5759" spans="2:9" ht="14" thickBot="1" x14ac:dyDescent="0.2">
      <c r="B5759" s="1"/>
      <c r="C5759" s="1"/>
      <c r="D5759" s="1"/>
      <c r="E5759" s="1"/>
      <c r="F5759" s="1"/>
      <c r="G5759" s="1"/>
      <c r="H5759" s="37" t="s">
        <v>26</v>
      </c>
      <c r="I5759" s="163">
        <f>SUM(H5754:H5757)</f>
        <v>0</v>
      </c>
    </row>
    <row r="5760" spans="2:9" ht="14" thickBot="1" x14ac:dyDescent="0.2">
      <c r="B5760" s="28" t="s">
        <v>31</v>
      </c>
      <c r="C5760" s="28"/>
      <c r="D5760" s="26"/>
      <c r="E5760" s="1"/>
      <c r="F5760" s="1"/>
      <c r="G5760" s="1"/>
      <c r="H5760" s="1"/>
      <c r="I5760" s="1"/>
    </row>
    <row r="5761" spans="2:11" x14ac:dyDescent="0.15">
      <c r="B5761" s="51" t="s">
        <v>32</v>
      </c>
      <c r="C5761" s="52"/>
      <c r="D5761" s="97" t="s">
        <v>33</v>
      </c>
      <c r="E5761" s="209" t="s">
        <v>34</v>
      </c>
      <c r="F5761" s="209" t="s">
        <v>35</v>
      </c>
      <c r="G5761" s="209" t="s">
        <v>36</v>
      </c>
      <c r="H5761" s="59" t="s">
        <v>25</v>
      </c>
      <c r="I5761" s="43"/>
    </row>
    <row r="5762" spans="2:11" x14ac:dyDescent="0.15">
      <c r="B5762" s="4"/>
      <c r="C5762" s="6"/>
      <c r="D5762" s="53"/>
      <c r="E5762" s="2"/>
      <c r="F5762" s="2"/>
      <c r="G5762" s="58"/>
      <c r="H5762" s="20"/>
      <c r="I5762" s="44"/>
    </row>
    <row r="5763" spans="2:11" ht="14" thickBot="1" x14ac:dyDescent="0.2">
      <c r="B5763" s="33"/>
      <c r="C5763" s="54"/>
      <c r="D5763" s="21"/>
      <c r="E5763" s="22"/>
      <c r="F5763" s="23"/>
      <c r="G5763" s="47"/>
      <c r="H5763" s="21"/>
      <c r="I5763" s="48"/>
    </row>
    <row r="5764" spans="2:11" ht="14" thickBot="1" x14ac:dyDescent="0.2">
      <c r="B5764" s="1"/>
      <c r="C5764" s="1"/>
      <c r="D5764" s="1"/>
      <c r="E5764" s="1"/>
      <c r="F5764" s="1"/>
      <c r="G5764" s="1"/>
      <c r="H5764" s="37" t="s">
        <v>26</v>
      </c>
      <c r="I5764" s="163">
        <f>SUM(H5762:H5763)</f>
        <v>0</v>
      </c>
    </row>
    <row r="5765" spans="2:11" ht="14" thickBot="1" x14ac:dyDescent="0.2">
      <c r="B5765" s="28" t="s">
        <v>37</v>
      </c>
      <c r="C5765" s="28"/>
      <c r="D5765" s="1"/>
      <c r="E5765" s="1"/>
      <c r="F5765" s="1"/>
      <c r="G5765" s="1"/>
      <c r="H5765" s="1"/>
      <c r="I5765" s="1"/>
    </row>
    <row r="5766" spans="2:11" x14ac:dyDescent="0.15">
      <c r="B5766" s="51" t="s">
        <v>38</v>
      </c>
      <c r="C5766" s="86"/>
      <c r="D5766" s="31" t="s">
        <v>39</v>
      </c>
      <c r="E5766" s="209" t="s">
        <v>40</v>
      </c>
      <c r="F5766" s="19" t="s">
        <v>41</v>
      </c>
      <c r="G5766" s="31" t="s">
        <v>24</v>
      </c>
      <c r="H5766" s="208" t="s">
        <v>25</v>
      </c>
      <c r="I5766" s="43"/>
    </row>
    <row r="5767" spans="2:11" x14ac:dyDescent="0.15">
      <c r="B5767" s="4" t="s">
        <v>949</v>
      </c>
      <c r="C5767" s="24"/>
      <c r="D5767" s="32">
        <f>'MANO DE OBRA'!E17</f>
        <v>95333</v>
      </c>
      <c r="E5767" s="88">
        <v>1.75</v>
      </c>
      <c r="F5767" s="164">
        <f>+E5767*D5767</f>
        <v>166832.75</v>
      </c>
      <c r="G5767" s="20">
        <v>40</v>
      </c>
      <c r="H5767" s="169">
        <f>+F5767/G5767</f>
        <v>4170.8187500000004</v>
      </c>
      <c r="I5767" s="44"/>
      <c r="K5767" s="106"/>
    </row>
    <row r="5768" spans="2:11" x14ac:dyDescent="0.15">
      <c r="B5768" s="4" t="s">
        <v>94</v>
      </c>
      <c r="C5768" s="24"/>
      <c r="D5768" s="32">
        <f>'MANO DE OBRA'!E14*6</f>
        <v>312000</v>
      </c>
      <c r="E5768" s="88">
        <v>1.75</v>
      </c>
      <c r="F5768" s="164">
        <f>+E5768*D5768</f>
        <v>546000</v>
      </c>
      <c r="G5768" s="20">
        <v>40</v>
      </c>
      <c r="H5768" s="169">
        <f>+F5768/G5768</f>
        <v>13650</v>
      </c>
      <c r="I5768" s="44"/>
    </row>
    <row r="5769" spans="2:11" ht="14" thickBot="1" x14ac:dyDescent="0.2">
      <c r="B5769" s="33"/>
      <c r="C5769" s="34"/>
      <c r="D5769" s="22"/>
      <c r="E5769" s="21"/>
      <c r="F5769" s="22"/>
      <c r="G5769" s="23"/>
      <c r="H5769" s="47"/>
      <c r="I5769" s="48"/>
    </row>
    <row r="5770" spans="2:11" ht="14" thickBot="1" x14ac:dyDescent="0.2">
      <c r="B5770" s="1"/>
      <c r="C5770" s="1"/>
      <c r="D5770" s="1"/>
      <c r="E5770" s="1"/>
      <c r="F5770" s="1"/>
      <c r="G5770" s="1"/>
      <c r="H5770" s="37" t="s">
        <v>26</v>
      </c>
      <c r="I5770" s="177">
        <f>SUM(H5767:H5768)</f>
        <v>17820.818749999999</v>
      </c>
    </row>
    <row r="5771" spans="2:11" ht="14" thickBot="1" x14ac:dyDescent="0.2">
      <c r="B5771" s="1"/>
      <c r="C5771" s="1"/>
      <c r="D5771" s="1"/>
      <c r="E5771" s="1"/>
      <c r="F5771" s="1"/>
      <c r="G5771" s="1"/>
      <c r="H5771" s="61"/>
      <c r="I5771" s="1"/>
    </row>
    <row r="5772" spans="2:11" ht="15" thickBot="1" x14ac:dyDescent="0.2">
      <c r="B5772" s="1"/>
      <c r="C5772" s="1"/>
      <c r="D5772" s="1"/>
      <c r="E5772" s="1"/>
      <c r="F5772" s="35" t="s">
        <v>43</v>
      </c>
      <c r="G5772" s="16"/>
      <c r="H5772" s="16"/>
      <c r="I5772" s="232">
        <f>ROUND((I5751+I5759+I5764+I5770),0)</f>
        <v>18712</v>
      </c>
    </row>
    <row r="5773" spans="2:11" x14ac:dyDescent="0.15">
      <c r="B5773" s="12"/>
      <c r="C5773" s="12"/>
      <c r="D5773" s="1"/>
      <c r="E5773" s="1"/>
      <c r="F5773" s="1"/>
      <c r="G5773" s="1"/>
      <c r="H5773" s="172"/>
      <c r="I5773" s="172"/>
    </row>
    <row r="5774" spans="2:11" x14ac:dyDescent="0.15">
      <c r="B5774" s="16"/>
      <c r="C5774" s="16"/>
      <c r="D5774" s="16"/>
      <c r="E5774" s="16"/>
      <c r="F5774" s="16"/>
      <c r="G5774" s="61"/>
      <c r="H5774" s="173"/>
      <c r="I5774" s="172"/>
    </row>
    <row r="5775" spans="2:11" x14ac:dyDescent="0.15">
      <c r="B5775" s="1"/>
      <c r="C5775" s="1"/>
      <c r="D5775" s="1"/>
      <c r="E5775" s="1"/>
      <c r="F5775" s="1"/>
      <c r="G5775" s="161"/>
      <c r="H5775" s="172"/>
      <c r="I5775" s="172"/>
      <c r="K5775" s="174"/>
    </row>
    <row r="5776" spans="2:11" x14ac:dyDescent="0.15">
      <c r="B5776" s="1"/>
      <c r="C5776" s="1"/>
      <c r="D5776" s="1"/>
      <c r="E5776" s="1"/>
      <c r="F5776" s="1"/>
      <c r="G5776" s="161"/>
      <c r="H5776" s="172"/>
      <c r="I5776" s="172"/>
    </row>
    <row r="5777" spans="2:10" x14ac:dyDescent="0.15">
      <c r="B5777" s="1"/>
      <c r="C5777" s="1"/>
      <c r="D5777" s="1"/>
      <c r="E5777" s="1"/>
      <c r="F5777" s="1"/>
      <c r="G5777" s="161"/>
      <c r="H5777" s="172"/>
      <c r="I5777" s="172"/>
    </row>
    <row r="5778" spans="2:10" ht="14" x14ac:dyDescent="0.15">
      <c r="B5778" s="83"/>
      <c r="C5778" s="11"/>
      <c r="D5778" s="1"/>
      <c r="E5778" s="916"/>
      <c r="F5778" s="916"/>
      <c r="G5778" s="916"/>
      <c r="H5778" s="916"/>
      <c r="I5778" s="171"/>
    </row>
    <row r="5779" spans="2:10" ht="14" x14ac:dyDescent="0.15">
      <c r="B5779" s="102"/>
      <c r="C5779" s="11"/>
      <c r="D5779" s="1"/>
      <c r="E5779" s="155"/>
      <c r="F5779" s="155"/>
      <c r="G5779" s="155"/>
      <c r="H5779" s="155"/>
      <c r="I5779" s="171"/>
    </row>
    <row r="5780" spans="2:10" ht="14" x14ac:dyDescent="0.15">
      <c r="B5780" s="83"/>
      <c r="C5780" s="11"/>
      <c r="D5780" s="1"/>
      <c r="E5780" s="155"/>
      <c r="F5780" s="155"/>
      <c r="G5780" s="155"/>
      <c r="H5780" s="155"/>
      <c r="I5780" s="171"/>
    </row>
    <row r="5781" spans="2:10" x14ac:dyDescent="0.15">
      <c r="B5781" s="11"/>
      <c r="C5781" s="11"/>
      <c r="D5781" s="1"/>
      <c r="E5781" s="155"/>
      <c r="F5781" s="155"/>
      <c r="G5781" s="155"/>
      <c r="H5781" s="155"/>
      <c r="I5781" s="171"/>
    </row>
    <row r="5782" spans="2:10" x14ac:dyDescent="0.15">
      <c r="B5782" s="11"/>
      <c r="C5782" s="11"/>
      <c r="D5782" s="1"/>
      <c r="E5782" s="155"/>
      <c r="F5782" s="155"/>
      <c r="G5782" s="155"/>
      <c r="H5782" s="155"/>
      <c r="I5782" s="171"/>
    </row>
    <row r="5783" spans="2:10" x14ac:dyDescent="0.15">
      <c r="B5783" s="11"/>
      <c r="C5783" s="11"/>
      <c r="D5783" s="1"/>
      <c r="E5783" s="155"/>
      <c r="F5783" s="155"/>
      <c r="G5783" s="155"/>
      <c r="H5783" s="155"/>
      <c r="I5783" s="171"/>
    </row>
    <row r="5784" spans="2:10" x14ac:dyDescent="0.15">
      <c r="B5784" s="11"/>
      <c r="C5784" s="11"/>
      <c r="D5784" s="1"/>
      <c r="E5784" s="155"/>
      <c r="F5784" s="155"/>
      <c r="G5784" s="155"/>
      <c r="H5784" s="155"/>
      <c r="I5784" s="171"/>
    </row>
    <row r="5785" spans="2:10" x14ac:dyDescent="0.15">
      <c r="B5785" s="11"/>
      <c r="C5785" s="11"/>
      <c r="D5785" s="1"/>
      <c r="E5785" s="155"/>
      <c r="F5785" s="155"/>
      <c r="G5785" s="155"/>
      <c r="H5785" s="155"/>
      <c r="I5785" s="171"/>
    </row>
    <row r="5786" spans="2:10" x14ac:dyDescent="0.15">
      <c r="B5786" s="11"/>
      <c r="C5786" s="11"/>
      <c r="D5786" s="1"/>
      <c r="E5786" s="155"/>
      <c r="F5786" s="155"/>
      <c r="G5786" s="155"/>
      <c r="H5786" s="155"/>
      <c r="I5786" s="171"/>
    </row>
    <row r="5787" spans="2:10" x14ac:dyDescent="0.15">
      <c r="B5787" s="11"/>
      <c r="C5787" s="11"/>
      <c r="D5787" s="1"/>
      <c r="E5787" s="155"/>
      <c r="F5787" s="155"/>
      <c r="G5787" s="155"/>
      <c r="H5787" s="155"/>
      <c r="I5787" s="171"/>
    </row>
    <row r="5788" spans="2:10" x14ac:dyDescent="0.15">
      <c r="B5788" s="11"/>
      <c r="C5788" s="11"/>
      <c r="D5788" s="1"/>
      <c r="E5788" s="155"/>
      <c r="F5788" s="155"/>
      <c r="G5788" s="155"/>
      <c r="H5788" s="155"/>
      <c r="I5788" s="171"/>
    </row>
    <row r="5789" spans="2:10" x14ac:dyDescent="0.15">
      <c r="B5789" s="11"/>
      <c r="C5789" s="11"/>
      <c r="D5789" s="1"/>
      <c r="E5789" s="155"/>
      <c r="F5789" s="155"/>
      <c r="G5789" s="155"/>
      <c r="H5789" s="155"/>
      <c r="I5789" s="171"/>
    </row>
    <row r="5790" spans="2:10" ht="14" x14ac:dyDescent="0.15">
      <c r="B5790" s="102"/>
      <c r="C5790" s="83"/>
      <c r="D5790" s="84"/>
      <c r="E5790" s="83"/>
      <c r="F5790" s="83"/>
      <c r="G5790" s="103"/>
      <c r="H5790" s="83"/>
      <c r="I5790" s="85"/>
      <c r="J5790" s="85"/>
    </row>
    <row r="5791" spans="2:10" ht="15" thickBot="1" x14ac:dyDescent="0.2">
      <c r="B5791" s="83"/>
      <c r="C5791" s="83"/>
      <c r="D5791" s="84"/>
      <c r="E5791" s="83"/>
      <c r="F5791" s="83"/>
      <c r="G5791" s="104"/>
      <c r="H5791" s="83"/>
      <c r="I5791" s="85"/>
      <c r="J5791" s="85"/>
    </row>
    <row r="5792" spans="2:10" ht="21" customHeight="1" x14ac:dyDescent="0.15">
      <c r="B5792" s="885" t="s">
        <v>874</v>
      </c>
      <c r="C5792" s="886"/>
      <c r="D5792" s="886"/>
      <c r="E5792" s="886"/>
      <c r="F5792" s="887"/>
      <c r="G5792" s="1"/>
      <c r="H5792" s="879" t="s">
        <v>20</v>
      </c>
      <c r="I5792" s="880"/>
    </row>
    <row r="5793" spans="2:9" ht="16.5" customHeight="1" x14ac:dyDescent="0.15">
      <c r="B5793" s="888" t="s">
        <v>875</v>
      </c>
      <c r="C5793" s="889"/>
      <c r="D5793" s="889"/>
      <c r="E5793" s="889"/>
      <c r="F5793" s="890"/>
      <c r="G5793" s="63"/>
      <c r="H5793" s="881"/>
      <c r="I5793" s="882"/>
    </row>
    <row r="5794" spans="2:9" ht="12.75" customHeight="1" x14ac:dyDescent="0.15">
      <c r="B5794" s="906" t="s">
        <v>876</v>
      </c>
      <c r="C5794" s="907"/>
      <c r="D5794" s="907"/>
      <c r="E5794" s="907"/>
      <c r="F5794" s="908"/>
      <c r="G5794" s="63"/>
      <c r="H5794" s="883"/>
      <c r="I5794" s="884"/>
    </row>
    <row r="5795" spans="2:9" ht="16.5" customHeight="1" thickBot="1" x14ac:dyDescent="0.2">
      <c r="B5795" s="909"/>
      <c r="C5795" s="910"/>
      <c r="D5795" s="910"/>
      <c r="E5795" s="910"/>
      <c r="F5795" s="911"/>
      <c r="G5795" s="1"/>
      <c r="H5795" s="891" t="s">
        <v>1629</v>
      </c>
      <c r="I5795" s="892"/>
    </row>
    <row r="5796" spans="2:9" ht="14" thickBot="1" x14ac:dyDescent="0.2">
      <c r="B5796" s="15"/>
      <c r="C5796" s="16"/>
      <c r="D5796" s="1"/>
      <c r="E5796" s="1"/>
      <c r="F5796" s="1"/>
      <c r="G5796" s="1"/>
      <c r="H5796" s="893"/>
      <c r="I5796" s="894"/>
    </row>
    <row r="5797" spans="2:9" ht="12.75" customHeight="1" x14ac:dyDescent="0.15">
      <c r="B5797" s="922" t="s">
        <v>836</v>
      </c>
      <c r="C5797" s="923"/>
      <c r="D5797" s="923"/>
      <c r="E5797" s="923"/>
      <c r="F5797" s="924"/>
      <c r="G5797" s="1"/>
      <c r="H5797" s="893"/>
      <c r="I5797" s="894"/>
    </row>
    <row r="5798" spans="2:9" ht="12.75" customHeight="1" x14ac:dyDescent="0.15">
      <c r="B5798" s="925"/>
      <c r="C5798" s="926"/>
      <c r="D5798" s="926"/>
      <c r="E5798" s="926"/>
      <c r="F5798" s="927"/>
      <c r="H5798" s="893"/>
      <c r="I5798" s="894"/>
    </row>
    <row r="5799" spans="2:9" ht="13.5" customHeight="1" x14ac:dyDescent="0.15">
      <c r="B5799" s="925"/>
      <c r="C5799" s="926"/>
      <c r="D5799" s="926"/>
      <c r="E5799" s="926"/>
      <c r="F5799" s="927"/>
      <c r="G5799" s="11"/>
      <c r="H5799" s="895"/>
      <c r="I5799" s="896"/>
    </row>
    <row r="5800" spans="2:9" ht="21.75" customHeight="1" thickBot="1" x14ac:dyDescent="0.2">
      <c r="B5800" s="928"/>
      <c r="C5800" s="929"/>
      <c r="D5800" s="929"/>
      <c r="E5800" s="929"/>
      <c r="F5800" s="930"/>
      <c r="H5800" s="64" t="s">
        <v>45</v>
      </c>
      <c r="I5800" s="17" t="s">
        <v>319</v>
      </c>
    </row>
    <row r="5801" spans="2:9" x14ac:dyDescent="0.15">
      <c r="B5801" s="18"/>
      <c r="C5801" s="18"/>
      <c r="D5801" s="1"/>
      <c r="E5801" s="18"/>
      <c r="F5801" s="18"/>
      <c r="G5801" s="18"/>
      <c r="H5801" s="18"/>
      <c r="I5801" s="1"/>
    </row>
    <row r="5802" spans="2:9" ht="14" thickBot="1" x14ac:dyDescent="0.2">
      <c r="B5802" s="12" t="s">
        <v>21</v>
      </c>
      <c r="C5802" s="12"/>
      <c r="D5802" s="1"/>
      <c r="E5802" s="1"/>
      <c r="F5802" s="1"/>
      <c r="G5802" s="1"/>
      <c r="H5802" s="1"/>
      <c r="I5802" s="1"/>
    </row>
    <row r="5803" spans="2:9" x14ac:dyDescent="0.15">
      <c r="B5803" s="903" t="s">
        <v>22</v>
      </c>
      <c r="C5803" s="904"/>
      <c r="D5803" s="905"/>
      <c r="E5803" s="209" t="s">
        <v>23</v>
      </c>
      <c r="F5803" s="19" t="s">
        <v>47</v>
      </c>
      <c r="G5803" s="209" t="s">
        <v>24</v>
      </c>
      <c r="H5803" s="208" t="s">
        <v>25</v>
      </c>
      <c r="I5803" s="43"/>
    </row>
    <row r="5804" spans="2:9" x14ac:dyDescent="0.15">
      <c r="B5804" s="897" t="s">
        <v>56</v>
      </c>
      <c r="C5804" s="898"/>
      <c r="D5804" s="899"/>
      <c r="E5804" s="5"/>
      <c r="F5804" s="458"/>
      <c r="G5804" s="58"/>
      <c r="H5804" s="426">
        <f>I5827*0.05</f>
        <v>8720.8187500000004</v>
      </c>
      <c r="I5804" s="44"/>
    </row>
    <row r="5805" spans="2:9" ht="14" thickBot="1" x14ac:dyDescent="0.2">
      <c r="B5805" s="900"/>
      <c r="C5805" s="901"/>
      <c r="D5805" s="902"/>
      <c r="E5805" s="21"/>
      <c r="F5805" s="22"/>
      <c r="G5805" s="23"/>
      <c r="H5805" s="47"/>
      <c r="I5805" s="48"/>
    </row>
    <row r="5806" spans="2:9" ht="14" thickBot="1" x14ac:dyDescent="0.2">
      <c r="B5806" s="1"/>
      <c r="C5806" s="1"/>
      <c r="D5806" s="1"/>
      <c r="E5806" s="1"/>
      <c r="F5806" s="1"/>
      <c r="G5806" s="1"/>
      <c r="H5806" s="37" t="s">
        <v>26</v>
      </c>
      <c r="I5806" s="448">
        <f>SUM(H5804:H5805)</f>
        <v>8720.8187500000004</v>
      </c>
    </row>
    <row r="5807" spans="2:9" ht="14" thickBot="1" x14ac:dyDescent="0.2">
      <c r="B5807" s="12" t="s">
        <v>27</v>
      </c>
      <c r="C5807" s="12"/>
      <c r="D5807" s="1"/>
      <c r="E5807" s="1"/>
      <c r="F5807" s="1"/>
      <c r="G5807" s="1"/>
      <c r="H5807" s="1"/>
      <c r="I5807" s="1"/>
    </row>
    <row r="5808" spans="2:9" x14ac:dyDescent="0.15">
      <c r="B5808" s="903" t="s">
        <v>22</v>
      </c>
      <c r="C5808" s="904"/>
      <c r="D5808" s="905"/>
      <c r="E5808" s="209" t="s">
        <v>28</v>
      </c>
      <c r="F5808" s="209" t="s">
        <v>29</v>
      </c>
      <c r="G5808" s="209" t="s">
        <v>30</v>
      </c>
      <c r="H5808" s="208" t="s">
        <v>25</v>
      </c>
      <c r="I5808" s="43"/>
    </row>
    <row r="5809" spans="1:10" x14ac:dyDescent="0.15">
      <c r="A5809" s="11"/>
      <c r="B5809" s="4" t="s">
        <v>1204</v>
      </c>
      <c r="C5809" s="24"/>
      <c r="D5809" s="6"/>
      <c r="E5809" s="3" t="s">
        <v>5</v>
      </c>
      <c r="F5809" s="419">
        <f>MATERIALES!C115</f>
        <v>378000</v>
      </c>
      <c r="G5809" s="65">
        <v>2.25</v>
      </c>
      <c r="H5809" s="426">
        <f>G5809*F5809</f>
        <v>850500</v>
      </c>
      <c r="I5809" s="44"/>
      <c r="J5809" s="11"/>
    </row>
    <row r="5810" spans="1:10" x14ac:dyDescent="0.15">
      <c r="B5810" s="4" t="s">
        <v>309</v>
      </c>
      <c r="C5810" s="24"/>
      <c r="D5810" s="6"/>
      <c r="E5810" s="3" t="s">
        <v>501</v>
      </c>
      <c r="F5810" s="419">
        <f>MATERIALES!C112</f>
        <v>4500</v>
      </c>
      <c r="G5810" s="65">
        <v>3</v>
      </c>
      <c r="H5810" s="426">
        <f>G5810*F5810</f>
        <v>13500</v>
      </c>
      <c r="I5810" s="44"/>
    </row>
    <row r="5811" spans="1:10" x14ac:dyDescent="0.15">
      <c r="B5811" s="4" t="s">
        <v>310</v>
      </c>
      <c r="C5811" s="24"/>
      <c r="D5811" s="6"/>
      <c r="E5811" s="3" t="s">
        <v>501</v>
      </c>
      <c r="F5811" s="419">
        <f>MATERIALES!C116</f>
        <v>78500</v>
      </c>
      <c r="G5811" s="65">
        <v>1</v>
      </c>
      <c r="H5811" s="426">
        <f>G5811*F5811</f>
        <v>78500</v>
      </c>
      <c r="I5811" s="44"/>
    </row>
    <row r="5812" spans="1:10" x14ac:dyDescent="0.15">
      <c r="B5812" s="4" t="s">
        <v>311</v>
      </c>
      <c r="C5812" s="24"/>
      <c r="D5812" s="6"/>
      <c r="E5812" s="3" t="s">
        <v>7</v>
      </c>
      <c r="F5812" s="419">
        <f>MATERIALES!C117</f>
        <v>5800</v>
      </c>
      <c r="G5812" s="65">
        <v>1.2</v>
      </c>
      <c r="H5812" s="426">
        <f>G5812*F5812</f>
        <v>6960</v>
      </c>
      <c r="I5812" s="44"/>
    </row>
    <row r="5813" spans="1:10" ht="14" thickBot="1" x14ac:dyDescent="0.2">
      <c r="B5813" s="25"/>
      <c r="C5813" s="26"/>
      <c r="D5813" s="27"/>
      <c r="E5813" s="21"/>
      <c r="F5813" s="22"/>
      <c r="G5813" s="425"/>
      <c r="H5813" s="47"/>
      <c r="I5813" s="48"/>
    </row>
    <row r="5814" spans="1:10" ht="14" thickBot="1" x14ac:dyDescent="0.2">
      <c r="B5814" s="1"/>
      <c r="C5814" s="1"/>
      <c r="D5814" s="1"/>
      <c r="E5814" s="1"/>
      <c r="F5814" s="1"/>
      <c r="G5814" s="1"/>
      <c r="H5814" s="37" t="s">
        <v>26</v>
      </c>
      <c r="I5814" s="448">
        <f>SUM(H5809:H5812)</f>
        <v>949460</v>
      </c>
    </row>
    <row r="5815" spans="1:10" ht="14" thickBot="1" x14ac:dyDescent="0.2">
      <c r="B5815" s="28" t="s">
        <v>31</v>
      </c>
      <c r="C5815" s="28"/>
      <c r="D5815" s="26"/>
      <c r="E5815" s="1"/>
      <c r="F5815" s="1"/>
      <c r="G5815" s="1"/>
      <c r="H5815" s="1"/>
      <c r="I5815" s="1"/>
    </row>
    <row r="5816" spans="1:10" x14ac:dyDescent="0.15">
      <c r="B5816" s="51" t="s">
        <v>32</v>
      </c>
      <c r="C5816" s="52"/>
      <c r="D5816" s="378" t="s">
        <v>33</v>
      </c>
      <c r="E5816" s="209" t="s">
        <v>34</v>
      </c>
      <c r="F5816" s="209" t="s">
        <v>35</v>
      </c>
      <c r="G5816" s="209" t="s">
        <v>36</v>
      </c>
      <c r="H5816" s="59" t="s">
        <v>25</v>
      </c>
      <c r="I5816" s="43"/>
    </row>
    <row r="5817" spans="1:10" x14ac:dyDescent="0.15">
      <c r="B5817" s="4" t="s">
        <v>79</v>
      </c>
      <c r="C5817" s="6"/>
      <c r="D5817" s="53">
        <v>2</v>
      </c>
      <c r="E5817" s="2">
        <v>43</v>
      </c>
      <c r="F5817" s="2">
        <f>E5817*D5817</f>
        <v>86</v>
      </c>
      <c r="G5817" s="162">
        <v>1100</v>
      </c>
      <c r="H5817" s="20">
        <f>G5817*F5817</f>
        <v>94600</v>
      </c>
      <c r="I5817" s="44"/>
    </row>
    <row r="5818" spans="1:10" x14ac:dyDescent="0.15">
      <c r="B5818" s="415"/>
      <c r="C5818" s="66"/>
      <c r="D5818" s="67"/>
      <c r="E5818" s="68"/>
      <c r="F5818" s="68"/>
      <c r="G5818" s="69"/>
      <c r="H5818" s="65"/>
      <c r="I5818" s="44"/>
    </row>
    <row r="5819" spans="1:10" ht="14" thickBot="1" x14ac:dyDescent="0.2">
      <c r="B5819" s="33"/>
      <c r="C5819" s="54"/>
      <c r="D5819" s="21"/>
      <c r="E5819" s="22"/>
      <c r="F5819" s="23"/>
      <c r="G5819" s="47"/>
      <c r="H5819" s="21"/>
      <c r="I5819" s="44"/>
    </row>
    <row r="5820" spans="1:10" ht="14" thickBot="1" x14ac:dyDescent="0.2">
      <c r="B5820" s="1"/>
      <c r="C5820" s="1"/>
      <c r="D5820" s="1"/>
      <c r="E5820" s="1"/>
      <c r="F5820" s="1"/>
      <c r="G5820" s="1"/>
      <c r="H5820" s="37" t="s">
        <v>26</v>
      </c>
      <c r="I5820" s="448">
        <f>SUM(H5817:H5819)</f>
        <v>94600</v>
      </c>
    </row>
    <row r="5821" spans="1:10" ht="14" thickBot="1" x14ac:dyDescent="0.2">
      <c r="B5821" s="28" t="s">
        <v>37</v>
      </c>
      <c r="C5821" s="28"/>
      <c r="D5821" s="1"/>
      <c r="E5821" s="1"/>
      <c r="F5821" s="1"/>
      <c r="G5821" s="1"/>
      <c r="H5821" s="1"/>
      <c r="I5821" s="1"/>
    </row>
    <row r="5822" spans="1:10" x14ac:dyDescent="0.15">
      <c r="B5822" s="51" t="s">
        <v>38</v>
      </c>
      <c r="C5822" s="86"/>
      <c r="D5822" s="31" t="s">
        <v>39</v>
      </c>
      <c r="E5822" s="209" t="s">
        <v>40</v>
      </c>
      <c r="F5822" s="19" t="s">
        <v>41</v>
      </c>
      <c r="G5822" s="31" t="s">
        <v>24</v>
      </c>
      <c r="H5822" s="208" t="s">
        <v>25</v>
      </c>
      <c r="I5822" s="43"/>
    </row>
    <row r="5823" spans="1:10" x14ac:dyDescent="0.15">
      <c r="B5823" s="80" t="s">
        <v>956</v>
      </c>
      <c r="C5823" s="24"/>
      <c r="D5823" s="32">
        <f>'MANO DE OBRA'!E15</f>
        <v>95333</v>
      </c>
      <c r="E5823" s="88">
        <v>1.75</v>
      </c>
      <c r="F5823" s="419">
        <f>+E5823*D5823</f>
        <v>166832.75</v>
      </c>
      <c r="G5823" s="20">
        <v>2</v>
      </c>
      <c r="H5823" s="420">
        <f>+F5823/G5823</f>
        <v>83416.375</v>
      </c>
      <c r="I5823" s="44"/>
    </row>
    <row r="5824" spans="1:10" x14ac:dyDescent="0.15">
      <c r="B5824" s="80" t="s">
        <v>55</v>
      </c>
      <c r="C5824" s="24"/>
      <c r="D5824" s="32">
        <f>'MANO DE OBRA'!E14*2</f>
        <v>104000</v>
      </c>
      <c r="E5824" s="88">
        <v>1.75</v>
      </c>
      <c r="F5824" s="419">
        <f>+E5824*D5824</f>
        <v>182000</v>
      </c>
      <c r="G5824" s="20">
        <v>2</v>
      </c>
      <c r="H5824" s="420">
        <f>+F5824/G5824</f>
        <v>91000</v>
      </c>
      <c r="I5824" s="44"/>
    </row>
    <row r="5825" spans="2:9" x14ac:dyDescent="0.15">
      <c r="B5825" s="4"/>
      <c r="C5825" s="24"/>
      <c r="D5825" s="32"/>
      <c r="E5825" s="168"/>
      <c r="F5825" s="20"/>
      <c r="G5825" s="20"/>
      <c r="H5825" s="55"/>
      <c r="I5825" s="44"/>
    </row>
    <row r="5826" spans="2:9" ht="14" thickBot="1" x14ac:dyDescent="0.2">
      <c r="B5826" s="33"/>
      <c r="C5826" s="34"/>
      <c r="D5826" s="22"/>
      <c r="E5826" s="21"/>
      <c r="F5826" s="22"/>
      <c r="G5826" s="23"/>
      <c r="H5826" s="47"/>
      <c r="I5826" s="48"/>
    </row>
    <row r="5827" spans="2:9" ht="14" thickBot="1" x14ac:dyDescent="0.2">
      <c r="B5827" s="1"/>
      <c r="C5827" s="1"/>
      <c r="D5827" s="1"/>
      <c r="E5827" s="1"/>
      <c r="F5827" s="1"/>
      <c r="G5827" s="1"/>
      <c r="H5827" s="37" t="s">
        <v>26</v>
      </c>
      <c r="I5827" s="424">
        <f>SUM(H5823:H5826)</f>
        <v>174416.375</v>
      </c>
    </row>
    <row r="5828" spans="2:9" ht="14" thickBot="1" x14ac:dyDescent="0.2">
      <c r="B5828" s="1"/>
      <c r="C5828" s="1"/>
      <c r="D5828" s="1"/>
      <c r="E5828" s="1"/>
      <c r="F5828" s="1"/>
      <c r="G5828" s="1"/>
      <c r="H5828" s="61"/>
      <c r="I5828" s="1"/>
    </row>
    <row r="5829" spans="2:9" ht="15" thickBot="1" x14ac:dyDescent="0.2">
      <c r="B5829" s="1"/>
      <c r="C5829" s="1"/>
      <c r="D5829" s="1"/>
      <c r="E5829" s="1"/>
      <c r="F5829" s="35" t="s">
        <v>43</v>
      </c>
      <c r="G5829" s="16"/>
      <c r="H5829" s="16"/>
      <c r="I5829" s="232">
        <f>ROUND((I5806+I5814+I5820+I5827),0)</f>
        <v>1227197</v>
      </c>
    </row>
    <row r="5830" spans="2:9" ht="14" x14ac:dyDescent="0.15">
      <c r="B5830" s="1"/>
      <c r="C5830" s="1"/>
      <c r="D5830" s="1"/>
      <c r="E5830" s="1"/>
      <c r="F5830" s="15"/>
      <c r="G5830" s="16"/>
      <c r="H5830" s="16"/>
      <c r="I5830" s="478"/>
    </row>
    <row r="5831" spans="2:9" ht="14" x14ac:dyDescent="0.15">
      <c r="B5831" s="1"/>
      <c r="C5831" s="1"/>
      <c r="D5831" s="1"/>
      <c r="E5831" s="1"/>
      <c r="F5831" s="15"/>
      <c r="G5831" s="16"/>
      <c r="H5831" s="16"/>
      <c r="I5831" s="478"/>
    </row>
    <row r="5832" spans="2:9" ht="14" x14ac:dyDescent="0.15">
      <c r="B5832" s="1"/>
      <c r="C5832" s="1"/>
      <c r="D5832" s="1"/>
      <c r="E5832" s="1"/>
      <c r="F5832" s="15"/>
      <c r="G5832" s="16"/>
      <c r="H5832" s="16"/>
      <c r="I5832" s="478"/>
    </row>
    <row r="5833" spans="2:9" ht="14" x14ac:dyDescent="0.15">
      <c r="B5833" s="1"/>
      <c r="C5833" s="1"/>
      <c r="D5833" s="1"/>
      <c r="E5833" s="1"/>
      <c r="F5833" s="15"/>
      <c r="G5833" s="16"/>
      <c r="H5833" s="16"/>
      <c r="I5833" s="478"/>
    </row>
    <row r="5834" spans="2:9" ht="14" x14ac:dyDescent="0.15">
      <c r="B5834" s="1"/>
      <c r="C5834" s="1"/>
      <c r="D5834" s="1"/>
      <c r="E5834" s="1"/>
      <c r="F5834" s="15"/>
      <c r="G5834" s="16"/>
      <c r="H5834" s="16"/>
      <c r="I5834" s="478"/>
    </row>
    <row r="5835" spans="2:9" ht="14" x14ac:dyDescent="0.15">
      <c r="B5835" s="1"/>
      <c r="C5835" s="1"/>
      <c r="D5835" s="1"/>
      <c r="E5835" s="1"/>
      <c r="F5835" s="15"/>
      <c r="G5835" s="16"/>
      <c r="H5835" s="16"/>
      <c r="I5835" s="478"/>
    </row>
    <row r="5836" spans="2:9" ht="14" x14ac:dyDescent="0.15">
      <c r="B5836" s="1"/>
      <c r="C5836" s="1"/>
      <c r="D5836" s="1"/>
      <c r="E5836" s="1"/>
      <c r="F5836" s="15"/>
      <c r="G5836" s="16"/>
      <c r="H5836" s="16"/>
      <c r="I5836" s="478"/>
    </row>
    <row r="5837" spans="2:9" ht="14" x14ac:dyDescent="0.15">
      <c r="B5837" s="1"/>
      <c r="C5837" s="1"/>
      <c r="D5837" s="1"/>
      <c r="E5837" s="1"/>
      <c r="F5837" s="15"/>
      <c r="G5837" s="16"/>
      <c r="H5837" s="16"/>
      <c r="I5837" s="478"/>
    </row>
    <row r="5838" spans="2:9" ht="14" x14ac:dyDescent="0.15">
      <c r="B5838" s="1"/>
      <c r="C5838" s="1"/>
      <c r="D5838" s="1"/>
      <c r="E5838" s="1"/>
      <c r="F5838" s="15"/>
      <c r="G5838" s="16"/>
      <c r="H5838" s="16"/>
      <c r="I5838" s="478"/>
    </row>
    <row r="5839" spans="2:9" ht="14" x14ac:dyDescent="0.15">
      <c r="B5839" s="1"/>
      <c r="C5839" s="1"/>
      <c r="D5839" s="1"/>
      <c r="E5839" s="1"/>
      <c r="F5839" s="15"/>
      <c r="G5839" s="16"/>
      <c r="H5839" s="16"/>
      <c r="I5839" s="478"/>
    </row>
    <row r="5840" spans="2:9" ht="14" x14ac:dyDescent="0.15">
      <c r="B5840" s="1"/>
      <c r="C5840" s="1"/>
      <c r="D5840" s="1"/>
      <c r="E5840" s="1"/>
      <c r="F5840" s="15"/>
      <c r="G5840" s="16"/>
      <c r="H5840" s="16"/>
      <c r="I5840" s="478"/>
    </row>
    <row r="5841" spans="2:9" x14ac:dyDescent="0.15">
      <c r="B5841" s="11"/>
      <c r="C5841" s="11"/>
      <c r="D5841" s="1"/>
      <c r="E5841" s="155"/>
      <c r="F5841" s="155"/>
      <c r="G5841" s="155"/>
      <c r="H5841" s="155"/>
      <c r="I5841" s="479"/>
    </row>
    <row r="5842" spans="2:9" x14ac:dyDescent="0.15">
      <c r="B5842" s="11"/>
      <c r="C5842" s="11"/>
      <c r="D5842" s="1"/>
      <c r="E5842" s="155"/>
      <c r="F5842" s="155"/>
      <c r="G5842" s="155"/>
      <c r="H5842" s="155"/>
      <c r="I5842" s="479"/>
    </row>
    <row r="5843" spans="2:9" x14ac:dyDescent="0.15">
      <c r="B5843" s="11"/>
      <c r="C5843" s="11"/>
      <c r="D5843" s="1"/>
      <c r="E5843" s="155"/>
      <c r="F5843" s="155"/>
      <c r="G5843" s="155"/>
      <c r="H5843" s="155"/>
      <c r="I5843" s="479"/>
    </row>
    <row r="5844" spans="2:9" x14ac:dyDescent="0.15">
      <c r="B5844" s="11"/>
      <c r="C5844" s="11"/>
      <c r="D5844" s="1"/>
      <c r="E5844" s="155"/>
      <c r="F5844" s="155"/>
      <c r="G5844" s="155"/>
      <c r="H5844" s="155"/>
      <c r="I5844" s="479"/>
    </row>
    <row r="5845" spans="2:9" x14ac:dyDescent="0.15">
      <c r="B5845" s="11"/>
      <c r="C5845" s="11"/>
      <c r="D5845" s="1"/>
      <c r="E5845" s="155"/>
      <c r="F5845" s="155"/>
      <c r="G5845" s="155"/>
      <c r="H5845" s="155"/>
      <c r="I5845" s="479"/>
    </row>
    <row r="5846" spans="2:9" x14ac:dyDescent="0.15">
      <c r="B5846" s="11"/>
      <c r="C5846" s="11"/>
      <c r="D5846" s="1"/>
      <c r="E5846" s="155"/>
      <c r="F5846" s="155"/>
      <c r="G5846" s="155"/>
      <c r="H5846" s="155"/>
      <c r="I5846" s="479"/>
    </row>
    <row r="5847" spans="2:9" ht="14" thickBot="1" x14ac:dyDescent="0.2"/>
    <row r="5848" spans="2:9" ht="21" customHeight="1" x14ac:dyDescent="0.15">
      <c r="B5848" s="885" t="s">
        <v>874</v>
      </c>
      <c r="C5848" s="886"/>
      <c r="D5848" s="886"/>
      <c r="E5848" s="886"/>
      <c r="F5848" s="887"/>
      <c r="G5848" s="1"/>
      <c r="H5848" s="879" t="s">
        <v>20</v>
      </c>
      <c r="I5848" s="880"/>
    </row>
    <row r="5849" spans="2:9" ht="16.5" customHeight="1" x14ac:dyDescent="0.15">
      <c r="B5849" s="888" t="s">
        <v>875</v>
      </c>
      <c r="C5849" s="889"/>
      <c r="D5849" s="889"/>
      <c r="E5849" s="889"/>
      <c r="F5849" s="890"/>
      <c r="G5849" s="63"/>
      <c r="H5849" s="881"/>
      <c r="I5849" s="882"/>
    </row>
    <row r="5850" spans="2:9" ht="12.75" customHeight="1" x14ac:dyDescent="0.15">
      <c r="B5850" s="906" t="s">
        <v>876</v>
      </c>
      <c r="C5850" s="907"/>
      <c r="D5850" s="907"/>
      <c r="E5850" s="907"/>
      <c r="F5850" s="908"/>
      <c r="G5850" s="63"/>
      <c r="H5850" s="883"/>
      <c r="I5850" s="884"/>
    </row>
    <row r="5851" spans="2:9" ht="16.5" customHeight="1" thickBot="1" x14ac:dyDescent="0.2">
      <c r="B5851" s="909"/>
      <c r="C5851" s="910"/>
      <c r="D5851" s="910"/>
      <c r="E5851" s="910"/>
      <c r="F5851" s="911"/>
      <c r="G5851" s="1"/>
      <c r="H5851" s="891" t="s">
        <v>1205</v>
      </c>
      <c r="I5851" s="892"/>
    </row>
    <row r="5852" spans="2:9" ht="14" thickBot="1" x14ac:dyDescent="0.2">
      <c r="B5852" s="15"/>
      <c r="C5852" s="16"/>
      <c r="D5852" s="1"/>
      <c r="E5852" s="1"/>
      <c r="F5852" s="1"/>
      <c r="G5852" s="1"/>
      <c r="H5852" s="893"/>
      <c r="I5852" s="894"/>
    </row>
    <row r="5853" spans="2:9" ht="12.75" customHeight="1" x14ac:dyDescent="0.15">
      <c r="B5853" s="922" t="s">
        <v>836</v>
      </c>
      <c r="C5853" s="923"/>
      <c r="D5853" s="923"/>
      <c r="E5853" s="923"/>
      <c r="F5853" s="924"/>
      <c r="G5853" s="1"/>
      <c r="H5853" s="893"/>
      <c r="I5853" s="894"/>
    </row>
    <row r="5854" spans="2:9" ht="12.75" customHeight="1" x14ac:dyDescent="0.15">
      <c r="B5854" s="925"/>
      <c r="C5854" s="926"/>
      <c r="D5854" s="926"/>
      <c r="E5854" s="926"/>
      <c r="F5854" s="927"/>
      <c r="H5854" s="893"/>
      <c r="I5854" s="894"/>
    </row>
    <row r="5855" spans="2:9" ht="13.5" customHeight="1" x14ac:dyDescent="0.15">
      <c r="B5855" s="925"/>
      <c r="C5855" s="926"/>
      <c r="D5855" s="926"/>
      <c r="E5855" s="926"/>
      <c r="F5855" s="927"/>
      <c r="G5855" s="11"/>
      <c r="H5855" s="895"/>
      <c r="I5855" s="896"/>
    </row>
    <row r="5856" spans="2:9" ht="21.75" customHeight="1" thickBot="1" x14ac:dyDescent="0.2">
      <c r="B5856" s="928"/>
      <c r="C5856" s="929"/>
      <c r="D5856" s="929"/>
      <c r="E5856" s="929"/>
      <c r="F5856" s="930"/>
      <c r="H5856" s="64" t="s">
        <v>45</v>
      </c>
      <c r="I5856" s="17" t="s">
        <v>5</v>
      </c>
    </row>
    <row r="5857" spans="1:10" x14ac:dyDescent="0.15">
      <c r="B5857" s="18"/>
      <c r="C5857" s="18"/>
      <c r="D5857" s="1"/>
      <c r="E5857" s="18"/>
      <c r="F5857" s="18"/>
      <c r="G5857" s="18"/>
      <c r="H5857" s="18"/>
      <c r="I5857" s="1"/>
    </row>
    <row r="5858" spans="1:10" ht="14" thickBot="1" x14ac:dyDescent="0.2">
      <c r="B5858" s="12" t="s">
        <v>21</v>
      </c>
      <c r="C5858" s="12"/>
      <c r="D5858" s="1"/>
      <c r="E5858" s="1"/>
      <c r="F5858" s="1"/>
      <c r="G5858" s="1"/>
      <c r="H5858" s="1"/>
      <c r="I5858" s="1"/>
    </row>
    <row r="5859" spans="1:10" x14ac:dyDescent="0.15">
      <c r="B5859" s="903" t="s">
        <v>22</v>
      </c>
      <c r="C5859" s="904"/>
      <c r="D5859" s="905"/>
      <c r="E5859" s="209" t="s">
        <v>23</v>
      </c>
      <c r="F5859" s="19" t="s">
        <v>47</v>
      </c>
      <c r="G5859" s="209" t="s">
        <v>24</v>
      </c>
      <c r="H5859" s="208" t="s">
        <v>25</v>
      </c>
      <c r="I5859" s="43"/>
    </row>
    <row r="5860" spans="1:10" x14ac:dyDescent="0.15">
      <c r="B5860" s="897" t="s">
        <v>56</v>
      </c>
      <c r="C5860" s="898"/>
      <c r="D5860" s="899"/>
      <c r="E5860" s="5"/>
      <c r="F5860" s="458"/>
      <c r="G5860" s="58"/>
      <c r="H5860" s="426">
        <f>I5883*0.05</f>
        <v>4360.4093750000002</v>
      </c>
      <c r="I5860" s="44"/>
    </row>
    <row r="5861" spans="1:10" ht="14" thickBot="1" x14ac:dyDescent="0.2">
      <c r="B5861" s="900"/>
      <c r="C5861" s="901"/>
      <c r="D5861" s="902"/>
      <c r="E5861" s="21"/>
      <c r="F5861" s="22"/>
      <c r="G5861" s="23"/>
      <c r="H5861" s="47"/>
      <c r="I5861" s="48"/>
    </row>
    <row r="5862" spans="1:10" ht="14" thickBot="1" x14ac:dyDescent="0.2">
      <c r="B5862" s="1"/>
      <c r="C5862" s="1"/>
      <c r="D5862" s="1"/>
      <c r="E5862" s="1"/>
      <c r="F5862" s="1"/>
      <c r="G5862" s="1"/>
      <c r="H5862" s="37" t="s">
        <v>26</v>
      </c>
      <c r="I5862" s="448">
        <f>SUM(H5860:H5861)</f>
        <v>4360.4093750000002</v>
      </c>
    </row>
    <row r="5863" spans="1:10" ht="14" thickBot="1" x14ac:dyDescent="0.2">
      <c r="B5863" s="12" t="s">
        <v>27</v>
      </c>
      <c r="C5863" s="12"/>
      <c r="D5863" s="1"/>
      <c r="E5863" s="1"/>
      <c r="F5863" s="1"/>
      <c r="G5863" s="1"/>
      <c r="H5863" s="1"/>
      <c r="I5863" s="1"/>
    </row>
    <row r="5864" spans="1:10" x14ac:dyDescent="0.15">
      <c r="B5864" s="903" t="s">
        <v>22</v>
      </c>
      <c r="C5864" s="904"/>
      <c r="D5864" s="905"/>
      <c r="E5864" s="209" t="s">
        <v>28</v>
      </c>
      <c r="F5864" s="209" t="s">
        <v>29</v>
      </c>
      <c r="G5864" s="209" t="s">
        <v>30</v>
      </c>
      <c r="H5864" s="208" t="s">
        <v>25</v>
      </c>
      <c r="I5864" s="43"/>
    </row>
    <row r="5865" spans="1:10" x14ac:dyDescent="0.15">
      <c r="A5865" s="11"/>
      <c r="B5865" s="4" t="s">
        <v>955</v>
      </c>
      <c r="C5865" s="24"/>
      <c r="D5865" s="6"/>
      <c r="E5865" s="3" t="s">
        <v>5</v>
      </c>
      <c r="F5865" s="419">
        <f>MATERIALES!C114</f>
        <v>297000</v>
      </c>
      <c r="G5865" s="65">
        <v>1</v>
      </c>
      <c r="H5865" s="426">
        <f>G5865*F5865</f>
        <v>297000</v>
      </c>
      <c r="I5865" s="44"/>
      <c r="J5865" s="11"/>
    </row>
    <row r="5866" spans="1:10" x14ac:dyDescent="0.15">
      <c r="B5866" s="4" t="s">
        <v>309</v>
      </c>
      <c r="C5866" s="24"/>
      <c r="D5866" s="6"/>
      <c r="E5866" s="3" t="s">
        <v>501</v>
      </c>
      <c r="F5866" s="419">
        <f>MATERIALES!C112</f>
        <v>4500</v>
      </c>
      <c r="G5866" s="65">
        <v>1.5</v>
      </c>
      <c r="H5866" s="426">
        <f>G5866*F5866</f>
        <v>6750</v>
      </c>
      <c r="I5866" s="44"/>
    </row>
    <row r="5867" spans="1:10" x14ac:dyDescent="0.15">
      <c r="B5867" s="4" t="s">
        <v>310</v>
      </c>
      <c r="C5867" s="24"/>
      <c r="D5867" s="6"/>
      <c r="E5867" s="3" t="s">
        <v>501</v>
      </c>
      <c r="F5867" s="419">
        <f>MATERIALES!C116</f>
        <v>78500</v>
      </c>
      <c r="G5867" s="65">
        <v>0.5</v>
      </c>
      <c r="H5867" s="426">
        <f>G5867*F5867</f>
        <v>39250</v>
      </c>
      <c r="I5867" s="44"/>
    </row>
    <row r="5868" spans="1:10" x14ac:dyDescent="0.15">
      <c r="B5868" s="4" t="s">
        <v>311</v>
      </c>
      <c r="C5868" s="24"/>
      <c r="D5868" s="6"/>
      <c r="E5868" s="3" t="s">
        <v>7</v>
      </c>
      <c r="F5868" s="419">
        <f>MATERIALES!C117</f>
        <v>5800</v>
      </c>
      <c r="G5868" s="65">
        <v>0.6</v>
      </c>
      <c r="H5868" s="426">
        <f>G5868*F5868</f>
        <v>3480</v>
      </c>
      <c r="I5868" s="44"/>
    </row>
    <row r="5869" spans="1:10" ht="14" thickBot="1" x14ac:dyDescent="0.2">
      <c r="B5869" s="25"/>
      <c r="C5869" s="26"/>
      <c r="D5869" s="27"/>
      <c r="E5869" s="21"/>
      <c r="F5869" s="22"/>
      <c r="G5869" s="425"/>
      <c r="H5869" s="47"/>
      <c r="I5869" s="48"/>
    </row>
    <row r="5870" spans="1:10" ht="14" thickBot="1" x14ac:dyDescent="0.2">
      <c r="B5870" s="1"/>
      <c r="C5870" s="1"/>
      <c r="D5870" s="1"/>
      <c r="E5870" s="1"/>
      <c r="F5870" s="1"/>
      <c r="G5870" s="1"/>
      <c r="H5870" s="37" t="s">
        <v>26</v>
      </c>
      <c r="I5870" s="448">
        <f>SUM(H5865:H5868)</f>
        <v>346480</v>
      </c>
    </row>
    <row r="5871" spans="1:10" ht="14" thickBot="1" x14ac:dyDescent="0.2">
      <c r="B5871" s="28" t="s">
        <v>31</v>
      </c>
      <c r="C5871" s="28"/>
      <c r="D5871" s="26"/>
      <c r="E5871" s="1"/>
      <c r="F5871" s="1"/>
      <c r="G5871" s="1"/>
      <c r="H5871" s="1"/>
      <c r="I5871" s="1"/>
    </row>
    <row r="5872" spans="1:10" x14ac:dyDescent="0.15">
      <c r="B5872" s="51" t="s">
        <v>32</v>
      </c>
      <c r="C5872" s="52"/>
      <c r="D5872" s="378" t="s">
        <v>33</v>
      </c>
      <c r="E5872" s="209" t="s">
        <v>34</v>
      </c>
      <c r="F5872" s="209" t="s">
        <v>35</v>
      </c>
      <c r="G5872" s="209" t="s">
        <v>36</v>
      </c>
      <c r="H5872" s="59" t="s">
        <v>25</v>
      </c>
      <c r="I5872" s="43"/>
    </row>
    <row r="5873" spans="2:9" x14ac:dyDescent="0.15">
      <c r="B5873" s="4" t="s">
        <v>79</v>
      </c>
      <c r="C5873" s="6"/>
      <c r="D5873" s="53">
        <v>1</v>
      </c>
      <c r="E5873" s="2">
        <v>43</v>
      </c>
      <c r="F5873" s="2">
        <f>E5873*D5873</f>
        <v>43</v>
      </c>
      <c r="G5873" s="162">
        <v>1100</v>
      </c>
      <c r="H5873" s="20">
        <f>G5873*F5873</f>
        <v>47300</v>
      </c>
      <c r="I5873" s="44"/>
    </row>
    <row r="5874" spans="2:9" x14ac:dyDescent="0.15">
      <c r="B5874" s="415"/>
      <c r="C5874" s="66"/>
      <c r="D5874" s="67"/>
      <c r="E5874" s="68"/>
      <c r="F5874" s="68"/>
      <c r="G5874" s="69"/>
      <c r="H5874" s="65"/>
      <c r="I5874" s="44"/>
    </row>
    <row r="5875" spans="2:9" ht="14" thickBot="1" x14ac:dyDescent="0.2">
      <c r="B5875" s="33"/>
      <c r="C5875" s="54"/>
      <c r="D5875" s="21"/>
      <c r="E5875" s="22"/>
      <c r="F5875" s="23"/>
      <c r="G5875" s="47"/>
      <c r="H5875" s="21"/>
      <c r="I5875" s="44"/>
    </row>
    <row r="5876" spans="2:9" ht="14" thickBot="1" x14ac:dyDescent="0.2">
      <c r="B5876" s="1"/>
      <c r="C5876" s="1"/>
      <c r="D5876" s="1"/>
      <c r="E5876" s="1"/>
      <c r="F5876" s="1"/>
      <c r="G5876" s="1"/>
      <c r="H5876" s="37" t="s">
        <v>26</v>
      </c>
      <c r="I5876" s="448">
        <f>SUM(H5873:H5875)</f>
        <v>47300</v>
      </c>
    </row>
    <row r="5877" spans="2:9" ht="14" thickBot="1" x14ac:dyDescent="0.2">
      <c r="B5877" s="28" t="s">
        <v>37</v>
      </c>
      <c r="C5877" s="28"/>
      <c r="D5877" s="1"/>
      <c r="E5877" s="1"/>
      <c r="F5877" s="1"/>
      <c r="G5877" s="1"/>
      <c r="H5877" s="1"/>
      <c r="I5877" s="1"/>
    </row>
    <row r="5878" spans="2:9" x14ac:dyDescent="0.15">
      <c r="B5878" s="51" t="s">
        <v>38</v>
      </c>
      <c r="C5878" s="86"/>
      <c r="D5878" s="31" t="s">
        <v>39</v>
      </c>
      <c r="E5878" s="209" t="s">
        <v>40</v>
      </c>
      <c r="F5878" s="19" t="s">
        <v>41</v>
      </c>
      <c r="G5878" s="31" t="s">
        <v>24</v>
      </c>
      <c r="H5878" s="208" t="s">
        <v>25</v>
      </c>
      <c r="I5878" s="43"/>
    </row>
    <row r="5879" spans="2:9" x14ac:dyDescent="0.15">
      <c r="B5879" s="80" t="s">
        <v>956</v>
      </c>
      <c r="C5879" s="24"/>
      <c r="D5879" s="32">
        <f>'MANO DE OBRA'!E15</f>
        <v>95333</v>
      </c>
      <c r="E5879" s="88">
        <v>1.75</v>
      </c>
      <c r="F5879" s="419">
        <f>+E5879*D5879</f>
        <v>166832.75</v>
      </c>
      <c r="G5879" s="20">
        <v>4</v>
      </c>
      <c r="H5879" s="420">
        <f>+F5879/G5879</f>
        <v>41708.1875</v>
      </c>
      <c r="I5879" s="44"/>
    </row>
    <row r="5880" spans="2:9" x14ac:dyDescent="0.15">
      <c r="B5880" s="80" t="s">
        <v>55</v>
      </c>
      <c r="C5880" s="24"/>
      <c r="D5880" s="32">
        <f>'MANO DE OBRA'!E14*2</f>
        <v>104000</v>
      </c>
      <c r="E5880" s="88">
        <v>1.75</v>
      </c>
      <c r="F5880" s="419">
        <f>+E5880*D5880</f>
        <v>182000</v>
      </c>
      <c r="G5880" s="20">
        <v>4</v>
      </c>
      <c r="H5880" s="420">
        <f>+F5880/G5880</f>
        <v>45500</v>
      </c>
      <c r="I5880" s="44"/>
    </row>
    <row r="5881" spans="2:9" x14ac:dyDescent="0.15">
      <c r="B5881" s="4"/>
      <c r="C5881" s="24"/>
      <c r="D5881" s="32"/>
      <c r="E5881" s="168"/>
      <c r="F5881" s="20"/>
      <c r="G5881" s="20"/>
      <c r="H5881" s="55"/>
      <c r="I5881" s="44"/>
    </row>
    <row r="5882" spans="2:9" ht="14" thickBot="1" x14ac:dyDescent="0.2">
      <c r="B5882" s="33"/>
      <c r="C5882" s="34"/>
      <c r="D5882" s="22"/>
      <c r="E5882" s="21"/>
      <c r="F5882" s="22"/>
      <c r="G5882" s="23"/>
      <c r="H5882" s="47"/>
      <c r="I5882" s="48"/>
    </row>
    <row r="5883" spans="2:9" ht="14" thickBot="1" x14ac:dyDescent="0.2">
      <c r="B5883" s="1"/>
      <c r="C5883" s="1"/>
      <c r="D5883" s="1"/>
      <c r="E5883" s="1"/>
      <c r="F5883" s="1"/>
      <c r="G5883" s="1"/>
      <c r="H5883" s="37" t="s">
        <v>26</v>
      </c>
      <c r="I5883" s="424">
        <f>SUM(H5879:H5882)</f>
        <v>87208.1875</v>
      </c>
    </row>
    <row r="5884" spans="2:9" ht="14" thickBot="1" x14ac:dyDescent="0.2">
      <c r="B5884" s="1"/>
      <c r="C5884" s="1"/>
      <c r="D5884" s="1"/>
      <c r="E5884" s="1"/>
      <c r="F5884" s="1"/>
      <c r="G5884" s="1"/>
      <c r="H5884" s="61"/>
      <c r="I5884" s="1"/>
    </row>
    <row r="5885" spans="2:9" ht="15" thickBot="1" x14ac:dyDescent="0.2">
      <c r="B5885" s="1"/>
      <c r="C5885" s="1"/>
      <c r="D5885" s="1"/>
      <c r="E5885" s="1"/>
      <c r="F5885" s="35" t="s">
        <v>43</v>
      </c>
      <c r="G5885" s="16"/>
      <c r="H5885" s="16"/>
      <c r="I5885" s="232">
        <f>ROUND((I5862+I5870+I5876+I5883),0)</f>
        <v>485349</v>
      </c>
    </row>
    <row r="5886" spans="2:9" ht="14" x14ac:dyDescent="0.15">
      <c r="B5886" s="1"/>
      <c r="C5886" s="1"/>
      <c r="D5886" s="1"/>
      <c r="E5886" s="1"/>
      <c r="F5886" s="15"/>
      <c r="G5886" s="16"/>
      <c r="H5886" s="16"/>
      <c r="I5886" s="478"/>
    </row>
    <row r="5887" spans="2:9" ht="14" x14ac:dyDescent="0.15">
      <c r="B5887" s="1"/>
      <c r="C5887" s="1"/>
      <c r="D5887" s="1"/>
      <c r="E5887" s="1"/>
      <c r="F5887" s="15"/>
      <c r="G5887" s="16"/>
      <c r="H5887" s="16"/>
      <c r="I5887" s="478"/>
    </row>
    <row r="5888" spans="2:9" ht="14" x14ac:dyDescent="0.15">
      <c r="B5888" s="1"/>
      <c r="C5888" s="1"/>
      <c r="D5888" s="1"/>
      <c r="E5888" s="1"/>
      <c r="F5888" s="15"/>
      <c r="G5888" s="16"/>
      <c r="H5888" s="16"/>
      <c r="I5888" s="478"/>
    </row>
    <row r="5889" spans="2:9" ht="14" x14ac:dyDescent="0.15">
      <c r="B5889" s="1"/>
      <c r="C5889" s="1"/>
      <c r="D5889" s="1"/>
      <c r="E5889" s="1"/>
      <c r="F5889" s="15"/>
      <c r="G5889" s="16"/>
      <c r="H5889" s="16"/>
      <c r="I5889" s="478"/>
    </row>
    <row r="5890" spans="2:9" ht="14" x14ac:dyDescent="0.15">
      <c r="B5890" s="1"/>
      <c r="C5890" s="1"/>
      <c r="D5890" s="1"/>
      <c r="E5890" s="1"/>
      <c r="F5890" s="15"/>
      <c r="G5890" s="16"/>
      <c r="H5890" s="16"/>
      <c r="I5890" s="478"/>
    </row>
    <row r="5891" spans="2:9" ht="14" x14ac:dyDescent="0.15">
      <c r="B5891" s="1"/>
      <c r="C5891" s="1"/>
      <c r="D5891" s="1"/>
      <c r="E5891" s="1"/>
      <c r="F5891" s="15"/>
      <c r="G5891" s="16"/>
      <c r="H5891" s="16"/>
      <c r="I5891" s="478"/>
    </row>
    <row r="5892" spans="2:9" ht="14" x14ac:dyDescent="0.15">
      <c r="B5892" s="1"/>
      <c r="C5892" s="1"/>
      <c r="D5892" s="1"/>
      <c r="E5892" s="1"/>
      <c r="F5892" s="15"/>
      <c r="G5892" s="16"/>
      <c r="H5892" s="16"/>
      <c r="I5892" s="478"/>
    </row>
    <row r="5893" spans="2:9" ht="14" x14ac:dyDescent="0.15">
      <c r="B5893" s="1"/>
      <c r="C5893" s="1"/>
      <c r="D5893" s="1"/>
      <c r="E5893" s="1"/>
      <c r="F5893" s="15"/>
      <c r="G5893" s="16"/>
      <c r="H5893" s="16"/>
      <c r="I5893" s="478"/>
    </row>
    <row r="5894" spans="2:9" ht="14" x14ac:dyDescent="0.15">
      <c r="B5894" s="1"/>
      <c r="C5894" s="1"/>
      <c r="D5894" s="1"/>
      <c r="E5894" s="1"/>
      <c r="F5894" s="15"/>
      <c r="G5894" s="16"/>
      <c r="H5894" s="16"/>
      <c r="I5894" s="478"/>
    </row>
    <row r="5895" spans="2:9" ht="14" x14ac:dyDescent="0.15">
      <c r="B5895" s="1"/>
      <c r="C5895" s="1"/>
      <c r="D5895" s="1"/>
      <c r="E5895" s="1"/>
      <c r="F5895" s="15"/>
      <c r="G5895" s="16"/>
      <c r="H5895" s="16"/>
      <c r="I5895" s="478"/>
    </row>
    <row r="5896" spans="2:9" ht="14" x14ac:dyDescent="0.15">
      <c r="B5896" s="1"/>
      <c r="C5896" s="1"/>
      <c r="D5896" s="1"/>
      <c r="E5896" s="1"/>
      <c r="F5896" s="15"/>
      <c r="G5896" s="16"/>
      <c r="H5896" s="16"/>
      <c r="I5896" s="478"/>
    </row>
    <row r="5897" spans="2:9" x14ac:dyDescent="0.15">
      <c r="B5897" s="11"/>
      <c r="C5897" s="11"/>
      <c r="D5897" s="1"/>
      <c r="E5897" s="155"/>
      <c r="F5897" s="155"/>
      <c r="G5897" s="155"/>
      <c r="H5897" s="155"/>
      <c r="I5897" s="479"/>
    </row>
    <row r="5898" spans="2:9" x14ac:dyDescent="0.15">
      <c r="B5898" s="11"/>
      <c r="C5898" s="11"/>
      <c r="D5898" s="1"/>
      <c r="E5898" s="155"/>
      <c r="F5898" s="155"/>
      <c r="G5898" s="155"/>
      <c r="H5898" s="155"/>
      <c r="I5898" s="479"/>
    </row>
    <row r="5899" spans="2:9" x14ac:dyDescent="0.15">
      <c r="B5899" s="11"/>
      <c r="C5899" s="11"/>
      <c r="D5899" s="1"/>
      <c r="E5899" s="155"/>
      <c r="F5899" s="155"/>
      <c r="G5899" s="155"/>
      <c r="H5899" s="155"/>
      <c r="I5899" s="479"/>
    </row>
    <row r="5900" spans="2:9" x14ac:dyDescent="0.15">
      <c r="B5900" s="11"/>
      <c r="C5900" s="11"/>
      <c r="D5900" s="1"/>
      <c r="E5900" s="155"/>
      <c r="F5900" s="155"/>
      <c r="G5900" s="155"/>
      <c r="H5900" s="155"/>
      <c r="I5900" s="479"/>
    </row>
    <row r="5901" spans="2:9" x14ac:dyDescent="0.15">
      <c r="B5901" s="11"/>
      <c r="C5901" s="11"/>
      <c r="D5901" s="1"/>
      <c r="E5901" s="155"/>
      <c r="F5901" s="155"/>
      <c r="G5901" s="155"/>
      <c r="H5901" s="155"/>
      <c r="I5901" s="479"/>
    </row>
    <row r="5902" spans="2:9" x14ac:dyDescent="0.15">
      <c r="B5902" s="11"/>
      <c r="C5902" s="11"/>
      <c r="D5902" s="1"/>
      <c r="E5902" s="155"/>
      <c r="F5902" s="155"/>
      <c r="G5902" s="155"/>
      <c r="H5902" s="155"/>
      <c r="I5902" s="479"/>
    </row>
    <row r="5903" spans="2:9" ht="14" thickBot="1" x14ac:dyDescent="0.2"/>
    <row r="5904" spans="2:9" ht="21" customHeight="1" x14ac:dyDescent="0.15">
      <c r="B5904" s="885" t="s">
        <v>874</v>
      </c>
      <c r="C5904" s="886"/>
      <c r="D5904" s="886"/>
      <c r="E5904" s="886"/>
      <c r="F5904" s="887"/>
      <c r="G5904" s="1"/>
      <c r="H5904" s="879" t="s">
        <v>20</v>
      </c>
      <c r="I5904" s="880"/>
    </row>
    <row r="5905" spans="2:9" ht="16.5" customHeight="1" x14ac:dyDescent="0.15">
      <c r="B5905" s="888" t="s">
        <v>875</v>
      </c>
      <c r="C5905" s="889"/>
      <c r="D5905" s="889"/>
      <c r="E5905" s="889"/>
      <c r="F5905" s="890"/>
      <c r="G5905" s="63"/>
      <c r="H5905" s="881"/>
      <c r="I5905" s="882"/>
    </row>
    <row r="5906" spans="2:9" ht="12.75" customHeight="1" x14ac:dyDescent="0.15">
      <c r="B5906" s="906" t="s">
        <v>876</v>
      </c>
      <c r="C5906" s="907"/>
      <c r="D5906" s="907"/>
      <c r="E5906" s="907"/>
      <c r="F5906" s="908"/>
      <c r="G5906" s="63"/>
      <c r="H5906" s="883"/>
      <c r="I5906" s="884"/>
    </row>
    <row r="5907" spans="2:9" ht="16.5" customHeight="1" thickBot="1" x14ac:dyDescent="0.2">
      <c r="B5907" s="909"/>
      <c r="C5907" s="910"/>
      <c r="D5907" s="910"/>
      <c r="E5907" s="910"/>
      <c r="F5907" s="911"/>
      <c r="G5907" s="1"/>
      <c r="H5907" s="891" t="s">
        <v>1206</v>
      </c>
      <c r="I5907" s="892"/>
    </row>
    <row r="5908" spans="2:9" ht="14" thickBot="1" x14ac:dyDescent="0.2">
      <c r="B5908" s="15"/>
      <c r="C5908" s="16"/>
      <c r="D5908" s="1"/>
      <c r="E5908" s="1"/>
      <c r="F5908" s="1"/>
      <c r="G5908" s="1"/>
      <c r="H5908" s="893"/>
      <c r="I5908" s="894"/>
    </row>
    <row r="5909" spans="2:9" ht="12.75" customHeight="1" x14ac:dyDescent="0.15">
      <c r="B5909" s="922" t="s">
        <v>836</v>
      </c>
      <c r="C5909" s="923"/>
      <c r="D5909" s="923"/>
      <c r="E5909" s="923"/>
      <c r="F5909" s="924"/>
      <c r="G5909" s="1"/>
      <c r="H5909" s="893"/>
      <c r="I5909" s="894"/>
    </row>
    <row r="5910" spans="2:9" ht="12.75" customHeight="1" x14ac:dyDescent="0.15">
      <c r="B5910" s="925"/>
      <c r="C5910" s="926"/>
      <c r="D5910" s="926"/>
      <c r="E5910" s="926"/>
      <c r="F5910" s="927"/>
      <c r="H5910" s="893"/>
      <c r="I5910" s="894"/>
    </row>
    <row r="5911" spans="2:9" ht="13.5" customHeight="1" x14ac:dyDescent="0.15">
      <c r="B5911" s="925"/>
      <c r="C5911" s="926"/>
      <c r="D5911" s="926"/>
      <c r="E5911" s="926"/>
      <c r="F5911" s="927"/>
      <c r="G5911" s="11"/>
      <c r="H5911" s="895"/>
      <c r="I5911" s="896"/>
    </row>
    <row r="5912" spans="2:9" ht="21.75" customHeight="1" thickBot="1" x14ac:dyDescent="0.2">
      <c r="B5912" s="928"/>
      <c r="C5912" s="929"/>
      <c r="D5912" s="929"/>
      <c r="E5912" s="929"/>
      <c r="F5912" s="930"/>
      <c r="H5912" s="64" t="s">
        <v>45</v>
      </c>
      <c r="I5912" s="17" t="s">
        <v>5</v>
      </c>
    </row>
    <row r="5913" spans="2:9" x14ac:dyDescent="0.15">
      <c r="B5913" s="18"/>
      <c r="C5913" s="18"/>
      <c r="D5913" s="1"/>
      <c r="E5913" s="18"/>
      <c r="F5913" s="18"/>
      <c r="G5913" s="18"/>
      <c r="H5913" s="18"/>
      <c r="I5913" s="1"/>
    </row>
    <row r="5914" spans="2:9" ht="14" thickBot="1" x14ac:dyDescent="0.2">
      <c r="B5914" s="12" t="s">
        <v>21</v>
      </c>
      <c r="C5914" s="12"/>
      <c r="D5914" s="1"/>
      <c r="E5914" s="1"/>
      <c r="F5914" s="1"/>
      <c r="G5914" s="1"/>
      <c r="H5914" s="1"/>
      <c r="I5914" s="1"/>
    </row>
    <row r="5915" spans="2:9" x14ac:dyDescent="0.15">
      <c r="B5915" s="903" t="s">
        <v>22</v>
      </c>
      <c r="C5915" s="904"/>
      <c r="D5915" s="905"/>
      <c r="E5915" s="209" t="s">
        <v>23</v>
      </c>
      <c r="F5915" s="19" t="s">
        <v>47</v>
      </c>
      <c r="G5915" s="209" t="s">
        <v>24</v>
      </c>
      <c r="H5915" s="208" t="s">
        <v>25</v>
      </c>
      <c r="I5915" s="43"/>
    </row>
    <row r="5916" spans="2:9" x14ac:dyDescent="0.15">
      <c r="B5916" s="897" t="s">
        <v>56</v>
      </c>
      <c r="C5916" s="898"/>
      <c r="D5916" s="899"/>
      <c r="E5916" s="5"/>
      <c r="F5916" s="458"/>
      <c r="G5916" s="58"/>
      <c r="H5916" s="426">
        <f>I5937*0.05</f>
        <v>3488.3275000000003</v>
      </c>
      <c r="I5916" s="44"/>
    </row>
    <row r="5917" spans="2:9" ht="14" thickBot="1" x14ac:dyDescent="0.2">
      <c r="B5917" s="900"/>
      <c r="C5917" s="901"/>
      <c r="D5917" s="902"/>
      <c r="E5917" s="21"/>
      <c r="F5917" s="22"/>
      <c r="G5917" s="23"/>
      <c r="H5917" s="47"/>
      <c r="I5917" s="48"/>
    </row>
    <row r="5918" spans="2:9" ht="14" thickBot="1" x14ac:dyDescent="0.2">
      <c r="B5918" s="1"/>
      <c r="C5918" s="1"/>
      <c r="D5918" s="1"/>
      <c r="E5918" s="1"/>
      <c r="F5918" s="1"/>
      <c r="G5918" s="1"/>
      <c r="H5918" s="37" t="s">
        <v>26</v>
      </c>
      <c r="I5918" s="448">
        <f>SUM(H5916:H5917)</f>
        <v>3488.3275000000003</v>
      </c>
    </row>
    <row r="5919" spans="2:9" ht="14" thickBot="1" x14ac:dyDescent="0.2">
      <c r="B5919" s="12" t="s">
        <v>27</v>
      </c>
      <c r="C5919" s="12"/>
      <c r="D5919" s="1"/>
      <c r="E5919" s="1"/>
      <c r="F5919" s="1"/>
      <c r="G5919" s="1"/>
      <c r="H5919" s="1"/>
      <c r="I5919" s="1"/>
    </row>
    <row r="5920" spans="2:9" x14ac:dyDescent="0.15">
      <c r="B5920" s="903" t="s">
        <v>22</v>
      </c>
      <c r="C5920" s="904"/>
      <c r="D5920" s="905"/>
      <c r="E5920" s="209" t="s">
        <v>28</v>
      </c>
      <c r="F5920" s="209" t="s">
        <v>29</v>
      </c>
      <c r="G5920" s="209" t="s">
        <v>30</v>
      </c>
      <c r="H5920" s="208" t="s">
        <v>25</v>
      </c>
      <c r="I5920" s="43"/>
    </row>
    <row r="5921" spans="1:10" x14ac:dyDescent="0.15">
      <c r="A5921" s="11"/>
      <c r="B5921" s="4" t="s">
        <v>1207</v>
      </c>
      <c r="C5921" s="24"/>
      <c r="D5921" s="6"/>
      <c r="E5921" s="3" t="s">
        <v>5</v>
      </c>
      <c r="F5921" s="419">
        <f>MATERIALES!C113</f>
        <v>270000</v>
      </c>
      <c r="G5921" s="65">
        <v>1</v>
      </c>
      <c r="H5921" s="426">
        <f>G5921*F5921</f>
        <v>270000</v>
      </c>
      <c r="I5921" s="44"/>
      <c r="J5921" s="11"/>
    </row>
    <row r="5922" spans="1:10" x14ac:dyDescent="0.15">
      <c r="B5922" s="4" t="s">
        <v>69</v>
      </c>
      <c r="C5922" s="24"/>
      <c r="D5922" s="6"/>
      <c r="E5922" s="3" t="s">
        <v>19</v>
      </c>
      <c r="F5922" s="419">
        <v>15000</v>
      </c>
      <c r="G5922" s="65">
        <v>0.5</v>
      </c>
      <c r="H5922" s="426">
        <f>G5922*F5922</f>
        <v>7500</v>
      </c>
      <c r="I5922" s="44"/>
    </row>
    <row r="5923" spans="1:10" ht="14" thickBot="1" x14ac:dyDescent="0.2">
      <c r="B5923" s="25"/>
      <c r="C5923" s="26"/>
      <c r="D5923" s="27"/>
      <c r="E5923" s="21"/>
      <c r="F5923" s="22"/>
      <c r="G5923" s="425"/>
      <c r="H5923" s="47"/>
      <c r="I5923" s="48"/>
    </row>
    <row r="5924" spans="1:10" ht="14" thickBot="1" x14ac:dyDescent="0.2">
      <c r="B5924" s="1"/>
      <c r="C5924" s="1"/>
      <c r="D5924" s="1"/>
      <c r="E5924" s="1"/>
      <c r="F5924" s="1"/>
      <c r="G5924" s="1"/>
      <c r="H5924" s="37" t="s">
        <v>26</v>
      </c>
      <c r="I5924" s="448">
        <f>SUM(H5921:H5922)</f>
        <v>277500</v>
      </c>
    </row>
    <row r="5925" spans="1:10" ht="14" thickBot="1" x14ac:dyDescent="0.2">
      <c r="B5925" s="28" t="s">
        <v>31</v>
      </c>
      <c r="C5925" s="28"/>
      <c r="D5925" s="26"/>
      <c r="E5925" s="1"/>
      <c r="F5925" s="1"/>
      <c r="G5925" s="1"/>
      <c r="H5925" s="1"/>
      <c r="I5925" s="1"/>
    </row>
    <row r="5926" spans="1:10" x14ac:dyDescent="0.15">
      <c r="B5926" s="51" t="s">
        <v>32</v>
      </c>
      <c r="C5926" s="52"/>
      <c r="D5926" s="378" t="s">
        <v>33</v>
      </c>
      <c r="E5926" s="209" t="s">
        <v>34</v>
      </c>
      <c r="F5926" s="209" t="s">
        <v>35</v>
      </c>
      <c r="G5926" s="209" t="s">
        <v>36</v>
      </c>
      <c r="H5926" s="59" t="s">
        <v>25</v>
      </c>
      <c r="I5926" s="43"/>
    </row>
    <row r="5927" spans="1:10" x14ac:dyDescent="0.15">
      <c r="B5927" s="4" t="s">
        <v>79</v>
      </c>
      <c r="C5927" s="6"/>
      <c r="D5927" s="53">
        <v>1</v>
      </c>
      <c r="E5927" s="2">
        <v>43</v>
      </c>
      <c r="F5927" s="2">
        <f>E5927*D5927</f>
        <v>43</v>
      </c>
      <c r="G5927" s="162">
        <v>1100</v>
      </c>
      <c r="H5927" s="20">
        <f>G5927*F5927</f>
        <v>47300</v>
      </c>
      <c r="I5927" s="44"/>
    </row>
    <row r="5928" spans="1:10" x14ac:dyDescent="0.15">
      <c r="B5928" s="415"/>
      <c r="C5928" s="66"/>
      <c r="D5928" s="67"/>
      <c r="E5928" s="68"/>
      <c r="F5928" s="68"/>
      <c r="G5928" s="69"/>
      <c r="H5928" s="65"/>
      <c r="I5928" s="44"/>
    </row>
    <row r="5929" spans="1:10" ht="14" thickBot="1" x14ac:dyDescent="0.2">
      <c r="B5929" s="33"/>
      <c r="C5929" s="54"/>
      <c r="D5929" s="21"/>
      <c r="E5929" s="22"/>
      <c r="F5929" s="23"/>
      <c r="G5929" s="47"/>
      <c r="H5929" s="21"/>
      <c r="I5929" s="44"/>
    </row>
    <row r="5930" spans="1:10" ht="14" thickBot="1" x14ac:dyDescent="0.2">
      <c r="B5930" s="1"/>
      <c r="C5930" s="1"/>
      <c r="D5930" s="1"/>
      <c r="E5930" s="1"/>
      <c r="F5930" s="1"/>
      <c r="G5930" s="1"/>
      <c r="H5930" s="37" t="s">
        <v>26</v>
      </c>
      <c r="I5930" s="448">
        <f>SUM(H5927:H5929)</f>
        <v>47300</v>
      </c>
    </row>
    <row r="5931" spans="1:10" ht="14" thickBot="1" x14ac:dyDescent="0.2">
      <c r="B5931" s="28" t="s">
        <v>37</v>
      </c>
      <c r="C5931" s="28"/>
      <c r="D5931" s="1"/>
      <c r="E5931" s="1"/>
      <c r="F5931" s="1"/>
      <c r="G5931" s="1"/>
      <c r="H5931" s="1"/>
      <c r="I5931" s="1"/>
    </row>
    <row r="5932" spans="1:10" x14ac:dyDescent="0.15">
      <c r="B5932" s="51" t="s">
        <v>38</v>
      </c>
      <c r="C5932" s="86"/>
      <c r="D5932" s="31" t="s">
        <v>39</v>
      </c>
      <c r="E5932" s="209" t="s">
        <v>40</v>
      </c>
      <c r="F5932" s="19" t="s">
        <v>41</v>
      </c>
      <c r="G5932" s="31" t="s">
        <v>24</v>
      </c>
      <c r="H5932" s="208" t="s">
        <v>25</v>
      </c>
      <c r="I5932" s="43"/>
    </row>
    <row r="5933" spans="1:10" x14ac:dyDescent="0.15">
      <c r="B5933" s="80" t="s">
        <v>956</v>
      </c>
      <c r="C5933" s="24"/>
      <c r="D5933" s="32">
        <f>'MANO DE OBRA'!E15</f>
        <v>95333</v>
      </c>
      <c r="E5933" s="88">
        <v>1.75</v>
      </c>
      <c r="F5933" s="419">
        <f>+E5933*D5933</f>
        <v>166832.75</v>
      </c>
      <c r="G5933" s="20">
        <v>5</v>
      </c>
      <c r="H5933" s="420">
        <f>+F5933/G5933</f>
        <v>33366.550000000003</v>
      </c>
      <c r="I5933" s="44"/>
    </row>
    <row r="5934" spans="1:10" x14ac:dyDescent="0.15">
      <c r="B5934" s="80" t="s">
        <v>55</v>
      </c>
      <c r="C5934" s="24"/>
      <c r="D5934" s="32">
        <f>'MANO DE OBRA'!E14*2</f>
        <v>104000</v>
      </c>
      <c r="E5934" s="88">
        <v>1.75</v>
      </c>
      <c r="F5934" s="419">
        <f>+E5934*D5934</f>
        <v>182000</v>
      </c>
      <c r="G5934" s="20">
        <v>5</v>
      </c>
      <c r="H5934" s="420">
        <f>+F5934/G5934</f>
        <v>36400</v>
      </c>
      <c r="I5934" s="44"/>
    </row>
    <row r="5935" spans="1:10" x14ac:dyDescent="0.15">
      <c r="B5935" s="4"/>
      <c r="C5935" s="24"/>
      <c r="D5935" s="32"/>
      <c r="E5935" s="168"/>
      <c r="F5935" s="20"/>
      <c r="G5935" s="20"/>
      <c r="H5935" s="55"/>
      <c r="I5935" s="44"/>
    </row>
    <row r="5936" spans="1:10" ht="14" thickBot="1" x14ac:dyDescent="0.2">
      <c r="B5936" s="33"/>
      <c r="C5936" s="34"/>
      <c r="D5936" s="22"/>
      <c r="E5936" s="21"/>
      <c r="F5936" s="22"/>
      <c r="G5936" s="23"/>
      <c r="H5936" s="47"/>
      <c r="I5936" s="48"/>
    </row>
    <row r="5937" spans="2:9" ht="14" thickBot="1" x14ac:dyDescent="0.2">
      <c r="B5937" s="1"/>
      <c r="C5937" s="1"/>
      <c r="D5937" s="1"/>
      <c r="E5937" s="1"/>
      <c r="F5937" s="1"/>
      <c r="G5937" s="1"/>
      <c r="H5937" s="37" t="s">
        <v>26</v>
      </c>
      <c r="I5937" s="424">
        <f>SUM(H5933:H5936)</f>
        <v>69766.55</v>
      </c>
    </row>
    <row r="5938" spans="2:9" ht="14" thickBot="1" x14ac:dyDescent="0.2">
      <c r="B5938" s="1"/>
      <c r="C5938" s="1"/>
      <c r="D5938" s="1"/>
      <c r="E5938" s="1"/>
      <c r="F5938" s="1"/>
      <c r="G5938" s="1"/>
      <c r="H5938" s="61"/>
      <c r="I5938" s="1"/>
    </row>
    <row r="5939" spans="2:9" ht="15" thickBot="1" x14ac:dyDescent="0.2">
      <c r="B5939" s="1"/>
      <c r="C5939" s="1"/>
      <c r="D5939" s="1"/>
      <c r="E5939" s="1"/>
      <c r="F5939" s="35" t="s">
        <v>43</v>
      </c>
      <c r="G5939" s="16"/>
      <c r="H5939" s="16"/>
      <c r="I5939" s="232">
        <f>ROUND((I5918+I5924+I5930+I5937),0)</f>
        <v>398055</v>
      </c>
    </row>
    <row r="5940" spans="2:9" ht="14" x14ac:dyDescent="0.15">
      <c r="B5940" s="1"/>
      <c r="C5940" s="1"/>
      <c r="D5940" s="1"/>
      <c r="E5940" s="1"/>
      <c r="F5940" s="15"/>
      <c r="G5940" s="16"/>
      <c r="H5940" s="16"/>
      <c r="I5940" s="478"/>
    </row>
    <row r="5941" spans="2:9" ht="14" x14ac:dyDescent="0.15">
      <c r="B5941" s="1"/>
      <c r="C5941" s="1"/>
      <c r="D5941" s="1"/>
      <c r="E5941" s="1"/>
      <c r="F5941" s="15"/>
      <c r="G5941" s="16"/>
      <c r="H5941" s="16"/>
      <c r="I5941" s="478"/>
    </row>
    <row r="5942" spans="2:9" ht="14" x14ac:dyDescent="0.15">
      <c r="B5942" s="1"/>
      <c r="C5942" s="1"/>
      <c r="D5942" s="1"/>
      <c r="E5942" s="1"/>
      <c r="F5942" s="15"/>
      <c r="G5942" s="16"/>
      <c r="H5942" s="16"/>
      <c r="I5942" s="478"/>
    </row>
    <row r="5943" spans="2:9" ht="14" x14ac:dyDescent="0.15">
      <c r="B5943" s="1"/>
      <c r="C5943" s="1"/>
      <c r="D5943" s="1"/>
      <c r="E5943" s="1"/>
      <c r="F5943" s="15"/>
      <c r="G5943" s="16"/>
      <c r="H5943" s="16"/>
      <c r="I5943" s="478"/>
    </row>
    <row r="5944" spans="2:9" ht="14" x14ac:dyDescent="0.15">
      <c r="B5944" s="1"/>
      <c r="C5944" s="1"/>
      <c r="D5944" s="1"/>
      <c r="E5944" s="1"/>
      <c r="F5944" s="15"/>
      <c r="G5944" s="16"/>
      <c r="H5944" s="16"/>
      <c r="I5944" s="478"/>
    </row>
    <row r="5945" spans="2:9" ht="14" x14ac:dyDescent="0.15">
      <c r="B5945" s="1"/>
      <c r="C5945" s="1"/>
      <c r="D5945" s="1"/>
      <c r="E5945" s="1"/>
      <c r="F5945" s="15"/>
      <c r="G5945" s="16"/>
      <c r="H5945" s="16"/>
      <c r="I5945" s="478"/>
    </row>
    <row r="5946" spans="2:9" ht="14" x14ac:dyDescent="0.15">
      <c r="B5946" s="1"/>
      <c r="C5946" s="1"/>
      <c r="D5946" s="1"/>
      <c r="E5946" s="1"/>
      <c r="F5946" s="15"/>
      <c r="G5946" s="16"/>
      <c r="H5946" s="16"/>
      <c r="I5946" s="478"/>
    </row>
    <row r="5947" spans="2:9" ht="14" x14ac:dyDescent="0.15">
      <c r="B5947" s="1"/>
      <c r="C5947" s="1"/>
      <c r="D5947" s="1"/>
      <c r="E5947" s="1"/>
      <c r="F5947" s="15"/>
      <c r="G5947" s="16"/>
      <c r="H5947" s="16"/>
      <c r="I5947" s="478"/>
    </row>
    <row r="5948" spans="2:9" ht="14" x14ac:dyDescent="0.15">
      <c r="B5948" s="1"/>
      <c r="C5948" s="1"/>
      <c r="D5948" s="1"/>
      <c r="E5948" s="1"/>
      <c r="F5948" s="15"/>
      <c r="G5948" s="16"/>
      <c r="H5948" s="16"/>
      <c r="I5948" s="478"/>
    </row>
    <row r="5949" spans="2:9" ht="14" x14ac:dyDescent="0.15">
      <c r="B5949" s="1"/>
      <c r="C5949" s="1"/>
      <c r="D5949" s="1"/>
      <c r="E5949" s="1"/>
      <c r="F5949" s="15"/>
      <c r="G5949" s="16"/>
      <c r="H5949" s="16"/>
      <c r="I5949" s="478"/>
    </row>
    <row r="5950" spans="2:9" ht="14" x14ac:dyDescent="0.15">
      <c r="B5950" s="1"/>
      <c r="C5950" s="1"/>
      <c r="D5950" s="1"/>
      <c r="E5950" s="1"/>
      <c r="F5950" s="15"/>
      <c r="G5950" s="16"/>
      <c r="H5950" s="16"/>
      <c r="I5950" s="478"/>
    </row>
    <row r="5951" spans="2:9" ht="14" x14ac:dyDescent="0.15">
      <c r="B5951" s="1"/>
      <c r="C5951" s="1"/>
      <c r="D5951" s="1"/>
      <c r="E5951" s="1"/>
      <c r="F5951" s="15"/>
      <c r="G5951" s="16"/>
      <c r="H5951" s="16"/>
      <c r="I5951" s="478"/>
    </row>
    <row r="5952" spans="2:9" ht="14" x14ac:dyDescent="0.15">
      <c r="B5952" s="1"/>
      <c r="C5952" s="1"/>
      <c r="D5952" s="1"/>
      <c r="E5952" s="1"/>
      <c r="F5952" s="15"/>
      <c r="G5952" s="16"/>
      <c r="H5952" s="16"/>
      <c r="I5952" s="478"/>
    </row>
    <row r="5953" spans="2:9" x14ac:dyDescent="0.15">
      <c r="B5953" s="11"/>
      <c r="C5953" s="11"/>
      <c r="D5953" s="1"/>
      <c r="E5953" s="155"/>
      <c r="F5953" s="155"/>
      <c r="G5953" s="155"/>
      <c r="H5953" s="155"/>
      <c r="I5953" s="479"/>
    </row>
    <row r="5954" spans="2:9" x14ac:dyDescent="0.15">
      <c r="B5954" s="11"/>
      <c r="C5954" s="11"/>
      <c r="D5954" s="1"/>
      <c r="E5954" s="155"/>
      <c r="F5954" s="155"/>
      <c r="G5954" s="155"/>
      <c r="H5954" s="155"/>
      <c r="I5954" s="479"/>
    </row>
    <row r="5955" spans="2:9" x14ac:dyDescent="0.15">
      <c r="B5955" s="11"/>
      <c r="C5955" s="11"/>
      <c r="D5955" s="1"/>
      <c r="E5955" s="155"/>
      <c r="F5955" s="155"/>
      <c r="G5955" s="155"/>
      <c r="H5955" s="155"/>
      <c r="I5955" s="479"/>
    </row>
    <row r="5956" spans="2:9" x14ac:dyDescent="0.15">
      <c r="B5956" s="11"/>
      <c r="C5956" s="11"/>
      <c r="D5956" s="1"/>
      <c r="E5956" s="155"/>
      <c r="F5956" s="155"/>
      <c r="G5956" s="155"/>
      <c r="H5956" s="155"/>
      <c r="I5956" s="479"/>
    </row>
    <row r="5957" spans="2:9" x14ac:dyDescent="0.15">
      <c r="B5957" s="11"/>
      <c r="C5957" s="11"/>
      <c r="D5957" s="1"/>
      <c r="E5957" s="155"/>
      <c r="F5957" s="155"/>
      <c r="G5957" s="155"/>
      <c r="H5957" s="155"/>
      <c r="I5957" s="479"/>
    </row>
    <row r="5958" spans="2:9" x14ac:dyDescent="0.15">
      <c r="B5958" s="11"/>
      <c r="C5958" s="11"/>
      <c r="D5958" s="1"/>
      <c r="E5958" s="155"/>
      <c r="F5958" s="155"/>
      <c r="G5958" s="155"/>
      <c r="H5958" s="155"/>
      <c r="I5958" s="479"/>
    </row>
    <row r="5959" spans="2:9" ht="14" thickBot="1" x14ac:dyDescent="0.2"/>
    <row r="5960" spans="2:9" ht="21" customHeight="1" x14ac:dyDescent="0.15">
      <c r="B5960" s="885" t="s">
        <v>874</v>
      </c>
      <c r="C5960" s="886"/>
      <c r="D5960" s="886"/>
      <c r="E5960" s="886"/>
      <c r="F5960" s="887"/>
      <c r="G5960" s="1"/>
      <c r="H5960" s="879" t="s">
        <v>20</v>
      </c>
      <c r="I5960" s="880"/>
    </row>
    <row r="5961" spans="2:9" ht="16.5" customHeight="1" x14ac:dyDescent="0.15">
      <c r="B5961" s="888" t="s">
        <v>875</v>
      </c>
      <c r="C5961" s="889"/>
      <c r="D5961" s="889"/>
      <c r="E5961" s="889"/>
      <c r="F5961" s="890"/>
      <c r="G5961" s="63"/>
      <c r="H5961" s="881"/>
      <c r="I5961" s="882"/>
    </row>
    <row r="5962" spans="2:9" ht="12.75" customHeight="1" x14ac:dyDescent="0.15">
      <c r="B5962" s="906" t="s">
        <v>876</v>
      </c>
      <c r="C5962" s="907"/>
      <c r="D5962" s="907"/>
      <c r="E5962" s="907"/>
      <c r="F5962" s="908"/>
      <c r="G5962" s="63"/>
      <c r="H5962" s="883"/>
      <c r="I5962" s="884"/>
    </row>
    <row r="5963" spans="2:9" ht="16.5" customHeight="1" thickBot="1" x14ac:dyDescent="0.2">
      <c r="B5963" s="909"/>
      <c r="C5963" s="910"/>
      <c r="D5963" s="910"/>
      <c r="E5963" s="910"/>
      <c r="F5963" s="911"/>
      <c r="G5963" s="1"/>
      <c r="H5963" s="873" t="s">
        <v>1209</v>
      </c>
      <c r="I5963" s="874"/>
    </row>
    <row r="5964" spans="2:9" ht="14" thickBot="1" x14ac:dyDescent="0.2">
      <c r="B5964" s="15"/>
      <c r="C5964" s="16"/>
      <c r="D5964" s="1"/>
      <c r="E5964" s="1"/>
      <c r="F5964" s="1"/>
      <c r="G5964" s="1"/>
      <c r="H5964" s="875"/>
      <c r="I5964" s="876"/>
    </row>
    <row r="5965" spans="2:9" ht="12.75" customHeight="1" x14ac:dyDescent="0.15">
      <c r="B5965" s="922" t="s">
        <v>836</v>
      </c>
      <c r="C5965" s="923"/>
      <c r="D5965" s="923"/>
      <c r="E5965" s="923"/>
      <c r="F5965" s="924"/>
      <c r="G5965" s="1"/>
      <c r="H5965" s="875"/>
      <c r="I5965" s="876"/>
    </row>
    <row r="5966" spans="2:9" ht="12.75" customHeight="1" x14ac:dyDescent="0.15">
      <c r="B5966" s="925"/>
      <c r="C5966" s="926"/>
      <c r="D5966" s="926"/>
      <c r="E5966" s="926"/>
      <c r="F5966" s="927"/>
      <c r="G5966" s="1"/>
      <c r="H5966" s="875"/>
      <c r="I5966" s="876"/>
    </row>
    <row r="5967" spans="2:9" ht="13.5" customHeight="1" x14ac:dyDescent="0.15">
      <c r="B5967" s="925"/>
      <c r="C5967" s="926"/>
      <c r="D5967" s="926"/>
      <c r="E5967" s="926"/>
      <c r="F5967" s="927"/>
      <c r="G5967" s="11"/>
      <c r="H5967" s="877"/>
      <c r="I5967" s="878"/>
    </row>
    <row r="5968" spans="2:9" ht="21.75" customHeight="1" thickBot="1" x14ac:dyDescent="0.2">
      <c r="B5968" s="928"/>
      <c r="C5968" s="929"/>
      <c r="D5968" s="929"/>
      <c r="E5968" s="929"/>
      <c r="F5968" s="930"/>
      <c r="H5968" s="64" t="s">
        <v>45</v>
      </c>
      <c r="I5968" s="17" t="s">
        <v>319</v>
      </c>
    </row>
    <row r="5969" spans="2:9" x14ac:dyDescent="0.15">
      <c r="B5969" s="18"/>
      <c r="C5969" s="18"/>
      <c r="D5969" s="1"/>
      <c r="E5969" s="18"/>
      <c r="F5969" s="18"/>
      <c r="G5969" s="18"/>
      <c r="H5969" s="18"/>
      <c r="I5969" s="1"/>
    </row>
    <row r="5970" spans="2:9" ht="14" thickBot="1" x14ac:dyDescent="0.2">
      <c r="B5970" s="12" t="s">
        <v>21</v>
      </c>
      <c r="C5970" s="12"/>
      <c r="D5970" s="1"/>
      <c r="E5970" s="1"/>
      <c r="F5970" s="1"/>
      <c r="G5970" s="1"/>
      <c r="H5970" s="1"/>
      <c r="I5970" s="1"/>
    </row>
    <row r="5971" spans="2:9" x14ac:dyDescent="0.15">
      <c r="B5971" s="903" t="s">
        <v>22</v>
      </c>
      <c r="C5971" s="904"/>
      <c r="D5971" s="905"/>
      <c r="E5971" s="209" t="s">
        <v>23</v>
      </c>
      <c r="F5971" s="19" t="s">
        <v>47</v>
      </c>
      <c r="G5971" s="209" t="s">
        <v>24</v>
      </c>
      <c r="H5971" s="208" t="s">
        <v>25</v>
      </c>
      <c r="I5971" s="43"/>
    </row>
    <row r="5972" spans="2:9" x14ac:dyDescent="0.15">
      <c r="B5972" s="897" t="s">
        <v>56</v>
      </c>
      <c r="C5972" s="898"/>
      <c r="D5972" s="899"/>
      <c r="E5972" s="5"/>
      <c r="F5972" s="162"/>
      <c r="G5972" s="58"/>
      <c r="H5972" s="162">
        <f>I5994*0.05</f>
        <v>891.04093749999993</v>
      </c>
      <c r="I5972" s="44"/>
    </row>
    <row r="5973" spans="2:9" x14ac:dyDescent="0.15">
      <c r="B5973" s="897"/>
      <c r="C5973" s="898"/>
      <c r="D5973" s="899"/>
      <c r="E5973" s="5"/>
      <c r="F5973" s="162"/>
      <c r="G5973" s="58"/>
      <c r="H5973" s="162"/>
      <c r="I5973" s="44"/>
    </row>
    <row r="5974" spans="2:9" ht="14" thickBot="1" x14ac:dyDescent="0.2">
      <c r="B5974" s="900"/>
      <c r="C5974" s="901"/>
      <c r="D5974" s="902"/>
      <c r="E5974" s="21"/>
      <c r="F5974" s="22"/>
      <c r="G5974" s="23"/>
      <c r="H5974" s="47"/>
      <c r="I5974" s="48"/>
    </row>
    <row r="5975" spans="2:9" ht="14" thickBot="1" x14ac:dyDescent="0.2">
      <c r="B5975" s="1"/>
      <c r="C5975" s="1"/>
      <c r="D5975" s="1"/>
      <c r="E5975" s="1"/>
      <c r="F5975" s="1"/>
      <c r="G5975" s="1"/>
      <c r="H5975" s="37" t="s">
        <v>26</v>
      </c>
      <c r="I5975" s="163">
        <f>SUM(H5972:H5974)</f>
        <v>891.04093749999993</v>
      </c>
    </row>
    <row r="5976" spans="2:9" ht="14" thickBot="1" x14ac:dyDescent="0.2">
      <c r="B5976" s="12" t="s">
        <v>27</v>
      </c>
      <c r="C5976" s="12"/>
      <c r="D5976" s="1"/>
      <c r="E5976" s="1"/>
      <c r="F5976" s="1"/>
      <c r="G5976" s="1"/>
      <c r="H5976" s="1"/>
      <c r="I5976" s="1"/>
    </row>
    <row r="5977" spans="2:9" x14ac:dyDescent="0.15">
      <c r="B5977" s="903" t="s">
        <v>22</v>
      </c>
      <c r="C5977" s="904"/>
      <c r="D5977" s="905"/>
      <c r="E5977" s="209" t="s">
        <v>28</v>
      </c>
      <c r="F5977" s="209" t="s">
        <v>29</v>
      </c>
      <c r="G5977" s="209" t="s">
        <v>30</v>
      </c>
      <c r="H5977" s="208" t="s">
        <v>25</v>
      </c>
      <c r="I5977" s="43"/>
    </row>
    <row r="5978" spans="2:9" x14ac:dyDescent="0.15">
      <c r="B5978" s="4" t="s">
        <v>74</v>
      </c>
      <c r="C5978" s="24"/>
      <c r="D5978" s="6"/>
      <c r="E5978" s="3" t="s">
        <v>58</v>
      </c>
      <c r="F5978" s="164">
        <f>MATERIALES!C106</f>
        <v>24500</v>
      </c>
      <c r="G5978" s="65">
        <v>0.05</v>
      </c>
      <c r="H5978" s="165">
        <f t="shared" ref="H5978:H5980" si="41">G5978*F5978</f>
        <v>1225</v>
      </c>
      <c r="I5978" s="44"/>
    </row>
    <row r="5979" spans="2:9" x14ac:dyDescent="0.15">
      <c r="B5979" s="4" t="s">
        <v>119</v>
      </c>
      <c r="C5979" s="24"/>
      <c r="D5979" s="6"/>
      <c r="E5979" s="3" t="s">
        <v>76</v>
      </c>
      <c r="F5979" s="164">
        <f>MATERIALES!C107</f>
        <v>110500</v>
      </c>
      <c r="G5979" s="65">
        <v>7.4999999999999997E-2</v>
      </c>
      <c r="H5979" s="165">
        <f t="shared" si="41"/>
        <v>8287.5</v>
      </c>
      <c r="I5979" s="44"/>
    </row>
    <row r="5980" spans="2:9" x14ac:dyDescent="0.15">
      <c r="B5980" s="4" t="s">
        <v>75</v>
      </c>
      <c r="C5980" s="24"/>
      <c r="D5980" s="6"/>
      <c r="E5980" s="3" t="s">
        <v>76</v>
      </c>
      <c r="F5980" s="164">
        <f>MATERIALES!C109</f>
        <v>82420</v>
      </c>
      <c r="G5980" s="65">
        <v>7.4999999999999997E-2</v>
      </c>
      <c r="H5980" s="165">
        <f t="shared" si="41"/>
        <v>6181.5</v>
      </c>
      <c r="I5980" s="44"/>
    </row>
    <row r="5981" spans="2:9" x14ac:dyDescent="0.15">
      <c r="B5981" s="4" t="s">
        <v>308</v>
      </c>
      <c r="C5981" s="24"/>
      <c r="D5981" s="6"/>
      <c r="E5981" s="3" t="s">
        <v>76</v>
      </c>
      <c r="F5981" s="164">
        <f>MATERIALES!C111</f>
        <v>60000</v>
      </c>
      <c r="G5981" s="182">
        <v>0.05</v>
      </c>
      <c r="H5981" s="165">
        <f>G5981*F5981</f>
        <v>3000</v>
      </c>
      <c r="I5981" s="44"/>
    </row>
    <row r="5982" spans="2:9" ht="14" thickBot="1" x14ac:dyDescent="0.2">
      <c r="B5982" s="25"/>
      <c r="C5982" s="26"/>
      <c r="D5982" s="27"/>
      <c r="E5982" s="21"/>
      <c r="F5982" s="22"/>
      <c r="G5982" s="167"/>
      <c r="H5982" s="47"/>
      <c r="I5982" s="48"/>
    </row>
    <row r="5983" spans="2:9" ht="14" thickBot="1" x14ac:dyDescent="0.2">
      <c r="B5983" s="1"/>
      <c r="C5983" s="1"/>
      <c r="D5983" s="1"/>
      <c r="E5983" s="1"/>
      <c r="F5983" s="1"/>
      <c r="G5983" s="1"/>
      <c r="H5983" s="37" t="s">
        <v>26</v>
      </c>
      <c r="I5983" s="163">
        <f>SUM(H5978:H5981)</f>
        <v>18694</v>
      </c>
    </row>
    <row r="5984" spans="2:9" ht="14" thickBot="1" x14ac:dyDescent="0.2">
      <c r="B5984" s="28" t="s">
        <v>31</v>
      </c>
      <c r="C5984" s="28"/>
      <c r="D5984" s="26"/>
      <c r="E5984" s="1"/>
      <c r="F5984" s="1"/>
      <c r="G5984" s="1"/>
      <c r="H5984" s="1"/>
      <c r="I5984" s="1"/>
    </row>
    <row r="5985" spans="2:11" x14ac:dyDescent="0.15">
      <c r="B5985" s="51" t="s">
        <v>32</v>
      </c>
      <c r="C5985" s="52"/>
      <c r="D5985" s="97" t="s">
        <v>33</v>
      </c>
      <c r="E5985" s="209" t="s">
        <v>34</v>
      </c>
      <c r="F5985" s="209" t="s">
        <v>35</v>
      </c>
      <c r="G5985" s="209" t="s">
        <v>36</v>
      </c>
      <c r="H5985" s="59" t="s">
        <v>25</v>
      </c>
      <c r="I5985" s="43"/>
    </row>
    <row r="5986" spans="2:11" x14ac:dyDescent="0.15">
      <c r="B5986" s="4" t="s">
        <v>79</v>
      </c>
      <c r="C5986" s="6"/>
      <c r="D5986" s="53">
        <v>0.05</v>
      </c>
      <c r="E5986" s="2">
        <v>43</v>
      </c>
      <c r="F5986" s="2">
        <f>E5986*D5986</f>
        <v>2.15</v>
      </c>
      <c r="G5986" s="58">
        <v>1100</v>
      </c>
      <c r="H5986" s="20">
        <f>G5986*F5986</f>
        <v>2365</v>
      </c>
      <c r="I5986" s="44"/>
    </row>
    <row r="5987" spans="2:11" ht="14" thickBot="1" x14ac:dyDescent="0.2">
      <c r="B5987" s="33"/>
      <c r="C5987" s="54"/>
      <c r="D5987" s="21"/>
      <c r="E5987" s="22"/>
      <c r="F5987" s="23"/>
      <c r="G5987" s="47"/>
      <c r="H5987" s="21"/>
      <c r="I5987" s="48"/>
    </row>
    <row r="5988" spans="2:11" ht="14" thickBot="1" x14ac:dyDescent="0.2">
      <c r="B5988" s="1"/>
      <c r="C5988" s="1"/>
      <c r="D5988" s="1"/>
      <c r="E5988" s="1"/>
      <c r="F5988" s="1"/>
      <c r="G5988" s="1"/>
      <c r="H5988" s="37" t="s">
        <v>26</v>
      </c>
      <c r="I5988" s="163">
        <f>SUM(H5986:H5987)</f>
        <v>2365</v>
      </c>
    </row>
    <row r="5989" spans="2:11" ht="14" thickBot="1" x14ac:dyDescent="0.2">
      <c r="B5989" s="28" t="s">
        <v>37</v>
      </c>
      <c r="C5989" s="28"/>
      <c r="D5989" s="1"/>
      <c r="E5989" s="1"/>
      <c r="F5989" s="1"/>
      <c r="G5989" s="1"/>
      <c r="H5989" s="1"/>
      <c r="I5989" s="1"/>
    </row>
    <row r="5990" spans="2:11" x14ac:dyDescent="0.15">
      <c r="B5990" s="51" t="s">
        <v>38</v>
      </c>
      <c r="C5990" s="86"/>
      <c r="D5990" s="31" t="s">
        <v>39</v>
      </c>
      <c r="E5990" s="209" t="s">
        <v>40</v>
      </c>
      <c r="F5990" s="19" t="s">
        <v>41</v>
      </c>
      <c r="G5990" s="31" t="s">
        <v>24</v>
      </c>
      <c r="H5990" s="208" t="s">
        <v>25</v>
      </c>
      <c r="I5990" s="43"/>
    </row>
    <row r="5991" spans="2:11" x14ac:dyDescent="0.15">
      <c r="B5991" s="4" t="s">
        <v>949</v>
      </c>
      <c r="C5991" s="24"/>
      <c r="D5991" s="32">
        <f>'MANO DE OBRA'!E17</f>
        <v>95333</v>
      </c>
      <c r="E5991" s="88">
        <v>1.75</v>
      </c>
      <c r="F5991" s="164">
        <f>+E5991*D5991</f>
        <v>166832.75</v>
      </c>
      <c r="G5991" s="20">
        <v>40</v>
      </c>
      <c r="H5991" s="169">
        <f>+F5991/G5991</f>
        <v>4170.8187500000004</v>
      </c>
      <c r="I5991" s="44"/>
      <c r="K5991" s="106"/>
    </row>
    <row r="5992" spans="2:11" x14ac:dyDescent="0.15">
      <c r="B5992" s="4" t="s">
        <v>94</v>
      </c>
      <c r="C5992" s="24"/>
      <c r="D5992" s="32">
        <f>'MANO DE OBRA'!E14*6</f>
        <v>312000</v>
      </c>
      <c r="E5992" s="88">
        <v>1.75</v>
      </c>
      <c r="F5992" s="164">
        <f>+E5992*D5992</f>
        <v>546000</v>
      </c>
      <c r="G5992" s="20">
        <v>40</v>
      </c>
      <c r="H5992" s="169">
        <f>+F5992/G5992</f>
        <v>13650</v>
      </c>
      <c r="I5992" s="44"/>
    </row>
    <row r="5993" spans="2:11" ht="14" thickBot="1" x14ac:dyDescent="0.2">
      <c r="B5993" s="33"/>
      <c r="C5993" s="34"/>
      <c r="D5993" s="22"/>
      <c r="E5993" s="21"/>
      <c r="F5993" s="22"/>
      <c r="G5993" s="23"/>
      <c r="H5993" s="47"/>
      <c r="I5993" s="48"/>
    </row>
    <row r="5994" spans="2:11" ht="14" thickBot="1" x14ac:dyDescent="0.2">
      <c r="B5994" s="1"/>
      <c r="C5994" s="1"/>
      <c r="D5994" s="1"/>
      <c r="E5994" s="1"/>
      <c r="F5994" s="1"/>
      <c r="G5994" s="1"/>
      <c r="H5994" s="37" t="s">
        <v>26</v>
      </c>
      <c r="I5994" s="177">
        <f>SUM(H5991:H5992)</f>
        <v>17820.818749999999</v>
      </c>
    </row>
    <row r="5995" spans="2:11" ht="14" thickBot="1" x14ac:dyDescent="0.2">
      <c r="B5995" s="1"/>
      <c r="C5995" s="1"/>
      <c r="D5995" s="1"/>
      <c r="E5995" s="1"/>
      <c r="F5995" s="1"/>
      <c r="G5995" s="1"/>
      <c r="H5995" s="61"/>
      <c r="I5995" s="1"/>
    </row>
    <row r="5996" spans="2:11" ht="15" thickBot="1" x14ac:dyDescent="0.2">
      <c r="B5996" s="1"/>
      <c r="C5996" s="1"/>
      <c r="D5996" s="1"/>
      <c r="E5996" s="1"/>
      <c r="F5996" s="35" t="s">
        <v>43</v>
      </c>
      <c r="G5996" s="16"/>
      <c r="H5996" s="16"/>
      <c r="I5996" s="232">
        <f>ROUND((I5975+I5983+I5988+I5994),0)</f>
        <v>39771</v>
      </c>
    </row>
    <row r="5997" spans="2:11" x14ac:dyDescent="0.15">
      <c r="B5997" s="12"/>
      <c r="C5997" s="12"/>
      <c r="D5997" s="1"/>
      <c r="E5997" s="1"/>
      <c r="F5997" s="1"/>
      <c r="G5997" s="1"/>
      <c r="H5997" s="172"/>
      <c r="I5997" s="172"/>
    </row>
    <row r="5998" spans="2:11" x14ac:dyDescent="0.15">
      <c r="B5998" s="16"/>
      <c r="C5998" s="16"/>
      <c r="D5998" s="16"/>
      <c r="E5998" s="16"/>
      <c r="F5998" s="16"/>
      <c r="G5998" s="61"/>
      <c r="H5998" s="173"/>
      <c r="I5998" s="172"/>
    </row>
    <row r="5999" spans="2:11" x14ac:dyDescent="0.15">
      <c r="B5999" s="1"/>
      <c r="C5999" s="1"/>
      <c r="D5999" s="1"/>
      <c r="E5999" s="1"/>
      <c r="F5999" s="1"/>
      <c r="G5999" s="161"/>
      <c r="H5999" s="172"/>
      <c r="I5999" s="172"/>
      <c r="K5999" s="174"/>
    </row>
    <row r="6000" spans="2:11" x14ac:dyDescent="0.15">
      <c r="B6000" s="1"/>
      <c r="C6000" s="1"/>
      <c r="D6000" s="1"/>
      <c r="E6000" s="1"/>
      <c r="F6000" s="1"/>
      <c r="G6000" s="161"/>
      <c r="H6000" s="172"/>
      <c r="I6000" s="172"/>
    </row>
    <row r="6001" spans="2:10" x14ac:dyDescent="0.15">
      <c r="B6001" s="1"/>
      <c r="C6001" s="1"/>
      <c r="D6001" s="1"/>
      <c r="E6001" s="1"/>
      <c r="F6001" s="1"/>
      <c r="G6001" s="161"/>
      <c r="H6001" s="172"/>
      <c r="I6001" s="172"/>
    </row>
    <row r="6002" spans="2:10" x14ac:dyDescent="0.15">
      <c r="B6002" s="1"/>
      <c r="C6002" s="1"/>
      <c r="D6002" s="1"/>
      <c r="E6002" s="1"/>
      <c r="F6002" s="1"/>
      <c r="G6002" s="161"/>
      <c r="H6002" s="172"/>
      <c r="I6002" s="172"/>
    </row>
    <row r="6003" spans="2:10" x14ac:dyDescent="0.15">
      <c r="B6003" s="1"/>
      <c r="C6003" s="1"/>
      <c r="D6003" s="1"/>
      <c r="E6003" s="1"/>
      <c r="F6003" s="1"/>
      <c r="G6003" s="161"/>
      <c r="H6003" s="172"/>
      <c r="I6003" s="172"/>
    </row>
    <row r="6004" spans="2:10" ht="14" x14ac:dyDescent="0.15">
      <c r="B6004" s="102"/>
      <c r="C6004" s="11"/>
      <c r="D6004" s="1"/>
      <c r="E6004" s="155"/>
      <c r="F6004" s="155"/>
      <c r="G6004" s="155"/>
      <c r="H6004" s="155"/>
      <c r="I6004" s="171"/>
    </row>
    <row r="6005" spans="2:10" ht="14" x14ac:dyDescent="0.15">
      <c r="B6005" s="83"/>
      <c r="C6005" s="11"/>
      <c r="D6005" s="1"/>
      <c r="E6005" s="155"/>
      <c r="F6005" s="155"/>
      <c r="G6005" s="155"/>
      <c r="H6005" s="155"/>
      <c r="I6005" s="171"/>
    </row>
    <row r="6006" spans="2:10" x14ac:dyDescent="0.15">
      <c r="B6006" s="11"/>
      <c r="C6006" s="11"/>
      <c r="D6006" s="1"/>
      <c r="E6006" s="155"/>
      <c r="F6006" s="155"/>
      <c r="G6006" s="155"/>
      <c r="H6006" s="155"/>
      <c r="I6006" s="171"/>
    </row>
    <row r="6007" spans="2:10" x14ac:dyDescent="0.15">
      <c r="B6007" s="11"/>
      <c r="C6007" s="11"/>
      <c r="D6007" s="1"/>
      <c r="E6007" s="155"/>
      <c r="F6007" s="155"/>
      <c r="G6007" s="155"/>
      <c r="H6007" s="155"/>
      <c r="I6007" s="171"/>
    </row>
    <row r="6008" spans="2:10" x14ac:dyDescent="0.15">
      <c r="B6008" s="11"/>
      <c r="C6008" s="11"/>
      <c r="D6008" s="1"/>
      <c r="E6008" s="155"/>
      <c r="F6008" s="155"/>
      <c r="G6008" s="155"/>
      <c r="H6008" s="155"/>
      <c r="I6008" s="171"/>
    </row>
    <row r="6009" spans="2:10" x14ac:dyDescent="0.15">
      <c r="B6009" s="11"/>
      <c r="C6009" s="11"/>
      <c r="D6009" s="1"/>
      <c r="E6009" s="155"/>
      <c r="F6009" s="155"/>
      <c r="G6009" s="155"/>
      <c r="H6009" s="155"/>
      <c r="I6009" s="171"/>
    </row>
    <row r="6010" spans="2:10" x14ac:dyDescent="0.15">
      <c r="B6010" s="11"/>
      <c r="C6010" s="11"/>
      <c r="D6010" s="1"/>
      <c r="E6010" s="155"/>
      <c r="F6010" s="155"/>
      <c r="G6010" s="155"/>
      <c r="H6010" s="155"/>
      <c r="I6010" s="171"/>
    </row>
    <row r="6011" spans="2:10" x14ac:dyDescent="0.15">
      <c r="B6011" s="11"/>
      <c r="C6011" s="11"/>
      <c r="D6011" s="1"/>
      <c r="E6011" s="155"/>
      <c r="F6011" s="155"/>
      <c r="G6011" s="155"/>
      <c r="H6011" s="155"/>
      <c r="I6011" s="171"/>
    </row>
    <row r="6012" spans="2:10" x14ac:dyDescent="0.15">
      <c r="B6012" s="11"/>
      <c r="C6012" s="11"/>
      <c r="D6012" s="1"/>
      <c r="E6012" s="155"/>
      <c r="F6012" s="155"/>
      <c r="G6012" s="155"/>
      <c r="H6012" s="155"/>
      <c r="I6012" s="171"/>
    </row>
    <row r="6013" spans="2:10" x14ac:dyDescent="0.15">
      <c r="B6013" s="11"/>
      <c r="C6013" s="11"/>
      <c r="D6013" s="1"/>
      <c r="E6013" s="155"/>
      <c r="F6013" s="155"/>
      <c r="G6013" s="155"/>
      <c r="H6013" s="155"/>
      <c r="I6013" s="171"/>
    </row>
    <row r="6014" spans="2:10" ht="14" x14ac:dyDescent="0.15">
      <c r="B6014" s="102"/>
      <c r="C6014" s="83"/>
      <c r="D6014" s="84"/>
      <c r="E6014" s="83"/>
      <c r="F6014" s="83"/>
      <c r="G6014" s="103"/>
      <c r="H6014" s="83"/>
      <c r="I6014" s="85"/>
      <c r="J6014" s="85"/>
    </row>
    <row r="6015" spans="2:10" ht="15" thickBot="1" x14ac:dyDescent="0.2">
      <c r="B6015" s="83"/>
      <c r="C6015" s="83"/>
      <c r="D6015" s="84"/>
      <c r="E6015" s="83"/>
      <c r="F6015" s="83"/>
      <c r="G6015" s="104"/>
      <c r="H6015" s="83"/>
      <c r="I6015" s="85"/>
      <c r="J6015" s="85"/>
    </row>
    <row r="6016" spans="2:10" ht="21" customHeight="1" x14ac:dyDescent="0.15">
      <c r="B6016" s="885" t="s">
        <v>874</v>
      </c>
      <c r="C6016" s="886"/>
      <c r="D6016" s="886"/>
      <c r="E6016" s="886"/>
      <c r="F6016" s="887"/>
      <c r="G6016" s="1"/>
      <c r="H6016" s="879" t="s">
        <v>20</v>
      </c>
      <c r="I6016" s="880"/>
    </row>
    <row r="6017" spans="2:9" ht="16.5" customHeight="1" x14ac:dyDescent="0.15">
      <c r="B6017" s="888" t="s">
        <v>875</v>
      </c>
      <c r="C6017" s="889"/>
      <c r="D6017" s="889"/>
      <c r="E6017" s="889"/>
      <c r="F6017" s="890"/>
      <c r="G6017" s="63"/>
      <c r="H6017" s="881"/>
      <c r="I6017" s="882"/>
    </row>
    <row r="6018" spans="2:9" ht="12.75" customHeight="1" x14ac:dyDescent="0.15">
      <c r="B6018" s="906" t="s">
        <v>876</v>
      </c>
      <c r="C6018" s="907"/>
      <c r="D6018" s="907"/>
      <c r="E6018" s="907"/>
      <c r="F6018" s="908"/>
      <c r="G6018" s="63"/>
      <c r="H6018" s="883"/>
      <c r="I6018" s="884"/>
    </row>
    <row r="6019" spans="2:9" ht="16.5" customHeight="1" thickBot="1" x14ac:dyDescent="0.2">
      <c r="B6019" s="909"/>
      <c r="C6019" s="910"/>
      <c r="D6019" s="910"/>
      <c r="E6019" s="910"/>
      <c r="F6019" s="911"/>
      <c r="G6019" s="1"/>
      <c r="H6019" s="873" t="s">
        <v>1210</v>
      </c>
      <c r="I6019" s="874"/>
    </row>
    <row r="6020" spans="2:9" ht="14" thickBot="1" x14ac:dyDescent="0.2">
      <c r="B6020" s="15"/>
      <c r="C6020" s="16"/>
      <c r="D6020" s="1"/>
      <c r="E6020" s="1"/>
      <c r="F6020" s="1"/>
      <c r="G6020" s="1"/>
      <c r="H6020" s="875"/>
      <c r="I6020" s="876"/>
    </row>
    <row r="6021" spans="2:9" ht="12.75" customHeight="1" x14ac:dyDescent="0.15">
      <c r="B6021" s="922" t="s">
        <v>836</v>
      </c>
      <c r="C6021" s="923"/>
      <c r="D6021" s="923"/>
      <c r="E6021" s="923"/>
      <c r="F6021" s="924"/>
      <c r="G6021" s="1"/>
      <c r="H6021" s="875"/>
      <c r="I6021" s="876"/>
    </row>
    <row r="6022" spans="2:9" ht="12.75" customHeight="1" x14ac:dyDescent="0.15">
      <c r="B6022" s="925"/>
      <c r="C6022" s="926"/>
      <c r="D6022" s="926"/>
      <c r="E6022" s="926"/>
      <c r="F6022" s="927"/>
      <c r="G6022" s="1"/>
      <c r="H6022" s="875"/>
      <c r="I6022" s="876"/>
    </row>
    <row r="6023" spans="2:9" ht="13.5" customHeight="1" x14ac:dyDescent="0.15">
      <c r="B6023" s="925"/>
      <c r="C6023" s="926"/>
      <c r="D6023" s="926"/>
      <c r="E6023" s="926"/>
      <c r="F6023" s="927"/>
      <c r="G6023" s="11"/>
      <c r="H6023" s="877"/>
      <c r="I6023" s="878"/>
    </row>
    <row r="6024" spans="2:9" ht="21.75" customHeight="1" thickBot="1" x14ac:dyDescent="0.2">
      <c r="B6024" s="928"/>
      <c r="C6024" s="929"/>
      <c r="D6024" s="929"/>
      <c r="E6024" s="929"/>
      <c r="F6024" s="930"/>
      <c r="H6024" s="64" t="s">
        <v>45</v>
      </c>
      <c r="I6024" s="17" t="s">
        <v>319</v>
      </c>
    </row>
    <row r="6025" spans="2:9" x14ac:dyDescent="0.15">
      <c r="B6025" s="18"/>
      <c r="C6025" s="18"/>
      <c r="D6025" s="1"/>
      <c r="E6025" s="18"/>
      <c r="F6025" s="18"/>
      <c r="G6025" s="18"/>
      <c r="H6025" s="18"/>
      <c r="I6025" s="1"/>
    </row>
    <row r="6026" spans="2:9" ht="14" thickBot="1" x14ac:dyDescent="0.2">
      <c r="B6026" s="12" t="s">
        <v>21</v>
      </c>
      <c r="C6026" s="12"/>
      <c r="D6026" s="1"/>
      <c r="E6026" s="1"/>
      <c r="F6026" s="1"/>
      <c r="G6026" s="1"/>
      <c r="H6026" s="1"/>
      <c r="I6026" s="1"/>
    </row>
    <row r="6027" spans="2:9" x14ac:dyDescent="0.15">
      <c r="B6027" s="903" t="s">
        <v>22</v>
      </c>
      <c r="C6027" s="904"/>
      <c r="D6027" s="905"/>
      <c r="E6027" s="209" t="s">
        <v>23</v>
      </c>
      <c r="F6027" s="19" t="s">
        <v>47</v>
      </c>
      <c r="G6027" s="209" t="s">
        <v>24</v>
      </c>
      <c r="H6027" s="208" t="s">
        <v>25</v>
      </c>
      <c r="I6027" s="43"/>
    </row>
    <row r="6028" spans="2:9" x14ac:dyDescent="0.15">
      <c r="B6028" s="897" t="s">
        <v>56</v>
      </c>
      <c r="C6028" s="898"/>
      <c r="D6028" s="899"/>
      <c r="E6028" s="5"/>
      <c r="F6028" s="162"/>
      <c r="G6028" s="58"/>
      <c r="H6028" s="162">
        <f>I6050*0.05</f>
        <v>891.04093749999993</v>
      </c>
      <c r="I6028" s="44"/>
    </row>
    <row r="6029" spans="2:9" x14ac:dyDescent="0.15">
      <c r="B6029" s="897"/>
      <c r="C6029" s="898"/>
      <c r="D6029" s="899"/>
      <c r="E6029" s="5"/>
      <c r="F6029" s="162"/>
      <c r="G6029" s="58"/>
      <c r="H6029" s="162"/>
      <c r="I6029" s="44"/>
    </row>
    <row r="6030" spans="2:9" ht="14" thickBot="1" x14ac:dyDescent="0.2">
      <c r="B6030" s="900"/>
      <c r="C6030" s="901"/>
      <c r="D6030" s="902"/>
      <c r="E6030" s="21"/>
      <c r="F6030" s="22"/>
      <c r="G6030" s="23"/>
      <c r="H6030" s="47"/>
      <c r="I6030" s="48"/>
    </row>
    <row r="6031" spans="2:9" ht="14" thickBot="1" x14ac:dyDescent="0.2">
      <c r="B6031" s="1"/>
      <c r="C6031" s="1"/>
      <c r="D6031" s="1"/>
      <c r="E6031" s="1"/>
      <c r="F6031" s="1"/>
      <c r="G6031" s="1"/>
      <c r="H6031" s="37" t="s">
        <v>26</v>
      </c>
      <c r="I6031" s="163">
        <f>SUM(H6028:H6030)</f>
        <v>891.04093749999993</v>
      </c>
    </row>
    <row r="6032" spans="2:9" ht="14" thickBot="1" x14ac:dyDescent="0.2">
      <c r="B6032" s="12" t="s">
        <v>27</v>
      </c>
      <c r="C6032" s="12"/>
      <c r="D6032" s="1"/>
      <c r="E6032" s="1"/>
      <c r="F6032" s="1"/>
      <c r="G6032" s="1"/>
      <c r="H6032" s="1"/>
      <c r="I6032" s="1"/>
    </row>
    <row r="6033" spans="2:11" x14ac:dyDescent="0.15">
      <c r="B6033" s="903" t="s">
        <v>22</v>
      </c>
      <c r="C6033" s="904"/>
      <c r="D6033" s="905"/>
      <c r="E6033" s="209" t="s">
        <v>28</v>
      </c>
      <c r="F6033" s="209" t="s">
        <v>29</v>
      </c>
      <c r="G6033" s="209" t="s">
        <v>30</v>
      </c>
      <c r="H6033" s="208" t="s">
        <v>25</v>
      </c>
      <c r="I6033" s="43"/>
    </row>
    <row r="6034" spans="2:11" x14ac:dyDescent="0.15">
      <c r="B6034" s="4"/>
      <c r="C6034" s="24"/>
      <c r="D6034" s="6"/>
      <c r="E6034" s="3"/>
      <c r="F6034" s="164"/>
      <c r="G6034" s="65"/>
      <c r="H6034" s="165"/>
      <c r="I6034" s="44"/>
    </row>
    <row r="6035" spans="2:11" x14ac:dyDescent="0.15">
      <c r="B6035" s="4"/>
      <c r="C6035" s="24"/>
      <c r="D6035" s="6"/>
      <c r="E6035" s="3"/>
      <c r="F6035" s="164"/>
      <c r="G6035" s="65"/>
      <c r="H6035" s="165"/>
      <c r="I6035" s="44"/>
    </row>
    <row r="6036" spans="2:11" x14ac:dyDescent="0.15">
      <c r="B6036" s="4"/>
      <c r="C6036" s="24"/>
      <c r="D6036" s="6"/>
      <c r="E6036" s="3"/>
      <c r="F6036" s="164"/>
      <c r="G6036" s="65"/>
      <c r="H6036" s="165"/>
      <c r="I6036" s="44"/>
    </row>
    <row r="6037" spans="2:11" x14ac:dyDescent="0.15">
      <c r="B6037" s="4"/>
      <c r="C6037" s="24"/>
      <c r="D6037" s="6"/>
      <c r="E6037" s="3"/>
      <c r="F6037" s="164"/>
      <c r="G6037" s="182"/>
      <c r="H6037" s="165"/>
      <c r="I6037" s="44"/>
    </row>
    <row r="6038" spans="2:11" ht="14" thickBot="1" x14ac:dyDescent="0.2">
      <c r="B6038" s="25"/>
      <c r="C6038" s="26"/>
      <c r="D6038" s="27"/>
      <c r="E6038" s="21"/>
      <c r="F6038" s="22"/>
      <c r="G6038" s="167"/>
      <c r="H6038" s="47"/>
      <c r="I6038" s="48"/>
    </row>
    <row r="6039" spans="2:11" ht="14" thickBot="1" x14ac:dyDescent="0.2">
      <c r="B6039" s="1"/>
      <c r="C6039" s="1"/>
      <c r="D6039" s="1"/>
      <c r="E6039" s="1"/>
      <c r="F6039" s="1"/>
      <c r="G6039" s="1"/>
      <c r="H6039" s="37" t="s">
        <v>26</v>
      </c>
      <c r="I6039" s="163">
        <f>SUM(H6034:H6037)</f>
        <v>0</v>
      </c>
    </row>
    <row r="6040" spans="2:11" ht="14" thickBot="1" x14ac:dyDescent="0.2">
      <c r="B6040" s="28" t="s">
        <v>31</v>
      </c>
      <c r="C6040" s="28"/>
      <c r="D6040" s="26"/>
      <c r="E6040" s="1"/>
      <c r="F6040" s="1"/>
      <c r="G6040" s="1"/>
      <c r="H6040" s="1"/>
      <c r="I6040" s="1"/>
    </row>
    <row r="6041" spans="2:11" x14ac:dyDescent="0.15">
      <c r="B6041" s="51" t="s">
        <v>32</v>
      </c>
      <c r="C6041" s="52"/>
      <c r="D6041" s="97" t="s">
        <v>33</v>
      </c>
      <c r="E6041" s="209" t="s">
        <v>34</v>
      </c>
      <c r="F6041" s="209" t="s">
        <v>35</v>
      </c>
      <c r="G6041" s="209" t="s">
        <v>36</v>
      </c>
      <c r="H6041" s="59" t="s">
        <v>25</v>
      </c>
      <c r="I6041" s="43"/>
    </row>
    <row r="6042" spans="2:11" x14ac:dyDescent="0.15">
      <c r="B6042" s="4"/>
      <c r="C6042" s="6"/>
      <c r="D6042" s="53"/>
      <c r="E6042" s="2"/>
      <c r="F6042" s="2"/>
      <c r="G6042" s="58"/>
      <c r="H6042" s="20"/>
      <c r="I6042" s="44"/>
    </row>
    <row r="6043" spans="2:11" ht="14" thickBot="1" x14ac:dyDescent="0.2">
      <c r="B6043" s="33"/>
      <c r="C6043" s="54"/>
      <c r="D6043" s="21"/>
      <c r="E6043" s="22"/>
      <c r="F6043" s="23"/>
      <c r="G6043" s="47"/>
      <c r="H6043" s="21"/>
      <c r="I6043" s="48"/>
    </row>
    <row r="6044" spans="2:11" ht="14" thickBot="1" x14ac:dyDescent="0.2">
      <c r="B6044" s="1"/>
      <c r="C6044" s="1"/>
      <c r="D6044" s="1"/>
      <c r="E6044" s="1"/>
      <c r="F6044" s="1"/>
      <c r="G6044" s="1"/>
      <c r="H6044" s="37" t="s">
        <v>26</v>
      </c>
      <c r="I6044" s="163">
        <f>SUM(H6042:H6043)</f>
        <v>0</v>
      </c>
    </row>
    <row r="6045" spans="2:11" ht="14" thickBot="1" x14ac:dyDescent="0.2">
      <c r="B6045" s="28" t="s">
        <v>37</v>
      </c>
      <c r="C6045" s="28"/>
      <c r="D6045" s="1"/>
      <c r="E6045" s="1"/>
      <c r="F6045" s="1"/>
      <c r="G6045" s="1"/>
      <c r="H6045" s="1"/>
      <c r="I6045" s="1"/>
    </row>
    <row r="6046" spans="2:11" x14ac:dyDescent="0.15">
      <c r="B6046" s="51" t="s">
        <v>38</v>
      </c>
      <c r="C6046" s="86"/>
      <c r="D6046" s="31" t="s">
        <v>39</v>
      </c>
      <c r="E6046" s="209" t="s">
        <v>40</v>
      </c>
      <c r="F6046" s="19" t="s">
        <v>41</v>
      </c>
      <c r="G6046" s="31" t="s">
        <v>24</v>
      </c>
      <c r="H6046" s="208" t="s">
        <v>25</v>
      </c>
      <c r="I6046" s="43"/>
    </row>
    <row r="6047" spans="2:11" x14ac:dyDescent="0.15">
      <c r="B6047" s="4" t="s">
        <v>949</v>
      </c>
      <c r="C6047" s="24"/>
      <c r="D6047" s="32">
        <f>'MANO DE OBRA'!E17</f>
        <v>95333</v>
      </c>
      <c r="E6047" s="88">
        <v>1.75</v>
      </c>
      <c r="F6047" s="164">
        <f>+E6047*D6047</f>
        <v>166832.75</v>
      </c>
      <c r="G6047" s="20">
        <v>40</v>
      </c>
      <c r="H6047" s="169">
        <f>+F6047/G6047</f>
        <v>4170.8187500000004</v>
      </c>
      <c r="I6047" s="44"/>
      <c r="K6047" s="106"/>
    </row>
    <row r="6048" spans="2:11" x14ac:dyDescent="0.15">
      <c r="B6048" s="4" t="s">
        <v>94</v>
      </c>
      <c r="C6048" s="24"/>
      <c r="D6048" s="32">
        <f>'MANO DE OBRA'!E14*6</f>
        <v>312000</v>
      </c>
      <c r="E6048" s="88">
        <v>1.75</v>
      </c>
      <c r="F6048" s="164">
        <f>+E6048*D6048</f>
        <v>546000</v>
      </c>
      <c r="G6048" s="20">
        <v>40</v>
      </c>
      <c r="H6048" s="169">
        <f>+F6048/G6048</f>
        <v>13650</v>
      </c>
      <c r="I6048" s="44"/>
    </row>
    <row r="6049" spans="2:11" ht="14" thickBot="1" x14ac:dyDescent="0.2">
      <c r="B6049" s="33"/>
      <c r="C6049" s="34"/>
      <c r="D6049" s="22"/>
      <c r="E6049" s="21"/>
      <c r="F6049" s="22"/>
      <c r="G6049" s="23"/>
      <c r="H6049" s="47"/>
      <c r="I6049" s="48"/>
    </row>
    <row r="6050" spans="2:11" ht="14" thickBot="1" x14ac:dyDescent="0.2">
      <c r="B6050" s="1"/>
      <c r="C6050" s="1"/>
      <c r="D6050" s="1"/>
      <c r="E6050" s="1"/>
      <c r="F6050" s="1"/>
      <c r="G6050" s="1"/>
      <c r="H6050" s="37" t="s">
        <v>26</v>
      </c>
      <c r="I6050" s="177">
        <f>SUM(H6047:H6048)</f>
        <v>17820.818749999999</v>
      </c>
    </row>
    <row r="6051" spans="2:11" ht="14" thickBot="1" x14ac:dyDescent="0.2">
      <c r="B6051" s="1"/>
      <c r="C6051" s="1"/>
      <c r="D6051" s="1"/>
      <c r="E6051" s="1"/>
      <c r="F6051" s="1"/>
      <c r="G6051" s="1"/>
      <c r="H6051" s="61"/>
      <c r="I6051" s="1"/>
    </row>
    <row r="6052" spans="2:11" ht="15" thickBot="1" x14ac:dyDescent="0.2">
      <c r="B6052" s="1"/>
      <c r="C6052" s="1"/>
      <c r="D6052" s="1"/>
      <c r="E6052" s="1"/>
      <c r="F6052" s="35" t="s">
        <v>43</v>
      </c>
      <c r="G6052" s="16"/>
      <c r="H6052" s="16"/>
      <c r="I6052" s="232">
        <f>ROUND((I6031+I6039+I6044+I6050),0)</f>
        <v>18712</v>
      </c>
    </row>
    <row r="6053" spans="2:11" x14ac:dyDescent="0.15">
      <c r="B6053" s="12"/>
      <c r="C6053" s="12"/>
      <c r="D6053" s="1"/>
      <c r="E6053" s="1"/>
      <c r="F6053" s="1"/>
      <c r="G6053" s="1"/>
      <c r="H6053" s="172"/>
      <c r="I6053" s="172"/>
    </row>
    <row r="6054" spans="2:11" x14ac:dyDescent="0.15">
      <c r="B6054" s="16"/>
      <c r="C6054" s="16"/>
      <c r="D6054" s="16"/>
      <c r="E6054" s="16"/>
      <c r="F6054" s="16"/>
      <c r="G6054" s="61"/>
      <c r="H6054" s="173"/>
      <c r="I6054" s="172"/>
    </row>
    <row r="6055" spans="2:11" x14ac:dyDescent="0.15">
      <c r="B6055" s="1"/>
      <c r="C6055" s="1"/>
      <c r="D6055" s="1"/>
      <c r="E6055" s="1"/>
      <c r="F6055" s="1"/>
      <c r="G6055" s="161"/>
      <c r="H6055" s="172"/>
      <c r="I6055" s="172"/>
      <c r="K6055" s="174"/>
    </row>
    <row r="6056" spans="2:11" x14ac:dyDescent="0.15">
      <c r="B6056" s="1"/>
      <c r="C6056" s="1"/>
      <c r="D6056" s="1"/>
      <c r="E6056" s="1"/>
      <c r="F6056" s="1"/>
      <c r="G6056" s="161"/>
      <c r="H6056" s="172"/>
      <c r="I6056" s="172"/>
    </row>
    <row r="6057" spans="2:11" x14ac:dyDescent="0.15">
      <c r="B6057" s="1"/>
      <c r="C6057" s="1"/>
      <c r="D6057" s="1"/>
      <c r="E6057" s="1"/>
      <c r="F6057" s="1"/>
      <c r="G6057" s="161"/>
      <c r="H6057" s="172"/>
      <c r="I6057" s="172"/>
    </row>
    <row r="6058" spans="2:11" ht="14" x14ac:dyDescent="0.15">
      <c r="B6058" s="83"/>
      <c r="C6058" s="11"/>
      <c r="D6058" s="1"/>
      <c r="E6058" s="916"/>
      <c r="F6058" s="916"/>
      <c r="G6058" s="916"/>
      <c r="H6058" s="916"/>
      <c r="I6058" s="171"/>
    </row>
    <row r="6059" spans="2:11" ht="14" x14ac:dyDescent="0.15">
      <c r="B6059" s="102"/>
      <c r="C6059" s="11"/>
      <c r="D6059" s="1"/>
      <c r="E6059" s="155"/>
      <c r="F6059" s="155"/>
      <c r="G6059" s="155"/>
      <c r="H6059" s="155"/>
      <c r="I6059" s="171"/>
    </row>
    <row r="6060" spans="2:11" ht="14" x14ac:dyDescent="0.15">
      <c r="B6060" s="83"/>
      <c r="C6060" s="11"/>
      <c r="D6060" s="1"/>
      <c r="E6060" s="155"/>
      <c r="F6060" s="155"/>
      <c r="G6060" s="155"/>
      <c r="H6060" s="155"/>
      <c r="I6060" s="171"/>
    </row>
    <row r="6061" spans="2:11" x14ac:dyDescent="0.15">
      <c r="B6061" s="11"/>
      <c r="C6061" s="11"/>
      <c r="D6061" s="1"/>
      <c r="E6061" s="155"/>
      <c r="F6061" s="155"/>
      <c r="G6061" s="155"/>
      <c r="H6061" s="155"/>
      <c r="I6061" s="171"/>
    </row>
    <row r="6062" spans="2:11" x14ac:dyDescent="0.15">
      <c r="B6062" s="11"/>
      <c r="C6062" s="11"/>
      <c r="D6062" s="1"/>
      <c r="E6062" s="155"/>
      <c r="F6062" s="155"/>
      <c r="G6062" s="155"/>
      <c r="H6062" s="155"/>
      <c r="I6062" s="171"/>
    </row>
    <row r="6063" spans="2:11" x14ac:dyDescent="0.15">
      <c r="B6063" s="11"/>
      <c r="C6063" s="11"/>
      <c r="D6063" s="1"/>
      <c r="E6063" s="155"/>
      <c r="F6063" s="155"/>
      <c r="G6063" s="155"/>
      <c r="H6063" s="155"/>
      <c r="I6063" s="171"/>
    </row>
    <row r="6064" spans="2:11" x14ac:dyDescent="0.15">
      <c r="B6064" s="11"/>
      <c r="C6064" s="11"/>
      <c r="D6064" s="1"/>
      <c r="E6064" s="155"/>
      <c r="F6064" s="155"/>
      <c r="G6064" s="155"/>
      <c r="H6064" s="155"/>
      <c r="I6064" s="171"/>
    </row>
    <row r="6065" spans="2:10" x14ac:dyDescent="0.15">
      <c r="B6065" s="11"/>
      <c r="C6065" s="11"/>
      <c r="D6065" s="1"/>
      <c r="E6065" s="155"/>
      <c r="F6065" s="155"/>
      <c r="G6065" s="155"/>
      <c r="H6065" s="155"/>
      <c r="I6065" s="171"/>
    </row>
    <row r="6066" spans="2:10" x14ac:dyDescent="0.15">
      <c r="B6066" s="11"/>
      <c r="C6066" s="11"/>
      <c r="D6066" s="1"/>
      <c r="E6066" s="155"/>
      <c r="F6066" s="155"/>
      <c r="G6066" s="155"/>
      <c r="H6066" s="155"/>
      <c r="I6066" s="171"/>
    </row>
    <row r="6067" spans="2:10" x14ac:dyDescent="0.15">
      <c r="B6067" s="11"/>
      <c r="C6067" s="11"/>
      <c r="D6067" s="1"/>
      <c r="E6067" s="155"/>
      <c r="F6067" s="155"/>
      <c r="G6067" s="155"/>
      <c r="H6067" s="155"/>
      <c r="I6067" s="171"/>
    </row>
    <row r="6068" spans="2:10" x14ac:dyDescent="0.15">
      <c r="B6068" s="11"/>
      <c r="C6068" s="11"/>
      <c r="D6068" s="1"/>
      <c r="E6068" s="155"/>
      <c r="F6068" s="155"/>
      <c r="G6068" s="155"/>
      <c r="H6068" s="155"/>
      <c r="I6068" s="171"/>
    </row>
    <row r="6069" spans="2:10" x14ac:dyDescent="0.15">
      <c r="B6069" s="11"/>
      <c r="C6069" s="11"/>
      <c r="D6069" s="1"/>
      <c r="E6069" s="155"/>
      <c r="F6069" s="155"/>
      <c r="G6069" s="155"/>
      <c r="H6069" s="155"/>
      <c r="I6069" s="171"/>
    </row>
    <row r="6070" spans="2:10" ht="14" x14ac:dyDescent="0.15">
      <c r="B6070" s="102"/>
      <c r="C6070" s="83"/>
      <c r="D6070" s="84"/>
      <c r="E6070" s="83"/>
      <c r="F6070" s="83"/>
      <c r="G6070" s="103"/>
      <c r="H6070" s="83"/>
      <c r="I6070" s="85"/>
      <c r="J6070" s="85"/>
    </row>
    <row r="6071" spans="2:10" ht="15" thickBot="1" x14ac:dyDescent="0.2">
      <c r="B6071" s="83"/>
      <c r="C6071" s="83"/>
      <c r="D6071" s="84"/>
      <c r="E6071" s="83"/>
      <c r="F6071" s="83"/>
      <c r="G6071" s="104"/>
      <c r="H6071" s="83"/>
      <c r="I6071" s="85"/>
      <c r="J6071" s="85"/>
    </row>
    <row r="6072" spans="2:10" ht="21" customHeight="1" x14ac:dyDescent="0.15">
      <c r="B6072" s="885" t="s">
        <v>874</v>
      </c>
      <c r="C6072" s="886"/>
      <c r="D6072" s="886"/>
      <c r="E6072" s="886"/>
      <c r="F6072" s="887"/>
      <c r="G6072" s="1"/>
      <c r="H6072" s="879" t="s">
        <v>20</v>
      </c>
      <c r="I6072" s="880"/>
    </row>
    <row r="6073" spans="2:10" ht="16.5" customHeight="1" x14ac:dyDescent="0.15">
      <c r="B6073" s="888" t="s">
        <v>875</v>
      </c>
      <c r="C6073" s="889"/>
      <c r="D6073" s="889"/>
      <c r="E6073" s="889"/>
      <c r="F6073" s="890"/>
      <c r="G6073" s="63"/>
      <c r="H6073" s="881"/>
      <c r="I6073" s="882"/>
    </row>
    <row r="6074" spans="2:10" ht="12.75" customHeight="1" x14ac:dyDescent="0.15">
      <c r="B6074" s="906" t="s">
        <v>876</v>
      </c>
      <c r="C6074" s="907"/>
      <c r="D6074" s="907"/>
      <c r="E6074" s="907"/>
      <c r="F6074" s="908"/>
      <c r="G6074" s="63"/>
      <c r="H6074" s="883"/>
      <c r="I6074" s="884"/>
    </row>
    <row r="6075" spans="2:10" ht="16.5" customHeight="1" thickBot="1" x14ac:dyDescent="0.2">
      <c r="B6075" s="909"/>
      <c r="C6075" s="910"/>
      <c r="D6075" s="910"/>
      <c r="E6075" s="910"/>
      <c r="F6075" s="911"/>
      <c r="G6075" s="1"/>
      <c r="H6075" s="873" t="s">
        <v>1211</v>
      </c>
      <c r="I6075" s="874"/>
    </row>
    <row r="6076" spans="2:10" ht="14" thickBot="1" x14ac:dyDescent="0.2">
      <c r="B6076" s="15"/>
      <c r="C6076" s="16"/>
      <c r="D6076" s="1"/>
      <c r="E6076" s="1"/>
      <c r="F6076" s="1"/>
      <c r="G6076" s="1"/>
      <c r="H6076" s="875"/>
      <c r="I6076" s="876"/>
    </row>
    <row r="6077" spans="2:10" ht="12.75" customHeight="1" x14ac:dyDescent="0.15">
      <c r="B6077" s="922" t="s">
        <v>836</v>
      </c>
      <c r="C6077" s="923"/>
      <c r="D6077" s="923"/>
      <c r="E6077" s="923"/>
      <c r="F6077" s="924"/>
      <c r="G6077" s="1"/>
      <c r="H6077" s="875"/>
      <c r="I6077" s="876"/>
    </row>
    <row r="6078" spans="2:10" ht="12.75" customHeight="1" x14ac:dyDescent="0.15">
      <c r="B6078" s="925"/>
      <c r="C6078" s="926"/>
      <c r="D6078" s="926"/>
      <c r="E6078" s="926"/>
      <c r="F6078" s="927"/>
      <c r="G6078" s="1"/>
      <c r="H6078" s="875"/>
      <c r="I6078" s="876"/>
    </row>
    <row r="6079" spans="2:10" ht="13.5" customHeight="1" x14ac:dyDescent="0.15">
      <c r="B6079" s="925"/>
      <c r="C6079" s="926"/>
      <c r="D6079" s="926"/>
      <c r="E6079" s="926"/>
      <c r="F6079" s="927"/>
      <c r="G6079" s="11"/>
      <c r="H6079" s="877"/>
      <c r="I6079" s="878"/>
    </row>
    <row r="6080" spans="2:10" ht="21.75" customHeight="1" thickBot="1" x14ac:dyDescent="0.2">
      <c r="B6080" s="928"/>
      <c r="C6080" s="929"/>
      <c r="D6080" s="929"/>
      <c r="E6080" s="929"/>
      <c r="F6080" s="930"/>
      <c r="H6080" s="64" t="s">
        <v>45</v>
      </c>
      <c r="I6080" s="17" t="s">
        <v>319</v>
      </c>
    </row>
    <row r="6081" spans="2:9" x14ac:dyDescent="0.15">
      <c r="B6081" s="18"/>
      <c r="C6081" s="18"/>
      <c r="D6081" s="1"/>
      <c r="E6081" s="18"/>
      <c r="F6081" s="18"/>
      <c r="G6081" s="18"/>
      <c r="H6081" s="18"/>
      <c r="I6081" s="1"/>
    </row>
    <row r="6082" spans="2:9" ht="14" thickBot="1" x14ac:dyDescent="0.2">
      <c r="B6082" s="12" t="s">
        <v>21</v>
      </c>
      <c r="C6082" s="12"/>
      <c r="D6082" s="1"/>
      <c r="E6082" s="1"/>
      <c r="F6082" s="1"/>
      <c r="G6082" s="1"/>
      <c r="H6082" s="1"/>
      <c r="I6082" s="1"/>
    </row>
    <row r="6083" spans="2:9" x14ac:dyDescent="0.15">
      <c r="B6083" s="903" t="s">
        <v>22</v>
      </c>
      <c r="C6083" s="904"/>
      <c r="D6083" s="905"/>
      <c r="E6083" s="209" t="s">
        <v>23</v>
      </c>
      <c r="F6083" s="19" t="s">
        <v>47</v>
      </c>
      <c r="G6083" s="209" t="s">
        <v>24</v>
      </c>
      <c r="H6083" s="208" t="s">
        <v>25</v>
      </c>
      <c r="I6083" s="43"/>
    </row>
    <row r="6084" spans="2:9" x14ac:dyDescent="0.15">
      <c r="B6084" s="897" t="s">
        <v>56</v>
      </c>
      <c r="C6084" s="898"/>
      <c r="D6084" s="899"/>
      <c r="E6084" s="5"/>
      <c r="F6084" s="162"/>
      <c r="G6084" s="58"/>
      <c r="H6084" s="162">
        <f>I6106*0.05</f>
        <v>2180.2046875000001</v>
      </c>
      <c r="I6084" s="44"/>
    </row>
    <row r="6085" spans="2:9" x14ac:dyDescent="0.15">
      <c r="B6085" s="897"/>
      <c r="C6085" s="898"/>
      <c r="D6085" s="899"/>
      <c r="E6085" s="5"/>
      <c r="F6085" s="162"/>
      <c r="G6085" s="58"/>
      <c r="H6085" s="162"/>
      <c r="I6085" s="44"/>
    </row>
    <row r="6086" spans="2:9" ht="14" thickBot="1" x14ac:dyDescent="0.2">
      <c r="B6086" s="900"/>
      <c r="C6086" s="901"/>
      <c r="D6086" s="902"/>
      <c r="E6086" s="21"/>
      <c r="F6086" s="22"/>
      <c r="G6086" s="23"/>
      <c r="H6086" s="47"/>
      <c r="I6086" s="48"/>
    </row>
    <row r="6087" spans="2:9" ht="14" thickBot="1" x14ac:dyDescent="0.2">
      <c r="B6087" s="1"/>
      <c r="C6087" s="1"/>
      <c r="D6087" s="1"/>
      <c r="E6087" s="1"/>
      <c r="F6087" s="1"/>
      <c r="G6087" s="1"/>
      <c r="H6087" s="37" t="s">
        <v>26</v>
      </c>
      <c r="I6087" s="163">
        <f>SUM(H6084:H6086)</f>
        <v>2180.2046875000001</v>
      </c>
    </row>
    <row r="6088" spans="2:9" ht="14" thickBot="1" x14ac:dyDescent="0.2">
      <c r="B6088" s="12" t="s">
        <v>27</v>
      </c>
      <c r="C6088" s="12"/>
      <c r="D6088" s="1"/>
      <c r="E6088" s="1"/>
      <c r="F6088" s="1"/>
      <c r="G6088" s="1"/>
      <c r="H6088" s="1"/>
      <c r="I6088" s="1"/>
    </row>
    <row r="6089" spans="2:9" x14ac:dyDescent="0.15">
      <c r="B6089" s="903" t="s">
        <v>22</v>
      </c>
      <c r="C6089" s="904"/>
      <c r="D6089" s="905"/>
      <c r="E6089" s="209" t="s">
        <v>28</v>
      </c>
      <c r="F6089" s="209" t="s">
        <v>29</v>
      </c>
      <c r="G6089" s="209" t="s">
        <v>30</v>
      </c>
      <c r="H6089" s="208" t="s">
        <v>25</v>
      </c>
      <c r="I6089" s="43"/>
    </row>
    <row r="6090" spans="2:9" x14ac:dyDescent="0.15">
      <c r="B6090" s="4" t="s">
        <v>1129</v>
      </c>
      <c r="C6090" s="24"/>
      <c r="D6090" s="6"/>
      <c r="E6090" s="3" t="s">
        <v>19</v>
      </c>
      <c r="F6090" s="164">
        <v>60000</v>
      </c>
      <c r="G6090" s="65">
        <v>1</v>
      </c>
      <c r="H6090" s="165">
        <f t="shared" ref="H6090" si="42">G6090*F6090</f>
        <v>60000</v>
      </c>
      <c r="I6090" s="44"/>
    </row>
    <row r="6091" spans="2:9" x14ac:dyDescent="0.15">
      <c r="B6091" s="4"/>
      <c r="C6091" s="24"/>
      <c r="D6091" s="6"/>
      <c r="E6091" s="3"/>
      <c r="F6091" s="164"/>
      <c r="G6091" s="65"/>
      <c r="H6091" s="165"/>
      <c r="I6091" s="44"/>
    </row>
    <row r="6092" spans="2:9" x14ac:dyDescent="0.15">
      <c r="B6092" s="4"/>
      <c r="C6092" s="24"/>
      <c r="D6092" s="6"/>
      <c r="E6092" s="3"/>
      <c r="F6092" s="164"/>
      <c r="G6092" s="65"/>
      <c r="H6092" s="165"/>
      <c r="I6092" s="44"/>
    </row>
    <row r="6093" spans="2:9" x14ac:dyDescent="0.15">
      <c r="B6093" s="4"/>
      <c r="C6093" s="24"/>
      <c r="D6093" s="6"/>
      <c r="E6093" s="3"/>
      <c r="F6093" s="164"/>
      <c r="G6093" s="182"/>
      <c r="H6093" s="165"/>
      <c r="I6093" s="44"/>
    </row>
    <row r="6094" spans="2:9" ht="14" thickBot="1" x14ac:dyDescent="0.2">
      <c r="B6094" s="25"/>
      <c r="C6094" s="26"/>
      <c r="D6094" s="27"/>
      <c r="E6094" s="21"/>
      <c r="F6094" s="22"/>
      <c r="G6094" s="167"/>
      <c r="H6094" s="47"/>
      <c r="I6094" s="48"/>
    </row>
    <row r="6095" spans="2:9" ht="14" thickBot="1" x14ac:dyDescent="0.2">
      <c r="B6095" s="1"/>
      <c r="C6095" s="1"/>
      <c r="D6095" s="1"/>
      <c r="E6095" s="1"/>
      <c r="F6095" s="1"/>
      <c r="G6095" s="1"/>
      <c r="H6095" s="37" t="s">
        <v>26</v>
      </c>
      <c r="I6095" s="163">
        <f>SUM(H6090:H6093)</f>
        <v>60000</v>
      </c>
    </row>
    <row r="6096" spans="2:9" ht="14" thickBot="1" x14ac:dyDescent="0.2">
      <c r="B6096" s="28" t="s">
        <v>31</v>
      </c>
      <c r="C6096" s="28"/>
      <c r="D6096" s="26"/>
      <c r="E6096" s="1"/>
      <c r="F6096" s="1"/>
      <c r="G6096" s="1"/>
      <c r="H6096" s="1"/>
      <c r="I6096" s="1"/>
    </row>
    <row r="6097" spans="2:11" x14ac:dyDescent="0.15">
      <c r="B6097" s="51" t="s">
        <v>32</v>
      </c>
      <c r="C6097" s="52"/>
      <c r="D6097" s="97" t="s">
        <v>33</v>
      </c>
      <c r="E6097" s="209" t="s">
        <v>34</v>
      </c>
      <c r="F6097" s="209" t="s">
        <v>35</v>
      </c>
      <c r="G6097" s="209" t="s">
        <v>36</v>
      </c>
      <c r="H6097" s="59" t="s">
        <v>25</v>
      </c>
      <c r="I6097" s="43"/>
    </row>
    <row r="6098" spans="2:11" x14ac:dyDescent="0.15">
      <c r="B6098" s="4" t="s">
        <v>79</v>
      </c>
      <c r="C6098" s="6"/>
      <c r="D6098" s="53">
        <v>0.2</v>
      </c>
      <c r="E6098" s="2">
        <v>43</v>
      </c>
      <c r="F6098" s="2">
        <f>E6098*D6098</f>
        <v>8.6</v>
      </c>
      <c r="G6098" s="58">
        <v>1100</v>
      </c>
      <c r="H6098" s="20">
        <f>G6098*F6098</f>
        <v>9460</v>
      </c>
      <c r="I6098" s="44"/>
    </row>
    <row r="6099" spans="2:11" ht="14" thickBot="1" x14ac:dyDescent="0.2">
      <c r="B6099" s="33"/>
      <c r="C6099" s="54"/>
      <c r="D6099" s="21"/>
      <c r="E6099" s="22"/>
      <c r="F6099" s="23"/>
      <c r="G6099" s="47"/>
      <c r="H6099" s="21"/>
      <c r="I6099" s="48"/>
    </row>
    <row r="6100" spans="2:11" ht="14" thickBot="1" x14ac:dyDescent="0.2">
      <c r="B6100" s="1"/>
      <c r="C6100" s="1"/>
      <c r="D6100" s="1"/>
      <c r="E6100" s="1"/>
      <c r="F6100" s="1"/>
      <c r="G6100" s="1"/>
      <c r="H6100" s="37" t="s">
        <v>26</v>
      </c>
      <c r="I6100" s="163">
        <f>SUM(H6098:H6099)</f>
        <v>9460</v>
      </c>
    </row>
    <row r="6101" spans="2:11" ht="14" thickBot="1" x14ac:dyDescent="0.2">
      <c r="B6101" s="28" t="s">
        <v>37</v>
      </c>
      <c r="C6101" s="28"/>
      <c r="D6101" s="1"/>
      <c r="E6101" s="1"/>
      <c r="F6101" s="1"/>
      <c r="G6101" s="1"/>
      <c r="H6101" s="1"/>
      <c r="I6101" s="1"/>
    </row>
    <row r="6102" spans="2:11" x14ac:dyDescent="0.15">
      <c r="B6102" s="51" t="s">
        <v>38</v>
      </c>
      <c r="C6102" s="86"/>
      <c r="D6102" s="31" t="s">
        <v>39</v>
      </c>
      <c r="E6102" s="209" t="s">
        <v>40</v>
      </c>
      <c r="F6102" s="19" t="s">
        <v>41</v>
      </c>
      <c r="G6102" s="31" t="s">
        <v>24</v>
      </c>
      <c r="H6102" s="208" t="s">
        <v>25</v>
      </c>
      <c r="I6102" s="43"/>
    </row>
    <row r="6103" spans="2:11" x14ac:dyDescent="0.15">
      <c r="B6103" s="4" t="s">
        <v>1128</v>
      </c>
      <c r="C6103" s="24"/>
      <c r="D6103" s="32">
        <f>'MANO DE OBRA'!E15</f>
        <v>95333</v>
      </c>
      <c r="E6103" s="88">
        <v>1.75</v>
      </c>
      <c r="F6103" s="164">
        <f>+E6103*D6103</f>
        <v>166832.75</v>
      </c>
      <c r="G6103" s="20">
        <v>8</v>
      </c>
      <c r="H6103" s="169">
        <f>+F6103/G6103</f>
        <v>20854.09375</v>
      </c>
      <c r="I6103" s="44"/>
      <c r="K6103" s="106"/>
    </row>
    <row r="6104" spans="2:11" x14ac:dyDescent="0.15">
      <c r="B6104" s="4" t="s">
        <v>55</v>
      </c>
      <c r="C6104" s="24"/>
      <c r="D6104" s="32">
        <f>'MANO DE OBRA'!E14*2</f>
        <v>104000</v>
      </c>
      <c r="E6104" s="88">
        <v>1.75</v>
      </c>
      <c r="F6104" s="164">
        <f>+E6104*D6104</f>
        <v>182000</v>
      </c>
      <c r="G6104" s="20">
        <v>8</v>
      </c>
      <c r="H6104" s="169">
        <f>+F6104/G6104</f>
        <v>22750</v>
      </c>
      <c r="I6104" s="44"/>
    </row>
    <row r="6105" spans="2:11" ht="14" thickBot="1" x14ac:dyDescent="0.2">
      <c r="B6105" s="33"/>
      <c r="C6105" s="34"/>
      <c r="D6105" s="22"/>
      <c r="E6105" s="21"/>
      <c r="F6105" s="22"/>
      <c r="G6105" s="23"/>
      <c r="H6105" s="47"/>
      <c r="I6105" s="48"/>
    </row>
    <row r="6106" spans="2:11" ht="14" thickBot="1" x14ac:dyDescent="0.2">
      <c r="B6106" s="1"/>
      <c r="C6106" s="1"/>
      <c r="D6106" s="1"/>
      <c r="E6106" s="1"/>
      <c r="F6106" s="1"/>
      <c r="G6106" s="1"/>
      <c r="H6106" s="37" t="s">
        <v>26</v>
      </c>
      <c r="I6106" s="177">
        <f>SUM(H6103:H6104)</f>
        <v>43604.09375</v>
      </c>
    </row>
    <row r="6107" spans="2:11" ht="14" thickBot="1" x14ac:dyDescent="0.2">
      <c r="B6107" s="1"/>
      <c r="C6107" s="1"/>
      <c r="D6107" s="1"/>
      <c r="E6107" s="1"/>
      <c r="F6107" s="1"/>
      <c r="G6107" s="1"/>
      <c r="H6107" s="61"/>
      <c r="I6107" s="1"/>
    </row>
    <row r="6108" spans="2:11" ht="15" thickBot="1" x14ac:dyDescent="0.2">
      <c r="B6108" s="1"/>
      <c r="C6108" s="1"/>
      <c r="D6108" s="1"/>
      <c r="E6108" s="1"/>
      <c r="F6108" s="35" t="s">
        <v>43</v>
      </c>
      <c r="G6108" s="16"/>
      <c r="H6108" s="16"/>
      <c r="I6108" s="232">
        <f>ROUND((I6087+I6095+I6100+I6106),0)</f>
        <v>115244</v>
      </c>
    </row>
    <row r="6109" spans="2:11" x14ac:dyDescent="0.15">
      <c r="B6109" s="12"/>
      <c r="C6109" s="12"/>
      <c r="D6109" s="1"/>
      <c r="E6109" s="1"/>
      <c r="F6109" s="1"/>
      <c r="G6109" s="1"/>
      <c r="H6109" s="172"/>
      <c r="I6109" s="172"/>
    </row>
    <row r="6110" spans="2:11" x14ac:dyDescent="0.15">
      <c r="B6110" s="16"/>
      <c r="C6110" s="16"/>
      <c r="D6110" s="16"/>
      <c r="E6110" s="16"/>
      <c r="F6110" s="16"/>
      <c r="G6110" s="61"/>
      <c r="H6110" s="173"/>
      <c r="I6110" s="172"/>
    </row>
    <row r="6111" spans="2:11" x14ac:dyDescent="0.15">
      <c r="B6111" s="1"/>
      <c r="C6111" s="1"/>
      <c r="D6111" s="1"/>
      <c r="E6111" s="1"/>
      <c r="F6111" s="1"/>
      <c r="G6111" s="161"/>
      <c r="H6111" s="172"/>
      <c r="I6111" s="172"/>
      <c r="K6111" s="174"/>
    </row>
    <row r="6112" spans="2:11" x14ac:dyDescent="0.15">
      <c r="B6112" s="1"/>
      <c r="C6112" s="1"/>
      <c r="D6112" s="1"/>
      <c r="E6112" s="1"/>
      <c r="F6112" s="1"/>
      <c r="G6112" s="161"/>
      <c r="H6112" s="172"/>
      <c r="I6112" s="172"/>
    </row>
    <row r="6113" spans="2:10" x14ac:dyDescent="0.15">
      <c r="B6113" s="1"/>
      <c r="C6113" s="1"/>
      <c r="D6113" s="1"/>
      <c r="E6113" s="1"/>
      <c r="F6113" s="1"/>
      <c r="G6113" s="161"/>
      <c r="H6113" s="172"/>
      <c r="I6113" s="172"/>
    </row>
    <row r="6114" spans="2:10" ht="14" x14ac:dyDescent="0.15">
      <c r="B6114" s="83"/>
      <c r="C6114" s="11"/>
      <c r="D6114" s="1"/>
      <c r="E6114" s="916"/>
      <c r="F6114" s="916"/>
      <c r="G6114" s="916"/>
      <c r="H6114" s="916"/>
      <c r="I6114" s="171"/>
    </row>
    <row r="6115" spans="2:10" ht="14" x14ac:dyDescent="0.15">
      <c r="B6115" s="102"/>
      <c r="C6115" s="11"/>
      <c r="D6115" s="1"/>
      <c r="E6115" s="155"/>
      <c r="F6115" s="155"/>
      <c r="G6115" s="155"/>
      <c r="H6115" s="155"/>
      <c r="I6115" s="171"/>
    </row>
    <row r="6116" spans="2:10" ht="14" x14ac:dyDescent="0.15">
      <c r="B6116" s="83"/>
      <c r="C6116" s="11"/>
      <c r="D6116" s="1"/>
      <c r="E6116" s="155"/>
      <c r="F6116" s="155"/>
      <c r="G6116" s="155"/>
      <c r="H6116" s="155"/>
      <c r="I6116" s="171"/>
    </row>
    <row r="6117" spans="2:10" x14ac:dyDescent="0.15">
      <c r="B6117" s="11"/>
      <c r="C6117" s="11"/>
      <c r="D6117" s="1"/>
      <c r="E6117" s="155"/>
      <c r="F6117" s="155"/>
      <c r="G6117" s="155"/>
      <c r="H6117" s="155"/>
      <c r="I6117" s="171"/>
    </row>
    <row r="6118" spans="2:10" x14ac:dyDescent="0.15">
      <c r="B6118" s="11"/>
      <c r="C6118" s="11"/>
      <c r="D6118" s="1"/>
      <c r="E6118" s="155"/>
      <c r="F6118" s="155"/>
      <c r="G6118" s="155"/>
      <c r="H6118" s="155"/>
      <c r="I6118" s="171"/>
    </row>
    <row r="6119" spans="2:10" x14ac:dyDescent="0.15">
      <c r="B6119" s="11"/>
      <c r="C6119" s="11"/>
      <c r="D6119" s="1"/>
      <c r="E6119" s="155"/>
      <c r="F6119" s="155"/>
      <c r="G6119" s="155"/>
      <c r="H6119" s="155"/>
      <c r="I6119" s="171"/>
    </row>
    <row r="6120" spans="2:10" x14ac:dyDescent="0.15">
      <c r="B6120" s="11"/>
      <c r="C6120" s="11"/>
      <c r="D6120" s="1"/>
      <c r="E6120" s="155"/>
      <c r="F6120" s="155"/>
      <c r="G6120" s="155"/>
      <c r="H6120" s="155"/>
      <c r="I6120" s="171"/>
    </row>
    <row r="6121" spans="2:10" x14ac:dyDescent="0.15">
      <c r="B6121" s="11"/>
      <c r="C6121" s="11"/>
      <c r="D6121" s="1"/>
      <c r="E6121" s="155"/>
      <c r="F6121" s="155"/>
      <c r="G6121" s="155"/>
      <c r="H6121" s="155"/>
      <c r="I6121" s="171"/>
    </row>
    <row r="6122" spans="2:10" x14ac:dyDescent="0.15">
      <c r="B6122" s="11"/>
      <c r="C6122" s="11"/>
      <c r="D6122" s="1"/>
      <c r="E6122" s="155"/>
      <c r="F6122" s="155"/>
      <c r="G6122" s="155"/>
      <c r="H6122" s="155"/>
      <c r="I6122" s="171"/>
    </row>
    <row r="6123" spans="2:10" x14ac:dyDescent="0.15">
      <c r="B6123" s="11"/>
      <c r="C6123" s="11"/>
      <c r="D6123" s="1"/>
      <c r="E6123" s="155"/>
      <c r="F6123" s="155"/>
      <c r="G6123" s="155"/>
      <c r="H6123" s="155"/>
      <c r="I6123" s="171"/>
    </row>
    <row r="6124" spans="2:10" x14ac:dyDescent="0.15">
      <c r="B6124" s="11"/>
      <c r="C6124" s="11"/>
      <c r="D6124" s="1"/>
      <c r="E6124" s="155"/>
      <c r="F6124" s="155"/>
      <c r="G6124" s="155"/>
      <c r="H6124" s="155"/>
      <c r="I6124" s="171"/>
    </row>
    <row r="6125" spans="2:10" x14ac:dyDescent="0.15">
      <c r="B6125" s="11"/>
      <c r="C6125" s="11"/>
      <c r="D6125" s="1"/>
      <c r="E6125" s="155"/>
      <c r="F6125" s="155"/>
      <c r="G6125" s="155"/>
      <c r="H6125" s="155"/>
      <c r="I6125" s="171"/>
    </row>
    <row r="6126" spans="2:10" ht="14" x14ac:dyDescent="0.15">
      <c r="B6126" s="102"/>
      <c r="C6126" s="83"/>
      <c r="D6126" s="84"/>
      <c r="E6126" s="83"/>
      <c r="F6126" s="83"/>
      <c r="G6126" s="103"/>
      <c r="H6126" s="83"/>
      <c r="I6126" s="85"/>
      <c r="J6126" s="85"/>
    </row>
    <row r="6127" spans="2:10" ht="15" thickBot="1" x14ac:dyDescent="0.2">
      <c r="B6127" s="83"/>
      <c r="C6127" s="83"/>
      <c r="D6127" s="84"/>
      <c r="E6127" s="83"/>
      <c r="F6127" s="83"/>
      <c r="G6127" s="104"/>
      <c r="H6127" s="83"/>
      <c r="I6127" s="85"/>
      <c r="J6127" s="85"/>
    </row>
    <row r="6128" spans="2:10" ht="21" customHeight="1" x14ac:dyDescent="0.15">
      <c r="B6128" s="885" t="s">
        <v>874</v>
      </c>
      <c r="C6128" s="886"/>
      <c r="D6128" s="886"/>
      <c r="E6128" s="886"/>
      <c r="F6128" s="887"/>
      <c r="G6128" s="1"/>
      <c r="H6128" s="879" t="s">
        <v>20</v>
      </c>
      <c r="I6128" s="880"/>
    </row>
    <row r="6129" spans="2:9" ht="16.5" customHeight="1" x14ac:dyDescent="0.15">
      <c r="B6129" s="888" t="s">
        <v>875</v>
      </c>
      <c r="C6129" s="889"/>
      <c r="D6129" s="889"/>
      <c r="E6129" s="889"/>
      <c r="F6129" s="890"/>
      <c r="G6129" s="63"/>
      <c r="H6129" s="881"/>
      <c r="I6129" s="882"/>
    </row>
    <row r="6130" spans="2:9" ht="12.75" customHeight="1" x14ac:dyDescent="0.15">
      <c r="B6130" s="906" t="s">
        <v>876</v>
      </c>
      <c r="C6130" s="907"/>
      <c r="D6130" s="907"/>
      <c r="E6130" s="907"/>
      <c r="F6130" s="908"/>
      <c r="G6130" s="63"/>
      <c r="H6130" s="883"/>
      <c r="I6130" s="884"/>
    </row>
    <row r="6131" spans="2:9" ht="16.5" customHeight="1" thickBot="1" x14ac:dyDescent="0.2">
      <c r="B6131" s="909"/>
      <c r="C6131" s="910"/>
      <c r="D6131" s="910"/>
      <c r="E6131" s="910"/>
      <c r="F6131" s="911"/>
      <c r="G6131" s="1"/>
      <c r="H6131" s="873" t="s">
        <v>1212</v>
      </c>
      <c r="I6131" s="874"/>
    </row>
    <row r="6132" spans="2:9" ht="14" thickBot="1" x14ac:dyDescent="0.2">
      <c r="B6132" s="15"/>
      <c r="C6132" s="16"/>
      <c r="D6132" s="1"/>
      <c r="E6132" s="1"/>
      <c r="F6132" s="1"/>
      <c r="G6132" s="1"/>
      <c r="H6132" s="875"/>
      <c r="I6132" s="876"/>
    </row>
    <row r="6133" spans="2:9" ht="12.75" customHeight="1" x14ac:dyDescent="0.15">
      <c r="B6133" s="922" t="s">
        <v>836</v>
      </c>
      <c r="C6133" s="923"/>
      <c r="D6133" s="923"/>
      <c r="E6133" s="923"/>
      <c r="F6133" s="924"/>
      <c r="G6133" s="1"/>
      <c r="H6133" s="875"/>
      <c r="I6133" s="876"/>
    </row>
    <row r="6134" spans="2:9" ht="12.75" customHeight="1" x14ac:dyDescent="0.15">
      <c r="B6134" s="925"/>
      <c r="C6134" s="926"/>
      <c r="D6134" s="926"/>
      <c r="E6134" s="926"/>
      <c r="F6134" s="927"/>
      <c r="G6134" s="1"/>
      <c r="H6134" s="875"/>
      <c r="I6134" s="876"/>
    </row>
    <row r="6135" spans="2:9" ht="13.5" customHeight="1" x14ac:dyDescent="0.15">
      <c r="B6135" s="925"/>
      <c r="C6135" s="926"/>
      <c r="D6135" s="926"/>
      <c r="E6135" s="926"/>
      <c r="F6135" s="927"/>
      <c r="G6135" s="11"/>
      <c r="H6135" s="877"/>
      <c r="I6135" s="878"/>
    </row>
    <row r="6136" spans="2:9" ht="21.75" customHeight="1" thickBot="1" x14ac:dyDescent="0.2">
      <c r="B6136" s="928"/>
      <c r="C6136" s="929"/>
      <c r="D6136" s="929"/>
      <c r="E6136" s="929"/>
      <c r="F6136" s="930"/>
      <c r="H6136" s="64" t="s">
        <v>45</v>
      </c>
      <c r="I6136" s="17" t="s">
        <v>319</v>
      </c>
    </row>
    <row r="6137" spans="2:9" x14ac:dyDescent="0.15">
      <c r="B6137" s="18"/>
      <c r="C6137" s="18"/>
      <c r="D6137" s="1"/>
      <c r="E6137" s="18"/>
      <c r="F6137" s="18"/>
      <c r="G6137" s="18"/>
      <c r="H6137" s="18"/>
      <c r="I6137" s="1"/>
    </row>
    <row r="6138" spans="2:9" ht="14" thickBot="1" x14ac:dyDescent="0.2">
      <c r="B6138" s="12" t="s">
        <v>21</v>
      </c>
      <c r="C6138" s="12"/>
      <c r="D6138" s="1"/>
      <c r="E6138" s="1"/>
      <c r="F6138" s="1"/>
      <c r="G6138" s="1"/>
      <c r="H6138" s="1"/>
      <c r="I6138" s="1"/>
    </row>
    <row r="6139" spans="2:9" x14ac:dyDescent="0.15">
      <c r="B6139" s="903" t="s">
        <v>22</v>
      </c>
      <c r="C6139" s="904"/>
      <c r="D6139" s="905"/>
      <c r="E6139" s="209" t="s">
        <v>23</v>
      </c>
      <c r="F6139" s="19" t="s">
        <v>47</v>
      </c>
      <c r="G6139" s="209" t="s">
        <v>24</v>
      </c>
      <c r="H6139" s="208" t="s">
        <v>25</v>
      </c>
      <c r="I6139" s="43"/>
    </row>
    <row r="6140" spans="2:9" x14ac:dyDescent="0.15">
      <c r="B6140" s="897" t="s">
        <v>56</v>
      </c>
      <c r="C6140" s="898"/>
      <c r="D6140" s="899"/>
      <c r="E6140" s="5"/>
      <c r="F6140" s="162"/>
      <c r="G6140" s="58"/>
      <c r="H6140" s="162">
        <f>I6162*0.05</f>
        <v>1453.4697916666667</v>
      </c>
      <c r="I6140" s="44"/>
    </row>
    <row r="6141" spans="2:9" x14ac:dyDescent="0.15">
      <c r="B6141" s="897"/>
      <c r="C6141" s="898"/>
      <c r="D6141" s="899"/>
      <c r="E6141" s="5"/>
      <c r="F6141" s="162"/>
      <c r="G6141" s="58"/>
      <c r="H6141" s="162"/>
      <c r="I6141" s="44"/>
    </row>
    <row r="6142" spans="2:9" ht="14" thickBot="1" x14ac:dyDescent="0.2">
      <c r="B6142" s="900"/>
      <c r="C6142" s="901"/>
      <c r="D6142" s="902"/>
      <c r="E6142" s="21"/>
      <c r="F6142" s="22"/>
      <c r="G6142" s="23"/>
      <c r="H6142" s="47"/>
      <c r="I6142" s="48"/>
    </row>
    <row r="6143" spans="2:9" ht="14" thickBot="1" x14ac:dyDescent="0.2">
      <c r="B6143" s="1"/>
      <c r="C6143" s="1"/>
      <c r="D6143" s="1"/>
      <c r="E6143" s="1"/>
      <c r="F6143" s="1"/>
      <c r="G6143" s="1"/>
      <c r="H6143" s="37" t="s">
        <v>26</v>
      </c>
      <c r="I6143" s="163">
        <f>SUM(H6140:H6142)</f>
        <v>1453.4697916666667</v>
      </c>
    </row>
    <row r="6144" spans="2:9" ht="14" thickBot="1" x14ac:dyDescent="0.2">
      <c r="B6144" s="12" t="s">
        <v>27</v>
      </c>
      <c r="C6144" s="12"/>
      <c r="D6144" s="1"/>
      <c r="E6144" s="1"/>
      <c r="F6144" s="1"/>
      <c r="G6144" s="1"/>
      <c r="H6144" s="1"/>
      <c r="I6144" s="1"/>
    </row>
    <row r="6145" spans="2:11" x14ac:dyDescent="0.15">
      <c r="B6145" s="903" t="s">
        <v>22</v>
      </c>
      <c r="C6145" s="904"/>
      <c r="D6145" s="905"/>
      <c r="E6145" s="209" t="s">
        <v>28</v>
      </c>
      <c r="F6145" s="209" t="s">
        <v>29</v>
      </c>
      <c r="G6145" s="209" t="s">
        <v>30</v>
      </c>
      <c r="H6145" s="208" t="s">
        <v>25</v>
      </c>
      <c r="I6145" s="43"/>
    </row>
    <row r="6146" spans="2:11" x14ac:dyDescent="0.15">
      <c r="B6146" s="4" t="s">
        <v>1129</v>
      </c>
      <c r="C6146" s="24"/>
      <c r="D6146" s="6"/>
      <c r="E6146" s="3" t="s">
        <v>19</v>
      </c>
      <c r="F6146" s="164">
        <v>40000</v>
      </c>
      <c r="G6146" s="65">
        <v>1</v>
      </c>
      <c r="H6146" s="165">
        <f t="shared" ref="H6146" si="43">G6146*F6146</f>
        <v>40000</v>
      </c>
      <c r="I6146" s="44"/>
    </row>
    <row r="6147" spans="2:11" x14ac:dyDescent="0.15">
      <c r="B6147" s="4"/>
      <c r="C6147" s="24"/>
      <c r="D6147" s="6"/>
      <c r="E6147" s="3"/>
      <c r="F6147" s="164"/>
      <c r="G6147" s="65"/>
      <c r="H6147" s="165"/>
      <c r="I6147" s="44"/>
    </row>
    <row r="6148" spans="2:11" x14ac:dyDescent="0.15">
      <c r="B6148" s="4"/>
      <c r="C6148" s="24"/>
      <c r="D6148" s="6"/>
      <c r="E6148" s="3"/>
      <c r="F6148" s="164"/>
      <c r="G6148" s="65"/>
      <c r="H6148" s="165"/>
      <c r="I6148" s="44"/>
    </row>
    <row r="6149" spans="2:11" x14ac:dyDescent="0.15">
      <c r="B6149" s="4"/>
      <c r="C6149" s="24"/>
      <c r="D6149" s="6"/>
      <c r="E6149" s="3"/>
      <c r="F6149" s="164"/>
      <c r="G6149" s="182"/>
      <c r="H6149" s="165"/>
      <c r="I6149" s="44"/>
    </row>
    <row r="6150" spans="2:11" ht="14" thickBot="1" x14ac:dyDescent="0.2">
      <c r="B6150" s="25"/>
      <c r="C6150" s="26"/>
      <c r="D6150" s="27"/>
      <c r="E6150" s="21"/>
      <c r="F6150" s="22"/>
      <c r="G6150" s="167"/>
      <c r="H6150" s="47"/>
      <c r="I6150" s="48"/>
    </row>
    <row r="6151" spans="2:11" ht="14" thickBot="1" x14ac:dyDescent="0.2">
      <c r="B6151" s="1"/>
      <c r="C6151" s="1"/>
      <c r="D6151" s="1"/>
      <c r="E6151" s="1"/>
      <c r="F6151" s="1"/>
      <c r="G6151" s="1"/>
      <c r="H6151" s="37" t="s">
        <v>26</v>
      </c>
      <c r="I6151" s="163">
        <f>SUM(H6146:H6149)</f>
        <v>40000</v>
      </c>
    </row>
    <row r="6152" spans="2:11" ht="14" thickBot="1" x14ac:dyDescent="0.2">
      <c r="B6152" s="28" t="s">
        <v>31</v>
      </c>
      <c r="C6152" s="28"/>
      <c r="D6152" s="26"/>
      <c r="E6152" s="1"/>
      <c r="F6152" s="1"/>
      <c r="G6152" s="1"/>
      <c r="H6152" s="1"/>
      <c r="I6152" s="1"/>
    </row>
    <row r="6153" spans="2:11" x14ac:dyDescent="0.15">
      <c r="B6153" s="51" t="s">
        <v>32</v>
      </c>
      <c r="C6153" s="52"/>
      <c r="D6153" s="97" t="s">
        <v>33</v>
      </c>
      <c r="E6153" s="209" t="s">
        <v>34</v>
      </c>
      <c r="F6153" s="209" t="s">
        <v>35</v>
      </c>
      <c r="G6153" s="209" t="s">
        <v>36</v>
      </c>
      <c r="H6153" s="59" t="s">
        <v>25</v>
      </c>
      <c r="I6153" s="43"/>
    </row>
    <row r="6154" spans="2:11" x14ac:dyDescent="0.15">
      <c r="B6154" s="4" t="s">
        <v>79</v>
      </c>
      <c r="C6154" s="6"/>
      <c r="D6154" s="53">
        <v>0.1</v>
      </c>
      <c r="E6154" s="2">
        <v>43</v>
      </c>
      <c r="F6154" s="2">
        <f>E6154*D6154</f>
        <v>4.3</v>
      </c>
      <c r="G6154" s="58">
        <v>1100</v>
      </c>
      <c r="H6154" s="20">
        <f>G6154*F6154</f>
        <v>4730</v>
      </c>
      <c r="I6154" s="44"/>
    </row>
    <row r="6155" spans="2:11" ht="14" thickBot="1" x14ac:dyDescent="0.2">
      <c r="B6155" s="33"/>
      <c r="C6155" s="54"/>
      <c r="D6155" s="21"/>
      <c r="E6155" s="22"/>
      <c r="F6155" s="23"/>
      <c r="G6155" s="47"/>
      <c r="H6155" s="21"/>
      <c r="I6155" s="48"/>
    </row>
    <row r="6156" spans="2:11" ht="14" thickBot="1" x14ac:dyDescent="0.2">
      <c r="B6156" s="1"/>
      <c r="C6156" s="1"/>
      <c r="D6156" s="1"/>
      <c r="E6156" s="1"/>
      <c r="F6156" s="1"/>
      <c r="G6156" s="1"/>
      <c r="H6156" s="37" t="s">
        <v>26</v>
      </c>
      <c r="I6156" s="163">
        <f>SUM(H6154:H6155)</f>
        <v>4730</v>
      </c>
    </row>
    <row r="6157" spans="2:11" ht="14" thickBot="1" x14ac:dyDescent="0.2">
      <c r="B6157" s="28" t="s">
        <v>37</v>
      </c>
      <c r="C6157" s="28"/>
      <c r="D6157" s="1"/>
      <c r="E6157" s="1"/>
      <c r="F6157" s="1"/>
      <c r="G6157" s="1"/>
      <c r="H6157" s="1"/>
      <c r="I6157" s="1"/>
    </row>
    <row r="6158" spans="2:11" x14ac:dyDescent="0.15">
      <c r="B6158" s="51" t="s">
        <v>38</v>
      </c>
      <c r="C6158" s="86"/>
      <c r="D6158" s="31" t="s">
        <v>39</v>
      </c>
      <c r="E6158" s="209" t="s">
        <v>40</v>
      </c>
      <c r="F6158" s="19" t="s">
        <v>41</v>
      </c>
      <c r="G6158" s="31" t="s">
        <v>24</v>
      </c>
      <c r="H6158" s="208" t="s">
        <v>25</v>
      </c>
      <c r="I6158" s="43"/>
    </row>
    <row r="6159" spans="2:11" x14ac:dyDescent="0.15">
      <c r="B6159" s="4" t="s">
        <v>1128</v>
      </c>
      <c r="C6159" s="24"/>
      <c r="D6159" s="32">
        <f>'MANO DE OBRA'!E15</f>
        <v>95333</v>
      </c>
      <c r="E6159" s="88">
        <v>1.75</v>
      </c>
      <c r="F6159" s="164">
        <f>+E6159*D6159</f>
        <v>166832.75</v>
      </c>
      <c r="G6159" s="20">
        <v>12</v>
      </c>
      <c r="H6159" s="169">
        <f>+F6159/G6159</f>
        <v>13902.729166666666</v>
      </c>
      <c r="I6159" s="44"/>
      <c r="K6159" s="106"/>
    </row>
    <row r="6160" spans="2:11" x14ac:dyDescent="0.15">
      <c r="B6160" s="4" t="s">
        <v>55</v>
      </c>
      <c r="C6160" s="24"/>
      <c r="D6160" s="32">
        <f>'MANO DE OBRA'!E14*2</f>
        <v>104000</v>
      </c>
      <c r="E6160" s="88">
        <v>1.75</v>
      </c>
      <c r="F6160" s="164">
        <f>+E6160*D6160</f>
        <v>182000</v>
      </c>
      <c r="G6160" s="20">
        <v>12</v>
      </c>
      <c r="H6160" s="169">
        <f>+F6160/G6160</f>
        <v>15166.666666666666</v>
      </c>
      <c r="I6160" s="44"/>
    </row>
    <row r="6161" spans="2:11" ht="14" thickBot="1" x14ac:dyDescent="0.2">
      <c r="B6161" s="33"/>
      <c r="C6161" s="34"/>
      <c r="D6161" s="22"/>
      <c r="E6161" s="21"/>
      <c r="F6161" s="22"/>
      <c r="G6161" s="23"/>
      <c r="H6161" s="47"/>
      <c r="I6161" s="48"/>
    </row>
    <row r="6162" spans="2:11" ht="14" thickBot="1" x14ac:dyDescent="0.2">
      <c r="B6162" s="1"/>
      <c r="C6162" s="1"/>
      <c r="D6162" s="1"/>
      <c r="E6162" s="1"/>
      <c r="F6162" s="1"/>
      <c r="G6162" s="1"/>
      <c r="H6162" s="37" t="s">
        <v>26</v>
      </c>
      <c r="I6162" s="177">
        <f>SUM(H6159:H6160)</f>
        <v>29069.395833333332</v>
      </c>
    </row>
    <row r="6163" spans="2:11" ht="14" thickBot="1" x14ac:dyDescent="0.2">
      <c r="B6163" s="1"/>
      <c r="C6163" s="1"/>
      <c r="D6163" s="1"/>
      <c r="E6163" s="1"/>
      <c r="F6163" s="1"/>
      <c r="G6163" s="1"/>
      <c r="H6163" s="61"/>
      <c r="I6163" s="1"/>
    </row>
    <row r="6164" spans="2:11" ht="15" thickBot="1" x14ac:dyDescent="0.2">
      <c r="B6164" s="1"/>
      <c r="C6164" s="1"/>
      <c r="D6164" s="1"/>
      <c r="E6164" s="1"/>
      <c r="F6164" s="35" t="s">
        <v>43</v>
      </c>
      <c r="G6164" s="16"/>
      <c r="H6164" s="16"/>
      <c r="I6164" s="232">
        <f>ROUND((I6143+I6151+I6156+I6162),0)</f>
        <v>75253</v>
      </c>
    </row>
    <row r="6165" spans="2:11" x14ac:dyDescent="0.15">
      <c r="B6165" s="12"/>
      <c r="C6165" s="12"/>
      <c r="D6165" s="1"/>
      <c r="E6165" s="1"/>
      <c r="F6165" s="1"/>
      <c r="G6165" s="1"/>
      <c r="H6165" s="172"/>
      <c r="I6165" s="172"/>
    </row>
    <row r="6166" spans="2:11" x14ac:dyDescent="0.15">
      <c r="B6166" s="16"/>
      <c r="C6166" s="16"/>
      <c r="D6166" s="16"/>
      <c r="E6166" s="16"/>
      <c r="F6166" s="16"/>
      <c r="G6166" s="61"/>
      <c r="H6166" s="173"/>
      <c r="I6166" s="172"/>
    </row>
    <row r="6167" spans="2:11" x14ac:dyDescent="0.15">
      <c r="B6167" s="1"/>
      <c r="C6167" s="1"/>
      <c r="D6167" s="1"/>
      <c r="E6167" s="1"/>
      <c r="F6167" s="1"/>
      <c r="G6167" s="161"/>
      <c r="H6167" s="172"/>
      <c r="I6167" s="172"/>
      <c r="K6167" s="174"/>
    </row>
    <row r="6168" spans="2:11" x14ac:dyDescent="0.15">
      <c r="B6168" s="1"/>
      <c r="C6168" s="1"/>
      <c r="D6168" s="1"/>
      <c r="E6168" s="1"/>
      <c r="F6168" s="1"/>
      <c r="G6168" s="161"/>
      <c r="H6168" s="172"/>
      <c r="I6168" s="172"/>
    </row>
    <row r="6169" spans="2:11" x14ac:dyDescent="0.15">
      <c r="B6169" s="1"/>
      <c r="C6169" s="1"/>
      <c r="D6169" s="1"/>
      <c r="E6169" s="1"/>
      <c r="F6169" s="1"/>
      <c r="G6169" s="161"/>
      <c r="H6169" s="172"/>
      <c r="I6169" s="172"/>
    </row>
    <row r="6170" spans="2:11" ht="14" x14ac:dyDescent="0.15">
      <c r="B6170" s="83"/>
      <c r="C6170" s="11"/>
      <c r="D6170" s="1"/>
      <c r="E6170" s="916"/>
      <c r="F6170" s="916"/>
      <c r="G6170" s="916"/>
      <c r="H6170" s="916"/>
      <c r="I6170" s="171"/>
    </row>
    <row r="6171" spans="2:11" ht="14" x14ac:dyDescent="0.15">
      <c r="B6171" s="102"/>
      <c r="C6171" s="11"/>
      <c r="D6171" s="1"/>
      <c r="E6171" s="155"/>
      <c r="F6171" s="155"/>
      <c r="G6171" s="155"/>
      <c r="H6171" s="155"/>
      <c r="I6171" s="171"/>
    </row>
    <row r="6172" spans="2:11" ht="14" x14ac:dyDescent="0.15">
      <c r="B6172" s="83"/>
      <c r="C6172" s="11"/>
      <c r="D6172" s="1"/>
      <c r="E6172" s="155"/>
      <c r="F6172" s="155"/>
      <c r="G6172" s="155"/>
      <c r="H6172" s="155"/>
      <c r="I6172" s="171"/>
    </row>
    <row r="6173" spans="2:11" x14ac:dyDescent="0.15">
      <c r="B6173" s="11"/>
      <c r="C6173" s="11"/>
      <c r="D6173" s="1"/>
      <c r="E6173" s="155"/>
      <c r="F6173" s="155"/>
      <c r="G6173" s="155"/>
      <c r="H6173" s="155"/>
      <c r="I6173" s="171"/>
    </row>
    <row r="6174" spans="2:11" x14ac:dyDescent="0.15">
      <c r="B6174" s="11"/>
      <c r="C6174" s="11"/>
      <c r="D6174" s="1"/>
      <c r="E6174" s="155"/>
      <c r="F6174" s="155"/>
      <c r="G6174" s="155"/>
      <c r="H6174" s="155"/>
      <c r="I6174" s="171"/>
    </row>
    <row r="6175" spans="2:11" x14ac:dyDescent="0.15">
      <c r="B6175" s="11"/>
      <c r="C6175" s="11"/>
      <c r="D6175" s="1"/>
      <c r="E6175" s="155"/>
      <c r="F6175" s="155"/>
      <c r="G6175" s="155"/>
      <c r="H6175" s="155"/>
      <c r="I6175" s="171"/>
    </row>
    <row r="6176" spans="2:11" x14ac:dyDescent="0.15">
      <c r="B6176" s="11"/>
      <c r="C6176" s="11"/>
      <c r="D6176" s="1"/>
      <c r="E6176" s="155"/>
      <c r="F6176" s="155"/>
      <c r="G6176" s="155"/>
      <c r="H6176" s="155"/>
      <c r="I6176" s="171"/>
    </row>
    <row r="6177" spans="2:10" x14ac:dyDescent="0.15">
      <c r="B6177" s="11"/>
      <c r="C6177" s="11"/>
      <c r="D6177" s="1"/>
      <c r="E6177" s="155"/>
      <c r="F6177" s="155"/>
      <c r="G6177" s="155"/>
      <c r="H6177" s="155"/>
      <c r="I6177" s="171"/>
    </row>
    <row r="6178" spans="2:10" x14ac:dyDescent="0.15">
      <c r="B6178" s="11"/>
      <c r="C6178" s="11"/>
      <c r="D6178" s="1"/>
      <c r="E6178" s="155"/>
      <c r="F6178" s="155"/>
      <c r="G6178" s="155"/>
      <c r="H6178" s="155"/>
      <c r="I6178" s="171"/>
    </row>
    <row r="6179" spans="2:10" x14ac:dyDescent="0.15">
      <c r="B6179" s="11"/>
      <c r="C6179" s="11"/>
      <c r="D6179" s="1"/>
      <c r="E6179" s="155"/>
      <c r="F6179" s="155"/>
      <c r="G6179" s="155"/>
      <c r="H6179" s="155"/>
      <c r="I6179" s="171"/>
    </row>
    <row r="6180" spans="2:10" x14ac:dyDescent="0.15">
      <c r="B6180" s="11"/>
      <c r="C6180" s="11"/>
      <c r="D6180" s="1"/>
      <c r="E6180" s="155"/>
      <c r="F6180" s="155"/>
      <c r="G6180" s="155"/>
      <c r="H6180" s="155"/>
      <c r="I6180" s="171"/>
    </row>
    <row r="6181" spans="2:10" x14ac:dyDescent="0.15">
      <c r="B6181" s="11"/>
      <c r="C6181" s="11"/>
      <c r="D6181" s="1"/>
      <c r="E6181" s="155"/>
      <c r="F6181" s="155"/>
      <c r="G6181" s="155"/>
      <c r="H6181" s="155"/>
      <c r="I6181" s="171"/>
    </row>
    <row r="6182" spans="2:10" ht="14" x14ac:dyDescent="0.15">
      <c r="B6182" s="102"/>
      <c r="C6182" s="83"/>
      <c r="D6182" s="84"/>
      <c r="E6182" s="83"/>
      <c r="F6182" s="83"/>
      <c r="G6182" s="103"/>
      <c r="H6182" s="83"/>
      <c r="I6182" s="85"/>
      <c r="J6182" s="85"/>
    </row>
    <row r="6183" spans="2:10" ht="15" thickBot="1" x14ac:dyDescent="0.2">
      <c r="B6183" s="83"/>
      <c r="C6183" s="83"/>
      <c r="D6183" s="84"/>
      <c r="E6183" s="83"/>
      <c r="F6183" s="83"/>
      <c r="G6183" s="104"/>
      <c r="H6183" s="83"/>
      <c r="I6183" s="85"/>
      <c r="J6183" s="85"/>
    </row>
    <row r="6184" spans="2:10" ht="21" customHeight="1" x14ac:dyDescent="0.15">
      <c r="B6184" s="885" t="s">
        <v>874</v>
      </c>
      <c r="C6184" s="886"/>
      <c r="D6184" s="886"/>
      <c r="E6184" s="886"/>
      <c r="F6184" s="887"/>
      <c r="G6184" s="1"/>
      <c r="H6184" s="879" t="s">
        <v>20</v>
      </c>
      <c r="I6184" s="880"/>
    </row>
    <row r="6185" spans="2:10" ht="16.5" customHeight="1" x14ac:dyDescent="0.15">
      <c r="B6185" s="888" t="s">
        <v>875</v>
      </c>
      <c r="C6185" s="889"/>
      <c r="D6185" s="889"/>
      <c r="E6185" s="889"/>
      <c r="F6185" s="890"/>
      <c r="G6185" s="63"/>
      <c r="H6185" s="881"/>
      <c r="I6185" s="882"/>
    </row>
    <row r="6186" spans="2:10" ht="12.75" customHeight="1" x14ac:dyDescent="0.15">
      <c r="B6186" s="906" t="s">
        <v>876</v>
      </c>
      <c r="C6186" s="907"/>
      <c r="D6186" s="907"/>
      <c r="E6186" s="907"/>
      <c r="F6186" s="908"/>
      <c r="G6186" s="63"/>
      <c r="H6186" s="883"/>
      <c r="I6186" s="884"/>
    </row>
    <row r="6187" spans="2:10" ht="16.5" customHeight="1" thickBot="1" x14ac:dyDescent="0.2">
      <c r="B6187" s="909"/>
      <c r="C6187" s="910"/>
      <c r="D6187" s="910"/>
      <c r="E6187" s="910"/>
      <c r="F6187" s="911"/>
      <c r="G6187" s="1"/>
      <c r="H6187" s="873" t="s">
        <v>1213</v>
      </c>
      <c r="I6187" s="874"/>
    </row>
    <row r="6188" spans="2:10" ht="14" thickBot="1" x14ac:dyDescent="0.2">
      <c r="B6188" s="15"/>
      <c r="C6188" s="16"/>
      <c r="D6188" s="1"/>
      <c r="E6188" s="1"/>
      <c r="F6188" s="1"/>
      <c r="G6188" s="1"/>
      <c r="H6188" s="875"/>
      <c r="I6188" s="876"/>
    </row>
    <row r="6189" spans="2:10" ht="12.75" customHeight="1" x14ac:dyDescent="0.15">
      <c r="B6189" s="922" t="s">
        <v>836</v>
      </c>
      <c r="C6189" s="923"/>
      <c r="D6189" s="923"/>
      <c r="E6189" s="923"/>
      <c r="F6189" s="924"/>
      <c r="G6189" s="1"/>
      <c r="H6189" s="875"/>
      <c r="I6189" s="876"/>
    </row>
    <row r="6190" spans="2:10" ht="12.75" customHeight="1" x14ac:dyDescent="0.15">
      <c r="B6190" s="925"/>
      <c r="C6190" s="926"/>
      <c r="D6190" s="926"/>
      <c r="E6190" s="926"/>
      <c r="F6190" s="927"/>
      <c r="G6190" s="1"/>
      <c r="H6190" s="875"/>
      <c r="I6190" s="876"/>
    </row>
    <row r="6191" spans="2:10" ht="13.5" customHeight="1" x14ac:dyDescent="0.15">
      <c r="B6191" s="925"/>
      <c r="C6191" s="926"/>
      <c r="D6191" s="926"/>
      <c r="E6191" s="926"/>
      <c r="F6191" s="927"/>
      <c r="G6191" s="11"/>
      <c r="H6191" s="877"/>
      <c r="I6191" s="878"/>
    </row>
    <row r="6192" spans="2:10" ht="21.75" customHeight="1" thickBot="1" x14ac:dyDescent="0.2">
      <c r="B6192" s="928"/>
      <c r="C6192" s="929"/>
      <c r="D6192" s="929"/>
      <c r="E6192" s="929"/>
      <c r="F6192" s="930"/>
      <c r="H6192" s="64" t="s">
        <v>45</v>
      </c>
      <c r="I6192" s="17" t="s">
        <v>319</v>
      </c>
    </row>
    <row r="6193" spans="2:9" x14ac:dyDescent="0.15">
      <c r="B6193" s="18"/>
      <c r="C6193" s="18"/>
      <c r="D6193" s="1"/>
      <c r="E6193" s="18"/>
      <c r="F6193" s="18"/>
      <c r="G6193" s="18"/>
      <c r="H6193" s="18"/>
      <c r="I6193" s="1"/>
    </row>
    <row r="6194" spans="2:9" ht="14" thickBot="1" x14ac:dyDescent="0.2">
      <c r="B6194" s="12" t="s">
        <v>21</v>
      </c>
      <c r="C6194" s="12"/>
      <c r="D6194" s="1"/>
      <c r="E6194" s="1"/>
      <c r="F6194" s="1"/>
      <c r="G6194" s="1"/>
      <c r="H6194" s="1"/>
      <c r="I6194" s="1"/>
    </row>
    <row r="6195" spans="2:9" x14ac:dyDescent="0.15">
      <c r="B6195" s="903" t="s">
        <v>22</v>
      </c>
      <c r="C6195" s="904"/>
      <c r="D6195" s="905"/>
      <c r="E6195" s="209" t="s">
        <v>23</v>
      </c>
      <c r="F6195" s="19" t="s">
        <v>47</v>
      </c>
      <c r="G6195" s="209" t="s">
        <v>24</v>
      </c>
      <c r="H6195" s="208" t="s">
        <v>25</v>
      </c>
      <c r="I6195" s="43"/>
    </row>
    <row r="6196" spans="2:9" x14ac:dyDescent="0.15">
      <c r="B6196" s="897" t="s">
        <v>56</v>
      </c>
      <c r="C6196" s="898"/>
      <c r="D6196" s="899"/>
      <c r="E6196" s="5"/>
      <c r="F6196" s="162"/>
      <c r="G6196" s="58"/>
      <c r="H6196" s="162">
        <f>I6218*0.05</f>
        <v>1162.7758333333334</v>
      </c>
      <c r="I6196" s="44"/>
    </row>
    <row r="6197" spans="2:9" x14ac:dyDescent="0.15">
      <c r="B6197" s="897"/>
      <c r="C6197" s="898"/>
      <c r="D6197" s="899"/>
      <c r="E6197" s="5"/>
      <c r="F6197" s="162"/>
      <c r="G6197" s="58"/>
      <c r="H6197" s="162"/>
      <c r="I6197" s="44"/>
    </row>
    <row r="6198" spans="2:9" ht="14" thickBot="1" x14ac:dyDescent="0.2">
      <c r="B6198" s="900"/>
      <c r="C6198" s="901"/>
      <c r="D6198" s="902"/>
      <c r="E6198" s="21"/>
      <c r="F6198" s="22"/>
      <c r="G6198" s="23"/>
      <c r="H6198" s="47"/>
      <c r="I6198" s="48"/>
    </row>
    <row r="6199" spans="2:9" ht="14" thickBot="1" x14ac:dyDescent="0.2">
      <c r="B6199" s="1"/>
      <c r="C6199" s="1"/>
      <c r="D6199" s="1"/>
      <c r="E6199" s="1"/>
      <c r="F6199" s="1"/>
      <c r="G6199" s="1"/>
      <c r="H6199" s="37" t="s">
        <v>26</v>
      </c>
      <c r="I6199" s="163">
        <f>SUM(H6196:H6198)</f>
        <v>1162.7758333333334</v>
      </c>
    </row>
    <row r="6200" spans="2:9" ht="14" thickBot="1" x14ac:dyDescent="0.2">
      <c r="B6200" s="12" t="s">
        <v>27</v>
      </c>
      <c r="C6200" s="12"/>
      <c r="D6200" s="1"/>
      <c r="E6200" s="1"/>
      <c r="F6200" s="1"/>
      <c r="G6200" s="1"/>
      <c r="H6200" s="1"/>
      <c r="I6200" s="1"/>
    </row>
    <row r="6201" spans="2:9" x14ac:dyDescent="0.15">
      <c r="B6201" s="903" t="s">
        <v>22</v>
      </c>
      <c r="C6201" s="904"/>
      <c r="D6201" s="905"/>
      <c r="E6201" s="209" t="s">
        <v>28</v>
      </c>
      <c r="F6201" s="209" t="s">
        <v>29</v>
      </c>
      <c r="G6201" s="209" t="s">
        <v>30</v>
      </c>
      <c r="H6201" s="208" t="s">
        <v>25</v>
      </c>
      <c r="I6201" s="43"/>
    </row>
    <row r="6202" spans="2:9" x14ac:dyDescent="0.15">
      <c r="B6202" s="4" t="s">
        <v>1129</v>
      </c>
      <c r="C6202" s="24"/>
      <c r="D6202" s="6"/>
      <c r="E6202" s="3" t="s">
        <v>19</v>
      </c>
      <c r="F6202" s="164">
        <v>30000</v>
      </c>
      <c r="G6202" s="65">
        <v>1</v>
      </c>
      <c r="H6202" s="165">
        <f t="shared" ref="H6202" si="44">G6202*F6202</f>
        <v>30000</v>
      </c>
      <c r="I6202" s="44"/>
    </row>
    <row r="6203" spans="2:9" x14ac:dyDescent="0.15">
      <c r="B6203" s="4"/>
      <c r="C6203" s="24"/>
      <c r="D6203" s="6"/>
      <c r="E6203" s="3"/>
      <c r="F6203" s="164"/>
      <c r="G6203" s="65"/>
      <c r="H6203" s="165"/>
      <c r="I6203" s="44"/>
    </row>
    <row r="6204" spans="2:9" x14ac:dyDescent="0.15">
      <c r="B6204" s="4"/>
      <c r="C6204" s="24"/>
      <c r="D6204" s="6"/>
      <c r="E6204" s="3"/>
      <c r="F6204" s="164"/>
      <c r="G6204" s="65"/>
      <c r="H6204" s="165"/>
      <c r="I6204" s="44"/>
    </row>
    <row r="6205" spans="2:9" x14ac:dyDescent="0.15">
      <c r="B6205" s="4"/>
      <c r="C6205" s="24"/>
      <c r="D6205" s="6"/>
      <c r="E6205" s="3"/>
      <c r="F6205" s="164"/>
      <c r="G6205" s="182"/>
      <c r="H6205" s="165"/>
      <c r="I6205" s="44"/>
    </row>
    <row r="6206" spans="2:9" ht="14" thickBot="1" x14ac:dyDescent="0.2">
      <c r="B6206" s="25"/>
      <c r="C6206" s="26"/>
      <c r="D6206" s="27"/>
      <c r="E6206" s="21"/>
      <c r="F6206" s="22"/>
      <c r="G6206" s="167"/>
      <c r="H6206" s="47"/>
      <c r="I6206" s="48"/>
    </row>
    <row r="6207" spans="2:9" ht="14" thickBot="1" x14ac:dyDescent="0.2">
      <c r="B6207" s="1"/>
      <c r="C6207" s="1"/>
      <c r="D6207" s="1"/>
      <c r="E6207" s="1"/>
      <c r="F6207" s="1"/>
      <c r="G6207" s="1"/>
      <c r="H6207" s="37" t="s">
        <v>26</v>
      </c>
      <c r="I6207" s="163">
        <f>SUM(H6202:H6205)</f>
        <v>30000</v>
      </c>
    </row>
    <row r="6208" spans="2:9" ht="14" thickBot="1" x14ac:dyDescent="0.2">
      <c r="B6208" s="28" t="s">
        <v>31</v>
      </c>
      <c r="C6208" s="28"/>
      <c r="D6208" s="26"/>
      <c r="E6208" s="1"/>
      <c r="F6208" s="1"/>
      <c r="G6208" s="1"/>
      <c r="H6208" s="1"/>
      <c r="I6208" s="1"/>
    </row>
    <row r="6209" spans="2:11" x14ac:dyDescent="0.15">
      <c r="B6209" s="51" t="s">
        <v>32</v>
      </c>
      <c r="C6209" s="52"/>
      <c r="D6209" s="97" t="s">
        <v>33</v>
      </c>
      <c r="E6209" s="209" t="s">
        <v>34</v>
      </c>
      <c r="F6209" s="209" t="s">
        <v>35</v>
      </c>
      <c r="G6209" s="209" t="s">
        <v>36</v>
      </c>
      <c r="H6209" s="59" t="s">
        <v>25</v>
      </c>
      <c r="I6209" s="43"/>
    </row>
    <row r="6210" spans="2:11" x14ac:dyDescent="0.15">
      <c r="B6210" s="4" t="s">
        <v>79</v>
      </c>
      <c r="C6210" s="6"/>
      <c r="D6210" s="53">
        <v>0.1</v>
      </c>
      <c r="E6210" s="2">
        <v>43</v>
      </c>
      <c r="F6210" s="2">
        <f>E6210*D6210</f>
        <v>4.3</v>
      </c>
      <c r="G6210" s="58">
        <v>1100</v>
      </c>
      <c r="H6210" s="20">
        <f>G6210*F6210</f>
        <v>4730</v>
      </c>
      <c r="I6210" s="44"/>
    </row>
    <row r="6211" spans="2:11" ht="14" thickBot="1" x14ac:dyDescent="0.2">
      <c r="B6211" s="33"/>
      <c r="C6211" s="54"/>
      <c r="D6211" s="21"/>
      <c r="E6211" s="22"/>
      <c r="F6211" s="23"/>
      <c r="G6211" s="47"/>
      <c r="H6211" s="21"/>
      <c r="I6211" s="48"/>
    </row>
    <row r="6212" spans="2:11" ht="14" thickBot="1" x14ac:dyDescent="0.2">
      <c r="B6212" s="1"/>
      <c r="C6212" s="1"/>
      <c r="D6212" s="1"/>
      <c r="E6212" s="1"/>
      <c r="F6212" s="1"/>
      <c r="G6212" s="1"/>
      <c r="H6212" s="37" t="s">
        <v>26</v>
      </c>
      <c r="I6212" s="163">
        <f>SUM(H6210:H6211)</f>
        <v>4730</v>
      </c>
    </row>
    <row r="6213" spans="2:11" ht="14" thickBot="1" x14ac:dyDescent="0.2">
      <c r="B6213" s="28" t="s">
        <v>37</v>
      </c>
      <c r="C6213" s="28"/>
      <c r="D6213" s="1"/>
      <c r="E6213" s="1"/>
      <c r="F6213" s="1"/>
      <c r="G6213" s="1"/>
      <c r="H6213" s="1"/>
      <c r="I6213" s="1"/>
    </row>
    <row r="6214" spans="2:11" x14ac:dyDescent="0.15">
      <c r="B6214" s="51" t="s">
        <v>38</v>
      </c>
      <c r="C6214" s="86"/>
      <c r="D6214" s="31" t="s">
        <v>39</v>
      </c>
      <c r="E6214" s="209" t="s">
        <v>40</v>
      </c>
      <c r="F6214" s="19" t="s">
        <v>41</v>
      </c>
      <c r="G6214" s="31" t="s">
        <v>24</v>
      </c>
      <c r="H6214" s="208" t="s">
        <v>25</v>
      </c>
      <c r="I6214" s="43"/>
    </row>
    <row r="6215" spans="2:11" x14ac:dyDescent="0.15">
      <c r="B6215" s="4" t="s">
        <v>1128</v>
      </c>
      <c r="C6215" s="24"/>
      <c r="D6215" s="32">
        <f>'MANO DE OBRA'!E15</f>
        <v>95333</v>
      </c>
      <c r="E6215" s="88">
        <v>1.75</v>
      </c>
      <c r="F6215" s="164">
        <f>+E6215*D6215</f>
        <v>166832.75</v>
      </c>
      <c r="G6215" s="20">
        <v>15</v>
      </c>
      <c r="H6215" s="169">
        <f>+F6215/G6215</f>
        <v>11122.183333333332</v>
      </c>
      <c r="I6215" s="44"/>
      <c r="K6215" s="106"/>
    </row>
    <row r="6216" spans="2:11" x14ac:dyDescent="0.15">
      <c r="B6216" s="4" t="s">
        <v>55</v>
      </c>
      <c r="C6216" s="24"/>
      <c r="D6216" s="32">
        <f>'MANO DE OBRA'!E14*2</f>
        <v>104000</v>
      </c>
      <c r="E6216" s="88">
        <v>1.75</v>
      </c>
      <c r="F6216" s="164">
        <f>+E6216*D6216</f>
        <v>182000</v>
      </c>
      <c r="G6216" s="20">
        <v>15</v>
      </c>
      <c r="H6216" s="169">
        <f>+F6216/G6216</f>
        <v>12133.333333333334</v>
      </c>
      <c r="I6216" s="44"/>
    </row>
    <row r="6217" spans="2:11" ht="14" thickBot="1" x14ac:dyDescent="0.2">
      <c r="B6217" s="33"/>
      <c r="C6217" s="34"/>
      <c r="D6217" s="22"/>
      <c r="E6217" s="21"/>
      <c r="F6217" s="22"/>
      <c r="G6217" s="23"/>
      <c r="H6217" s="47"/>
      <c r="I6217" s="48"/>
    </row>
    <row r="6218" spans="2:11" ht="14" thickBot="1" x14ac:dyDescent="0.2">
      <c r="B6218" s="1"/>
      <c r="C6218" s="1"/>
      <c r="D6218" s="1"/>
      <c r="E6218" s="1"/>
      <c r="F6218" s="1"/>
      <c r="G6218" s="1"/>
      <c r="H6218" s="37" t="s">
        <v>26</v>
      </c>
      <c r="I6218" s="177">
        <f>SUM(H6215:H6216)</f>
        <v>23255.516666666666</v>
      </c>
    </row>
    <row r="6219" spans="2:11" ht="14" thickBot="1" x14ac:dyDescent="0.2">
      <c r="B6219" s="1"/>
      <c r="C6219" s="1"/>
      <c r="D6219" s="1"/>
      <c r="E6219" s="1"/>
      <c r="F6219" s="1"/>
      <c r="G6219" s="1"/>
      <c r="H6219" s="61"/>
      <c r="I6219" s="1"/>
    </row>
    <row r="6220" spans="2:11" ht="15" thickBot="1" x14ac:dyDescent="0.2">
      <c r="B6220" s="1"/>
      <c r="C6220" s="1"/>
      <c r="D6220" s="1"/>
      <c r="E6220" s="1"/>
      <c r="F6220" s="35" t="s">
        <v>43</v>
      </c>
      <c r="G6220" s="16"/>
      <c r="H6220" s="16"/>
      <c r="I6220" s="232">
        <f>ROUND((I6199+I6207+I6212+I6218),0)</f>
        <v>59148</v>
      </c>
    </row>
    <row r="6221" spans="2:11" x14ac:dyDescent="0.15">
      <c r="B6221" s="12"/>
      <c r="C6221" s="12"/>
      <c r="D6221" s="1"/>
      <c r="E6221" s="1"/>
      <c r="F6221" s="1"/>
      <c r="G6221" s="1"/>
      <c r="H6221" s="172"/>
      <c r="I6221" s="172"/>
    </row>
    <row r="6222" spans="2:11" x14ac:dyDescent="0.15">
      <c r="B6222" s="16"/>
      <c r="C6222" s="16"/>
      <c r="D6222" s="16"/>
      <c r="E6222" s="16"/>
      <c r="F6222" s="16"/>
      <c r="G6222" s="61"/>
      <c r="H6222" s="173"/>
      <c r="I6222" s="172"/>
    </row>
    <row r="6223" spans="2:11" x14ac:dyDescent="0.15">
      <c r="B6223" s="1"/>
      <c r="C6223" s="1"/>
      <c r="D6223" s="1"/>
      <c r="E6223" s="1"/>
      <c r="F6223" s="1"/>
      <c r="G6223" s="161"/>
      <c r="H6223" s="172"/>
      <c r="I6223" s="172"/>
      <c r="K6223" s="174"/>
    </row>
    <row r="6224" spans="2:11" x14ac:dyDescent="0.15">
      <c r="B6224" s="1"/>
      <c r="C6224" s="1"/>
      <c r="D6224" s="1"/>
      <c r="E6224" s="1"/>
      <c r="F6224" s="1"/>
      <c r="G6224" s="161"/>
      <c r="H6224" s="172"/>
      <c r="I6224" s="172"/>
    </row>
    <row r="6225" spans="2:10" x14ac:dyDescent="0.15">
      <c r="B6225" s="1"/>
      <c r="C6225" s="1"/>
      <c r="D6225" s="1"/>
      <c r="E6225" s="1"/>
      <c r="F6225" s="1"/>
      <c r="G6225" s="161"/>
      <c r="H6225" s="172"/>
      <c r="I6225" s="172"/>
    </row>
    <row r="6226" spans="2:10" ht="14" x14ac:dyDescent="0.15">
      <c r="B6226" s="83"/>
      <c r="C6226" s="11"/>
      <c r="D6226" s="1"/>
      <c r="E6226" s="916"/>
      <c r="F6226" s="916"/>
      <c r="G6226" s="916"/>
      <c r="H6226" s="916"/>
      <c r="I6226" s="171"/>
    </row>
    <row r="6227" spans="2:10" ht="14" x14ac:dyDescent="0.15">
      <c r="B6227" s="102"/>
      <c r="C6227" s="11"/>
      <c r="D6227" s="1"/>
      <c r="E6227" s="155"/>
      <c r="F6227" s="155"/>
      <c r="G6227" s="155"/>
      <c r="H6227" s="155"/>
      <c r="I6227" s="171"/>
    </row>
    <row r="6228" spans="2:10" ht="14" x14ac:dyDescent="0.15">
      <c r="B6228" s="83"/>
      <c r="C6228" s="11"/>
      <c r="D6228" s="1"/>
      <c r="E6228" s="155"/>
      <c r="F6228" s="155"/>
      <c r="G6228" s="155"/>
      <c r="H6228" s="155"/>
      <c r="I6228" s="171"/>
    </row>
    <row r="6229" spans="2:10" x14ac:dyDescent="0.15">
      <c r="B6229" s="11"/>
      <c r="C6229" s="11"/>
      <c r="D6229" s="1"/>
      <c r="E6229" s="155"/>
      <c r="F6229" s="155"/>
      <c r="G6229" s="155"/>
      <c r="H6229" s="155"/>
      <c r="I6229" s="171"/>
    </row>
    <row r="6230" spans="2:10" x14ac:dyDescent="0.15">
      <c r="B6230" s="11"/>
      <c r="C6230" s="11"/>
      <c r="D6230" s="1"/>
      <c r="E6230" s="155"/>
      <c r="F6230" s="155"/>
      <c r="G6230" s="155"/>
      <c r="H6230" s="155"/>
      <c r="I6230" s="171"/>
    </row>
    <row r="6231" spans="2:10" x14ac:dyDescent="0.15">
      <c r="B6231" s="11"/>
      <c r="C6231" s="11"/>
      <c r="D6231" s="1"/>
      <c r="E6231" s="155"/>
      <c r="F6231" s="155"/>
      <c r="G6231" s="155"/>
      <c r="H6231" s="155"/>
      <c r="I6231" s="171"/>
    </row>
    <row r="6232" spans="2:10" x14ac:dyDescent="0.15">
      <c r="B6232" s="11"/>
      <c r="C6232" s="11"/>
      <c r="D6232" s="1"/>
      <c r="E6232" s="155"/>
      <c r="F6232" s="155"/>
      <c r="G6232" s="155"/>
      <c r="H6232" s="155"/>
      <c r="I6232" s="171"/>
    </row>
    <row r="6233" spans="2:10" x14ac:dyDescent="0.15">
      <c r="B6233" s="11"/>
      <c r="C6233" s="11"/>
      <c r="D6233" s="1"/>
      <c r="E6233" s="155"/>
      <c r="F6233" s="155"/>
      <c r="G6233" s="155"/>
      <c r="H6233" s="155"/>
      <c r="I6233" s="171"/>
    </row>
    <row r="6234" spans="2:10" x14ac:dyDescent="0.15">
      <c r="B6234" s="11"/>
      <c r="C6234" s="11"/>
      <c r="D6234" s="1"/>
      <c r="E6234" s="155"/>
      <c r="F6234" s="155"/>
      <c r="G6234" s="155"/>
      <c r="H6234" s="155"/>
      <c r="I6234" s="171"/>
    </row>
    <row r="6235" spans="2:10" x14ac:dyDescent="0.15">
      <c r="B6235" s="11"/>
      <c r="C6235" s="11"/>
      <c r="D6235" s="1"/>
      <c r="E6235" s="155"/>
      <c r="F6235" s="155"/>
      <c r="G6235" s="155"/>
      <c r="H6235" s="155"/>
      <c r="I6235" s="171"/>
    </row>
    <row r="6236" spans="2:10" x14ac:dyDescent="0.15">
      <c r="B6236" s="11"/>
      <c r="C6236" s="11"/>
      <c r="D6236" s="1"/>
      <c r="E6236" s="155"/>
      <c r="F6236" s="155"/>
      <c r="G6236" s="155"/>
      <c r="H6236" s="155"/>
      <c r="I6236" s="171"/>
    </row>
    <row r="6237" spans="2:10" x14ac:dyDescent="0.15">
      <c r="B6237" s="11"/>
      <c r="C6237" s="11"/>
      <c r="D6237" s="1"/>
      <c r="E6237" s="155"/>
      <c r="F6237" s="155"/>
      <c r="G6237" s="155"/>
      <c r="H6237" s="155"/>
      <c r="I6237" s="171"/>
    </row>
    <row r="6238" spans="2:10" ht="14" x14ac:dyDescent="0.15">
      <c r="B6238" s="102"/>
      <c r="C6238" s="83"/>
      <c r="D6238" s="84"/>
      <c r="E6238" s="83"/>
      <c r="F6238" s="83"/>
      <c r="G6238" s="103"/>
      <c r="H6238" s="83"/>
      <c r="I6238" s="85"/>
      <c r="J6238" s="85"/>
    </row>
    <row r="6239" spans="2:10" ht="15" thickBot="1" x14ac:dyDescent="0.2">
      <c r="B6239" s="83"/>
      <c r="C6239" s="83"/>
      <c r="D6239" s="84"/>
      <c r="E6239" s="83"/>
      <c r="F6239" s="83"/>
      <c r="G6239" s="104"/>
      <c r="H6239" s="83"/>
      <c r="I6239" s="85"/>
      <c r="J6239" s="85"/>
    </row>
    <row r="6240" spans="2:10" ht="21" customHeight="1" x14ac:dyDescent="0.15">
      <c r="B6240" s="885" t="s">
        <v>874</v>
      </c>
      <c r="C6240" s="886"/>
      <c r="D6240" s="886"/>
      <c r="E6240" s="886"/>
      <c r="F6240" s="887"/>
      <c r="G6240" s="1"/>
      <c r="H6240" s="879" t="s">
        <v>20</v>
      </c>
      <c r="I6240" s="880"/>
    </row>
    <row r="6241" spans="2:9" ht="16.5" customHeight="1" x14ac:dyDescent="0.15">
      <c r="B6241" s="888" t="s">
        <v>875</v>
      </c>
      <c r="C6241" s="889"/>
      <c r="D6241" s="889"/>
      <c r="E6241" s="889"/>
      <c r="F6241" s="890"/>
      <c r="G6241" s="63"/>
      <c r="H6241" s="881"/>
      <c r="I6241" s="882"/>
    </row>
    <row r="6242" spans="2:9" ht="12.75" customHeight="1" x14ac:dyDescent="0.15">
      <c r="B6242" s="906" t="s">
        <v>876</v>
      </c>
      <c r="C6242" s="907"/>
      <c r="D6242" s="907"/>
      <c r="E6242" s="907"/>
      <c r="F6242" s="908"/>
      <c r="G6242" s="63"/>
      <c r="H6242" s="883"/>
      <c r="I6242" s="884"/>
    </row>
    <row r="6243" spans="2:9" ht="16.5" customHeight="1" thickBot="1" x14ac:dyDescent="0.2">
      <c r="B6243" s="909"/>
      <c r="C6243" s="910"/>
      <c r="D6243" s="910"/>
      <c r="E6243" s="910"/>
      <c r="F6243" s="911"/>
      <c r="G6243" s="1"/>
      <c r="H6243" s="873" t="s">
        <v>1214</v>
      </c>
      <c r="I6243" s="874"/>
    </row>
    <row r="6244" spans="2:9" ht="14" thickBot="1" x14ac:dyDescent="0.2">
      <c r="B6244" s="15"/>
      <c r="C6244" s="16"/>
      <c r="D6244" s="1"/>
      <c r="E6244" s="1"/>
      <c r="F6244" s="1"/>
      <c r="G6244" s="1"/>
      <c r="H6244" s="875"/>
      <c r="I6244" s="876"/>
    </row>
    <row r="6245" spans="2:9" ht="12.75" customHeight="1" x14ac:dyDescent="0.15">
      <c r="B6245" s="922" t="s">
        <v>836</v>
      </c>
      <c r="C6245" s="923"/>
      <c r="D6245" s="923"/>
      <c r="E6245" s="923"/>
      <c r="F6245" s="924"/>
      <c r="G6245" s="1"/>
      <c r="H6245" s="875"/>
      <c r="I6245" s="876"/>
    </row>
    <row r="6246" spans="2:9" ht="12.75" customHeight="1" x14ac:dyDescent="0.15">
      <c r="B6246" s="925"/>
      <c r="C6246" s="926"/>
      <c r="D6246" s="926"/>
      <c r="E6246" s="926"/>
      <c r="F6246" s="927"/>
      <c r="G6246" s="1"/>
      <c r="H6246" s="875"/>
      <c r="I6246" s="876"/>
    </row>
    <row r="6247" spans="2:9" ht="13.5" customHeight="1" x14ac:dyDescent="0.15">
      <c r="B6247" s="925"/>
      <c r="C6247" s="926"/>
      <c r="D6247" s="926"/>
      <c r="E6247" s="926"/>
      <c r="F6247" s="927"/>
      <c r="G6247" s="11"/>
      <c r="H6247" s="877"/>
      <c r="I6247" s="878"/>
    </row>
    <row r="6248" spans="2:9" ht="21.75" customHeight="1" thickBot="1" x14ac:dyDescent="0.2">
      <c r="B6248" s="928"/>
      <c r="C6248" s="929"/>
      <c r="D6248" s="929"/>
      <c r="E6248" s="929"/>
      <c r="F6248" s="930"/>
      <c r="H6248" s="64" t="s">
        <v>45</v>
      </c>
      <c r="I6248" s="17" t="s">
        <v>5</v>
      </c>
    </row>
    <row r="6249" spans="2:9" x14ac:dyDescent="0.15">
      <c r="B6249" s="18"/>
      <c r="C6249" s="18"/>
      <c r="D6249" s="1"/>
      <c r="E6249" s="18"/>
      <c r="F6249" s="18"/>
      <c r="G6249" s="18"/>
      <c r="H6249" s="18"/>
      <c r="I6249" s="1"/>
    </row>
    <row r="6250" spans="2:9" ht="14" thickBot="1" x14ac:dyDescent="0.2">
      <c r="B6250" s="12" t="s">
        <v>21</v>
      </c>
      <c r="C6250" s="12"/>
      <c r="D6250" s="1"/>
      <c r="E6250" s="1"/>
      <c r="F6250" s="1"/>
      <c r="G6250" s="1"/>
      <c r="H6250" s="1"/>
      <c r="I6250" s="1"/>
    </row>
    <row r="6251" spans="2:9" x14ac:dyDescent="0.15">
      <c r="B6251" s="903" t="s">
        <v>22</v>
      </c>
      <c r="C6251" s="904"/>
      <c r="D6251" s="905"/>
      <c r="E6251" s="209" t="s">
        <v>23</v>
      </c>
      <c r="F6251" s="19" t="s">
        <v>47</v>
      </c>
      <c r="G6251" s="209" t="s">
        <v>24</v>
      </c>
      <c r="H6251" s="208" t="s">
        <v>25</v>
      </c>
      <c r="I6251" s="43"/>
    </row>
    <row r="6252" spans="2:9" x14ac:dyDescent="0.15">
      <c r="B6252" s="897" t="s">
        <v>56</v>
      </c>
      <c r="C6252" s="898"/>
      <c r="D6252" s="899"/>
      <c r="E6252" s="5"/>
      <c r="F6252" s="162"/>
      <c r="G6252" s="58"/>
      <c r="H6252" s="162">
        <f>I6274*0.05</f>
        <v>1162.7758333333334</v>
      </c>
      <c r="I6252" s="44"/>
    </row>
    <row r="6253" spans="2:9" x14ac:dyDescent="0.15">
      <c r="B6253" s="897"/>
      <c r="C6253" s="898"/>
      <c r="D6253" s="899"/>
      <c r="E6253" s="5"/>
      <c r="F6253" s="162"/>
      <c r="G6253" s="58"/>
      <c r="H6253" s="162"/>
      <c r="I6253" s="44"/>
    </row>
    <row r="6254" spans="2:9" ht="14" thickBot="1" x14ac:dyDescent="0.2">
      <c r="B6254" s="900"/>
      <c r="C6254" s="901"/>
      <c r="D6254" s="902"/>
      <c r="E6254" s="21"/>
      <c r="F6254" s="22"/>
      <c r="G6254" s="23"/>
      <c r="H6254" s="47"/>
      <c r="I6254" s="48"/>
    </row>
    <row r="6255" spans="2:9" ht="14" thickBot="1" x14ac:dyDescent="0.2">
      <c r="B6255" s="1"/>
      <c r="C6255" s="1"/>
      <c r="D6255" s="1"/>
      <c r="E6255" s="1"/>
      <c r="F6255" s="1"/>
      <c r="G6255" s="1"/>
      <c r="H6255" s="37" t="s">
        <v>26</v>
      </c>
      <c r="I6255" s="163">
        <f>SUM(H6252:H6254)</f>
        <v>1162.7758333333334</v>
      </c>
    </row>
    <row r="6256" spans="2:9" ht="14" thickBot="1" x14ac:dyDescent="0.2">
      <c r="B6256" s="12" t="s">
        <v>27</v>
      </c>
      <c r="C6256" s="12"/>
      <c r="D6256" s="1"/>
      <c r="E6256" s="1"/>
      <c r="F6256" s="1"/>
      <c r="G6256" s="1"/>
      <c r="H6256" s="1"/>
      <c r="I6256" s="1"/>
    </row>
    <row r="6257" spans="2:11" x14ac:dyDescent="0.15">
      <c r="B6257" s="903" t="s">
        <v>22</v>
      </c>
      <c r="C6257" s="904"/>
      <c r="D6257" s="905"/>
      <c r="E6257" s="209" t="s">
        <v>28</v>
      </c>
      <c r="F6257" s="209" t="s">
        <v>29</v>
      </c>
      <c r="G6257" s="209" t="s">
        <v>30</v>
      </c>
      <c r="H6257" s="208" t="s">
        <v>25</v>
      </c>
      <c r="I6257" s="43"/>
    </row>
    <row r="6258" spans="2:11" x14ac:dyDescent="0.15">
      <c r="B6258" s="4" t="s">
        <v>1130</v>
      </c>
      <c r="C6258" s="24"/>
      <c r="D6258" s="6"/>
      <c r="E6258" s="3" t="s">
        <v>5</v>
      </c>
      <c r="F6258" s="164">
        <v>34000</v>
      </c>
      <c r="G6258" s="65">
        <v>1</v>
      </c>
      <c r="H6258" s="165">
        <f t="shared" ref="H6258" si="45">G6258*F6258</f>
        <v>34000</v>
      </c>
      <c r="I6258" s="44"/>
    </row>
    <row r="6259" spans="2:11" x14ac:dyDescent="0.15">
      <c r="B6259" s="4" t="s">
        <v>1131</v>
      </c>
      <c r="C6259" s="24"/>
      <c r="D6259" s="6"/>
      <c r="E6259" s="3" t="s">
        <v>519</v>
      </c>
      <c r="F6259" s="164">
        <v>24600</v>
      </c>
      <c r="G6259" s="65">
        <v>0.3</v>
      </c>
      <c r="H6259" s="165">
        <f t="shared" ref="H6259" si="46">G6259*F6259</f>
        <v>7380</v>
      </c>
      <c r="I6259" s="44"/>
    </row>
    <row r="6260" spans="2:11" x14ac:dyDescent="0.15">
      <c r="B6260" s="4"/>
      <c r="C6260" s="24"/>
      <c r="D6260" s="6"/>
      <c r="E6260" s="3"/>
      <c r="F6260" s="164"/>
      <c r="G6260" s="65"/>
      <c r="H6260" s="165"/>
      <c r="I6260" s="44"/>
    </row>
    <row r="6261" spans="2:11" x14ac:dyDescent="0.15">
      <c r="B6261" s="4"/>
      <c r="C6261" s="24"/>
      <c r="D6261" s="6"/>
      <c r="E6261" s="3"/>
      <c r="F6261" s="164"/>
      <c r="G6261" s="182"/>
      <c r="H6261" s="165"/>
      <c r="I6261" s="44"/>
    </row>
    <row r="6262" spans="2:11" ht="14" thickBot="1" x14ac:dyDescent="0.2">
      <c r="B6262" s="25"/>
      <c r="C6262" s="26"/>
      <c r="D6262" s="27"/>
      <c r="E6262" s="21"/>
      <c r="F6262" s="22"/>
      <c r="G6262" s="167"/>
      <c r="H6262" s="47"/>
      <c r="I6262" s="48"/>
    </row>
    <row r="6263" spans="2:11" ht="14" thickBot="1" x14ac:dyDescent="0.2">
      <c r="B6263" s="1"/>
      <c r="C6263" s="1"/>
      <c r="D6263" s="1"/>
      <c r="E6263" s="1"/>
      <c r="F6263" s="1"/>
      <c r="G6263" s="1"/>
      <c r="H6263" s="37" t="s">
        <v>26</v>
      </c>
      <c r="I6263" s="163">
        <f>SUM(H6258:H6261)</f>
        <v>41380</v>
      </c>
    </row>
    <row r="6264" spans="2:11" ht="14" thickBot="1" x14ac:dyDescent="0.2">
      <c r="B6264" s="28" t="s">
        <v>31</v>
      </c>
      <c r="C6264" s="28"/>
      <c r="D6264" s="26"/>
      <c r="E6264" s="1"/>
      <c r="F6264" s="1"/>
      <c r="G6264" s="1"/>
      <c r="H6264" s="1"/>
      <c r="I6264" s="1"/>
    </row>
    <row r="6265" spans="2:11" x14ac:dyDescent="0.15">
      <c r="B6265" s="51" t="s">
        <v>32</v>
      </c>
      <c r="C6265" s="52"/>
      <c r="D6265" s="97" t="s">
        <v>33</v>
      </c>
      <c r="E6265" s="209" t="s">
        <v>34</v>
      </c>
      <c r="F6265" s="209" t="s">
        <v>35</v>
      </c>
      <c r="G6265" s="209" t="s">
        <v>36</v>
      </c>
      <c r="H6265" s="59" t="s">
        <v>25</v>
      </c>
      <c r="I6265" s="43"/>
    </row>
    <row r="6266" spans="2:11" x14ac:dyDescent="0.15">
      <c r="B6266" s="4" t="s">
        <v>79</v>
      </c>
      <c r="C6266" s="6"/>
      <c r="D6266" s="53">
        <v>0.2</v>
      </c>
      <c r="E6266" s="2">
        <v>43</v>
      </c>
      <c r="F6266" s="2">
        <f>E6266*D6266</f>
        <v>8.6</v>
      </c>
      <c r="G6266" s="58">
        <v>1100</v>
      </c>
      <c r="H6266" s="20">
        <f>G6266*F6266</f>
        <v>9460</v>
      </c>
      <c r="I6266" s="44"/>
    </row>
    <row r="6267" spans="2:11" ht="14" thickBot="1" x14ac:dyDescent="0.2">
      <c r="B6267" s="33"/>
      <c r="C6267" s="54"/>
      <c r="D6267" s="21"/>
      <c r="E6267" s="22"/>
      <c r="F6267" s="23"/>
      <c r="G6267" s="47"/>
      <c r="H6267" s="21"/>
      <c r="I6267" s="48"/>
    </row>
    <row r="6268" spans="2:11" ht="14" thickBot="1" x14ac:dyDescent="0.2">
      <c r="B6268" s="1"/>
      <c r="C6268" s="1"/>
      <c r="D6268" s="1"/>
      <c r="E6268" s="1"/>
      <c r="F6268" s="1"/>
      <c r="G6268" s="1"/>
      <c r="H6268" s="37" t="s">
        <v>26</v>
      </c>
      <c r="I6268" s="163">
        <f>SUM(H6266:H6267)</f>
        <v>9460</v>
      </c>
    </row>
    <row r="6269" spans="2:11" ht="14" thickBot="1" x14ac:dyDescent="0.2">
      <c r="B6269" s="28" t="s">
        <v>37</v>
      </c>
      <c r="C6269" s="28"/>
      <c r="D6269" s="1"/>
      <c r="E6269" s="1"/>
      <c r="F6269" s="1"/>
      <c r="G6269" s="1"/>
      <c r="H6269" s="1"/>
      <c r="I6269" s="1"/>
    </row>
    <row r="6270" spans="2:11" x14ac:dyDescent="0.15">
      <c r="B6270" s="51" t="s">
        <v>38</v>
      </c>
      <c r="C6270" s="86"/>
      <c r="D6270" s="31" t="s">
        <v>39</v>
      </c>
      <c r="E6270" s="209" t="s">
        <v>40</v>
      </c>
      <c r="F6270" s="19" t="s">
        <v>41</v>
      </c>
      <c r="G6270" s="31" t="s">
        <v>24</v>
      </c>
      <c r="H6270" s="208" t="s">
        <v>25</v>
      </c>
      <c r="I6270" s="43"/>
    </row>
    <row r="6271" spans="2:11" x14ac:dyDescent="0.15">
      <c r="B6271" s="4" t="s">
        <v>1128</v>
      </c>
      <c r="C6271" s="24"/>
      <c r="D6271" s="32">
        <f>'MANO DE OBRA'!E15</f>
        <v>95333</v>
      </c>
      <c r="E6271" s="88">
        <v>1.75</v>
      </c>
      <c r="F6271" s="164">
        <f>+E6271*D6271</f>
        <v>166832.75</v>
      </c>
      <c r="G6271" s="20">
        <v>15</v>
      </c>
      <c r="H6271" s="169">
        <f>+F6271/G6271</f>
        <v>11122.183333333332</v>
      </c>
      <c r="I6271" s="44"/>
      <c r="K6271" s="106"/>
    </row>
    <row r="6272" spans="2:11" x14ac:dyDescent="0.15">
      <c r="B6272" s="4" t="s">
        <v>55</v>
      </c>
      <c r="C6272" s="24"/>
      <c r="D6272" s="32">
        <f>'MANO DE OBRA'!E14*2</f>
        <v>104000</v>
      </c>
      <c r="E6272" s="88">
        <v>1.75</v>
      </c>
      <c r="F6272" s="164">
        <f>+E6272*D6272</f>
        <v>182000</v>
      </c>
      <c r="G6272" s="20">
        <v>15</v>
      </c>
      <c r="H6272" s="169">
        <f>+F6272/G6272</f>
        <v>12133.333333333334</v>
      </c>
      <c r="I6272" s="44"/>
    </row>
    <row r="6273" spans="2:11" ht="14" thickBot="1" x14ac:dyDescent="0.2">
      <c r="B6273" s="33"/>
      <c r="C6273" s="34"/>
      <c r="D6273" s="22"/>
      <c r="E6273" s="21"/>
      <c r="F6273" s="22"/>
      <c r="G6273" s="23"/>
      <c r="H6273" s="47"/>
      <c r="I6273" s="48"/>
    </row>
    <row r="6274" spans="2:11" ht="14" thickBot="1" x14ac:dyDescent="0.2">
      <c r="B6274" s="1"/>
      <c r="C6274" s="1"/>
      <c r="D6274" s="1"/>
      <c r="E6274" s="1"/>
      <c r="F6274" s="1"/>
      <c r="G6274" s="1"/>
      <c r="H6274" s="37" t="s">
        <v>26</v>
      </c>
      <c r="I6274" s="177">
        <f>SUM(H6271:H6272)</f>
        <v>23255.516666666666</v>
      </c>
    </row>
    <row r="6275" spans="2:11" ht="14" thickBot="1" x14ac:dyDescent="0.2">
      <c r="B6275" s="1"/>
      <c r="C6275" s="1"/>
      <c r="D6275" s="1"/>
      <c r="E6275" s="1"/>
      <c r="F6275" s="1"/>
      <c r="G6275" s="1"/>
      <c r="H6275" s="61"/>
      <c r="I6275" s="1"/>
    </row>
    <row r="6276" spans="2:11" ht="15" thickBot="1" x14ac:dyDescent="0.2">
      <c r="B6276" s="1"/>
      <c r="C6276" s="1"/>
      <c r="D6276" s="1"/>
      <c r="E6276" s="1"/>
      <c r="F6276" s="35" t="s">
        <v>43</v>
      </c>
      <c r="G6276" s="16"/>
      <c r="H6276" s="16"/>
      <c r="I6276" s="232">
        <f>ROUND((I6255+I6263+I6268+I6274),0)</f>
        <v>75258</v>
      </c>
    </row>
    <row r="6277" spans="2:11" x14ac:dyDescent="0.15">
      <c r="B6277" s="12"/>
      <c r="C6277" s="12"/>
      <c r="D6277" s="1"/>
      <c r="E6277" s="1"/>
      <c r="F6277" s="1"/>
      <c r="G6277" s="1"/>
      <c r="H6277" s="172"/>
      <c r="I6277" s="172"/>
    </row>
    <row r="6278" spans="2:11" x14ac:dyDescent="0.15">
      <c r="B6278" s="16"/>
      <c r="C6278" s="16"/>
      <c r="D6278" s="16"/>
      <c r="E6278" s="16"/>
      <c r="F6278" s="16"/>
      <c r="G6278" s="61"/>
      <c r="H6278" s="173"/>
      <c r="I6278" s="172"/>
    </row>
    <row r="6279" spans="2:11" x14ac:dyDescent="0.15">
      <c r="B6279" s="1"/>
      <c r="C6279" s="1"/>
      <c r="D6279" s="1"/>
      <c r="E6279" s="1"/>
      <c r="F6279" s="1"/>
      <c r="G6279" s="161"/>
      <c r="H6279" s="172"/>
      <c r="I6279" s="172"/>
      <c r="K6279" s="174"/>
    </row>
    <row r="6280" spans="2:11" x14ac:dyDescent="0.15">
      <c r="B6280" s="1"/>
      <c r="C6280" s="1"/>
      <c r="D6280" s="1"/>
      <c r="E6280" s="1"/>
      <c r="F6280" s="1"/>
      <c r="G6280" s="161"/>
      <c r="H6280" s="172"/>
      <c r="I6280" s="172"/>
    </row>
    <row r="6281" spans="2:11" x14ac:dyDescent="0.15">
      <c r="B6281" s="1"/>
      <c r="C6281" s="1"/>
      <c r="D6281" s="1"/>
      <c r="E6281" s="1"/>
      <c r="F6281" s="1"/>
      <c r="G6281" s="161"/>
      <c r="H6281" s="172"/>
      <c r="I6281" s="172"/>
    </row>
    <row r="6282" spans="2:11" ht="14" x14ac:dyDescent="0.15">
      <c r="B6282" s="83"/>
      <c r="C6282" s="11"/>
      <c r="D6282" s="1"/>
      <c r="E6282" s="916"/>
      <c r="F6282" s="916"/>
      <c r="G6282" s="916"/>
      <c r="H6282" s="916"/>
      <c r="I6282" s="171"/>
    </row>
    <row r="6283" spans="2:11" ht="14" x14ac:dyDescent="0.15">
      <c r="B6283" s="102"/>
      <c r="C6283" s="11"/>
      <c r="D6283" s="1"/>
      <c r="E6283" s="155"/>
      <c r="F6283" s="155"/>
      <c r="G6283" s="155"/>
      <c r="H6283" s="155"/>
      <c r="I6283" s="171"/>
    </row>
    <row r="6284" spans="2:11" ht="14" x14ac:dyDescent="0.15">
      <c r="B6284" s="83"/>
      <c r="C6284" s="11"/>
      <c r="D6284" s="1"/>
      <c r="E6284" s="155"/>
      <c r="F6284" s="155"/>
      <c r="G6284" s="155"/>
      <c r="H6284" s="155"/>
      <c r="I6284" s="171"/>
    </row>
    <row r="6285" spans="2:11" x14ac:dyDescent="0.15">
      <c r="B6285" s="11"/>
      <c r="C6285" s="11"/>
      <c r="D6285" s="1"/>
      <c r="E6285" s="155"/>
      <c r="F6285" s="155"/>
      <c r="G6285" s="155"/>
      <c r="H6285" s="155"/>
      <c r="I6285" s="171"/>
    </row>
    <row r="6286" spans="2:11" x14ac:dyDescent="0.15">
      <c r="B6286" s="11"/>
      <c r="C6286" s="11"/>
      <c r="D6286" s="1"/>
      <c r="E6286" s="155"/>
      <c r="F6286" s="155"/>
      <c r="G6286" s="155"/>
      <c r="H6286" s="155"/>
      <c r="I6286" s="171"/>
    </row>
    <row r="6287" spans="2:11" x14ac:dyDescent="0.15">
      <c r="B6287" s="11"/>
      <c r="C6287" s="11"/>
      <c r="D6287" s="1"/>
      <c r="E6287" s="155"/>
      <c r="F6287" s="155"/>
      <c r="G6287" s="155"/>
      <c r="H6287" s="155"/>
      <c r="I6287" s="171"/>
    </row>
    <row r="6288" spans="2:11" x14ac:dyDescent="0.15">
      <c r="B6288" s="11"/>
      <c r="C6288" s="11"/>
      <c r="D6288" s="1"/>
      <c r="E6288" s="155"/>
      <c r="F6288" s="155"/>
      <c r="G6288" s="155"/>
      <c r="H6288" s="155"/>
      <c r="I6288" s="171"/>
    </row>
    <row r="6289" spans="2:11" x14ac:dyDescent="0.15">
      <c r="B6289" s="11"/>
      <c r="C6289" s="11"/>
      <c r="D6289" s="1"/>
      <c r="E6289" s="155"/>
      <c r="F6289" s="155"/>
      <c r="G6289" s="155"/>
      <c r="H6289" s="155"/>
      <c r="I6289" s="171"/>
    </row>
    <row r="6290" spans="2:11" x14ac:dyDescent="0.15">
      <c r="B6290" s="11"/>
      <c r="C6290" s="11"/>
      <c r="D6290" s="1"/>
      <c r="E6290" s="155"/>
      <c r="F6290" s="155"/>
      <c r="G6290" s="155"/>
      <c r="H6290" s="155"/>
      <c r="I6290" s="171"/>
    </row>
    <row r="6291" spans="2:11" x14ac:dyDescent="0.15">
      <c r="B6291" s="11"/>
      <c r="C6291" s="11"/>
      <c r="D6291" s="1"/>
      <c r="E6291" s="155"/>
      <c r="F6291" s="155"/>
      <c r="G6291" s="155"/>
      <c r="H6291" s="155"/>
      <c r="I6291" s="171"/>
    </row>
    <row r="6292" spans="2:11" x14ac:dyDescent="0.15">
      <c r="B6292" s="11"/>
      <c r="C6292" s="11"/>
      <c r="D6292" s="1"/>
      <c r="E6292" s="155"/>
      <c r="F6292" s="155"/>
      <c r="G6292" s="155"/>
      <c r="H6292" s="155"/>
      <c r="I6292" s="171"/>
    </row>
    <row r="6293" spans="2:11" x14ac:dyDescent="0.15">
      <c r="B6293" s="11"/>
      <c r="C6293" s="11"/>
      <c r="D6293" s="1"/>
      <c r="E6293" s="155"/>
      <c r="F6293" s="155"/>
      <c r="G6293" s="155"/>
      <c r="H6293" s="155"/>
      <c r="I6293" s="171"/>
    </row>
    <row r="6294" spans="2:11" ht="14" x14ac:dyDescent="0.15">
      <c r="B6294" s="102"/>
      <c r="C6294" s="83"/>
      <c r="D6294" s="84"/>
      <c r="E6294" s="83"/>
      <c r="F6294" s="83"/>
      <c r="G6294" s="103"/>
      <c r="H6294" s="83"/>
      <c r="I6294" s="85"/>
      <c r="J6294" s="85"/>
    </row>
    <row r="6295" spans="2:11" ht="15" thickBot="1" x14ac:dyDescent="0.2">
      <c r="B6295" s="83"/>
      <c r="C6295" s="83"/>
      <c r="D6295" s="84"/>
      <c r="E6295" s="83"/>
      <c r="F6295" s="83"/>
      <c r="G6295" s="104"/>
      <c r="H6295" s="83"/>
      <c r="I6295" s="85"/>
      <c r="J6295" s="85"/>
    </row>
    <row r="6296" spans="2:11" ht="21" customHeight="1" x14ac:dyDescent="0.15">
      <c r="B6296" s="885" t="s">
        <v>874</v>
      </c>
      <c r="C6296" s="886"/>
      <c r="D6296" s="886"/>
      <c r="E6296" s="886"/>
      <c r="F6296" s="887"/>
      <c r="G6296" s="1"/>
      <c r="H6296" s="912" t="s">
        <v>20</v>
      </c>
      <c r="I6296" s="913"/>
    </row>
    <row r="6297" spans="2:11" ht="16.5" customHeight="1" x14ac:dyDescent="0.15">
      <c r="B6297" s="888" t="s">
        <v>875</v>
      </c>
      <c r="C6297" s="889"/>
      <c r="D6297" s="889"/>
      <c r="E6297" s="889"/>
      <c r="F6297" s="890"/>
      <c r="G6297" s="63"/>
      <c r="H6297" s="943"/>
      <c r="I6297" s="944"/>
    </row>
    <row r="6298" spans="2:11" ht="12.75" customHeight="1" x14ac:dyDescent="0.15">
      <c r="B6298" s="906" t="s">
        <v>876</v>
      </c>
      <c r="C6298" s="907"/>
      <c r="D6298" s="907"/>
      <c r="E6298" s="907"/>
      <c r="F6298" s="908"/>
      <c r="G6298" s="63"/>
      <c r="H6298" s="945" t="s">
        <v>1631</v>
      </c>
      <c r="I6298" s="946"/>
    </row>
    <row r="6299" spans="2:11" ht="16.5" customHeight="1" thickBot="1" x14ac:dyDescent="0.2">
      <c r="B6299" s="909"/>
      <c r="C6299" s="910"/>
      <c r="D6299" s="910"/>
      <c r="E6299" s="910"/>
      <c r="F6299" s="911"/>
      <c r="G6299" s="1"/>
      <c r="H6299" s="945"/>
      <c r="I6299" s="946"/>
    </row>
    <row r="6300" spans="2:11" ht="13.5" customHeight="1" thickBot="1" x14ac:dyDescent="0.2">
      <c r="B6300" s="37"/>
      <c r="C6300" s="61"/>
      <c r="D6300" s="1"/>
      <c r="E6300" s="1"/>
      <c r="F6300" s="1"/>
      <c r="G6300" s="1"/>
      <c r="H6300" s="945"/>
      <c r="I6300" s="946"/>
    </row>
    <row r="6301" spans="2:11" ht="12.75" customHeight="1" x14ac:dyDescent="0.15">
      <c r="B6301" s="947" t="s">
        <v>836</v>
      </c>
      <c r="C6301" s="948"/>
      <c r="D6301" s="948"/>
      <c r="E6301" s="948"/>
      <c r="F6301" s="949"/>
      <c r="G6301" s="1"/>
      <c r="H6301" s="945"/>
      <c r="I6301" s="946"/>
      <c r="K6301" s="1"/>
    </row>
    <row r="6302" spans="2:11" ht="12.75" customHeight="1" x14ac:dyDescent="0.15">
      <c r="B6302" s="950"/>
      <c r="C6302" s="951"/>
      <c r="D6302" s="951"/>
      <c r="E6302" s="951"/>
      <c r="F6302" s="952"/>
      <c r="G6302" s="1"/>
      <c r="H6302" s="945"/>
      <c r="I6302" s="946"/>
      <c r="K6302" s="1"/>
    </row>
    <row r="6303" spans="2:11" ht="12.75" customHeight="1" x14ac:dyDescent="0.15">
      <c r="B6303" s="950"/>
      <c r="C6303" s="951"/>
      <c r="D6303" s="951"/>
      <c r="E6303" s="951"/>
      <c r="F6303" s="952"/>
      <c r="G6303" s="1"/>
      <c r="H6303" s="945"/>
      <c r="I6303" s="946"/>
      <c r="K6303" s="1"/>
    </row>
    <row r="6304" spans="2:11" ht="13.5" customHeight="1" x14ac:dyDescent="0.15">
      <c r="B6304" s="950"/>
      <c r="C6304" s="951"/>
      <c r="D6304" s="951"/>
      <c r="E6304" s="951"/>
      <c r="F6304" s="952"/>
      <c r="G6304" s="11"/>
      <c r="H6304" s="945"/>
      <c r="I6304" s="946"/>
    </row>
    <row r="6305" spans="2:9" ht="21.75" customHeight="1" thickBot="1" x14ac:dyDescent="0.2">
      <c r="B6305" s="953"/>
      <c r="C6305" s="954"/>
      <c r="D6305" s="954"/>
      <c r="E6305" s="954"/>
      <c r="F6305" s="955"/>
      <c r="H6305" s="64" t="s">
        <v>45</v>
      </c>
      <c r="I6305" s="17" t="s">
        <v>5</v>
      </c>
    </row>
    <row r="6306" spans="2:9" ht="13.5" customHeight="1" x14ac:dyDescent="0.15">
      <c r="B6306" s="379"/>
      <c r="C6306" s="379"/>
      <c r="D6306" s="379"/>
      <c r="E6306" s="379"/>
      <c r="F6306" s="379"/>
      <c r="G6306" s="18"/>
      <c r="H6306" s="18"/>
      <c r="I6306" s="1"/>
    </row>
    <row r="6307" spans="2:9" ht="14" thickBot="1" x14ac:dyDescent="0.2">
      <c r="B6307" s="12" t="s">
        <v>21</v>
      </c>
      <c r="C6307" s="12"/>
      <c r="D6307" s="1"/>
      <c r="E6307" s="1"/>
      <c r="F6307" s="1"/>
      <c r="G6307" s="1"/>
      <c r="H6307" s="1"/>
      <c r="I6307" s="1"/>
    </row>
    <row r="6308" spans="2:9" x14ac:dyDescent="0.15">
      <c r="B6308" s="903" t="s">
        <v>22</v>
      </c>
      <c r="C6308" s="904"/>
      <c r="D6308" s="905"/>
      <c r="E6308" s="209" t="s">
        <v>23</v>
      </c>
      <c r="F6308" s="19" t="s">
        <v>47</v>
      </c>
      <c r="G6308" s="209" t="s">
        <v>24</v>
      </c>
      <c r="H6308" s="208" t="s">
        <v>25</v>
      </c>
      <c r="I6308" s="43"/>
    </row>
    <row r="6309" spans="2:9" x14ac:dyDescent="0.15">
      <c r="B6309" s="897" t="s">
        <v>56</v>
      </c>
      <c r="C6309" s="898"/>
      <c r="D6309" s="899"/>
      <c r="E6309" s="5"/>
      <c r="F6309" s="162"/>
      <c r="G6309" s="58"/>
      <c r="H6309" s="162">
        <f>I6336*0.05</f>
        <v>5813.8791666666666</v>
      </c>
      <c r="I6309" s="44"/>
    </row>
    <row r="6310" spans="2:9" ht="14" thickBot="1" x14ac:dyDescent="0.2">
      <c r="B6310" s="900"/>
      <c r="C6310" s="901"/>
      <c r="D6310" s="902"/>
      <c r="E6310" s="21"/>
      <c r="F6310" s="22"/>
      <c r="G6310" s="23"/>
      <c r="H6310" s="47"/>
      <c r="I6310" s="48"/>
    </row>
    <row r="6311" spans="2:9" ht="14" thickBot="1" x14ac:dyDescent="0.2">
      <c r="B6311" s="1"/>
      <c r="C6311" s="1"/>
      <c r="D6311" s="1"/>
      <c r="E6311" s="1"/>
      <c r="F6311" s="1"/>
      <c r="G6311" s="1"/>
      <c r="H6311" s="37" t="s">
        <v>26</v>
      </c>
      <c r="I6311" s="163">
        <f>SUM(H6309:H6310)</f>
        <v>5813.8791666666666</v>
      </c>
    </row>
    <row r="6312" spans="2:9" ht="14" thickBot="1" x14ac:dyDescent="0.2">
      <c r="B6312" s="12" t="s">
        <v>27</v>
      </c>
      <c r="C6312" s="12"/>
      <c r="D6312" s="1"/>
      <c r="E6312" s="1"/>
      <c r="F6312" s="1"/>
      <c r="G6312" s="1"/>
      <c r="H6312" s="1"/>
      <c r="I6312" s="1"/>
    </row>
    <row r="6313" spans="2:9" x14ac:dyDescent="0.15">
      <c r="B6313" s="903" t="s">
        <v>22</v>
      </c>
      <c r="C6313" s="904"/>
      <c r="D6313" s="905"/>
      <c r="E6313" s="209" t="s">
        <v>28</v>
      </c>
      <c r="F6313" s="209" t="s">
        <v>29</v>
      </c>
      <c r="G6313" s="209" t="s">
        <v>30</v>
      </c>
      <c r="H6313" s="208" t="s">
        <v>25</v>
      </c>
      <c r="I6313" s="43"/>
    </row>
    <row r="6314" spans="2:9" x14ac:dyDescent="0.15">
      <c r="B6314" s="4" t="s">
        <v>305</v>
      </c>
      <c r="C6314" s="24"/>
      <c r="D6314" s="6"/>
      <c r="E6314" s="3" t="s">
        <v>193</v>
      </c>
      <c r="F6314" s="164">
        <f>MATERIALES!C119</f>
        <v>8750</v>
      </c>
      <c r="G6314" s="65">
        <v>7</v>
      </c>
      <c r="H6314" s="165">
        <f t="shared" ref="H6314:H6319" si="47">G6314*F6314</f>
        <v>61250</v>
      </c>
      <c r="I6314" s="44"/>
    </row>
    <row r="6315" spans="2:9" x14ac:dyDescent="0.15">
      <c r="B6315" s="4" t="s">
        <v>306</v>
      </c>
      <c r="C6315" s="24"/>
      <c r="D6315" s="6"/>
      <c r="E6315" s="3" t="s">
        <v>193</v>
      </c>
      <c r="F6315" s="164">
        <f>MATERIALES!C120</f>
        <v>17650</v>
      </c>
      <c r="G6315" s="65">
        <v>2.2000000000000002</v>
      </c>
      <c r="H6315" s="165">
        <f t="shared" si="47"/>
        <v>38830</v>
      </c>
      <c r="I6315" s="44"/>
    </row>
    <row r="6316" spans="2:9" x14ac:dyDescent="0.15">
      <c r="B6316" s="4" t="s">
        <v>307</v>
      </c>
      <c r="C6316" s="24"/>
      <c r="D6316" s="6"/>
      <c r="E6316" s="3" t="s">
        <v>193</v>
      </c>
      <c r="F6316" s="164">
        <f>MATERIALES!C121</f>
        <v>27880</v>
      </c>
      <c r="G6316" s="65">
        <v>1.35</v>
      </c>
      <c r="H6316" s="165">
        <f t="shared" si="47"/>
        <v>37638</v>
      </c>
      <c r="I6316" s="44"/>
    </row>
    <row r="6317" spans="2:9" x14ac:dyDescent="0.15">
      <c r="B6317" s="4" t="s">
        <v>74</v>
      </c>
      <c r="C6317" s="24"/>
      <c r="D6317" s="6"/>
      <c r="E6317" s="3" t="s">
        <v>58</v>
      </c>
      <c r="F6317" s="164">
        <f>MATERIALES!C106</f>
        <v>24500</v>
      </c>
      <c r="G6317" s="65">
        <v>0.3</v>
      </c>
      <c r="H6317" s="165">
        <f t="shared" si="47"/>
        <v>7350</v>
      </c>
      <c r="I6317" s="44"/>
    </row>
    <row r="6318" spans="2:9" x14ac:dyDescent="0.15">
      <c r="B6318" s="4" t="s">
        <v>119</v>
      </c>
      <c r="C6318" s="24"/>
      <c r="D6318" s="6"/>
      <c r="E6318" s="3" t="s">
        <v>76</v>
      </c>
      <c r="F6318" s="164">
        <f>MATERIALES!C107</f>
        <v>110500</v>
      </c>
      <c r="G6318" s="65">
        <v>0.15</v>
      </c>
      <c r="H6318" s="165">
        <f t="shared" si="47"/>
        <v>16575</v>
      </c>
      <c r="I6318" s="44"/>
    </row>
    <row r="6319" spans="2:9" x14ac:dyDescent="0.15">
      <c r="B6319" s="4" t="s">
        <v>75</v>
      </c>
      <c r="C6319" s="24"/>
      <c r="D6319" s="6"/>
      <c r="E6319" s="3" t="s">
        <v>76</v>
      </c>
      <c r="F6319" s="164">
        <f>MATERIALES!C109</f>
        <v>82420</v>
      </c>
      <c r="G6319" s="65">
        <v>0.15</v>
      </c>
      <c r="H6319" s="165">
        <f t="shared" si="47"/>
        <v>12363</v>
      </c>
      <c r="I6319" s="44"/>
    </row>
    <row r="6320" spans="2:9" x14ac:dyDescent="0.15">
      <c r="B6320" s="4" t="s">
        <v>308</v>
      </c>
      <c r="C6320" s="24"/>
      <c r="D6320" s="6"/>
      <c r="E6320" s="3" t="s">
        <v>76</v>
      </c>
      <c r="F6320" s="164">
        <f>MATERIALES!C111</f>
        <v>60000</v>
      </c>
      <c r="G6320" s="65">
        <v>0.05</v>
      </c>
      <c r="H6320" s="165">
        <f>G6320*F6320</f>
        <v>3000</v>
      </c>
      <c r="I6320" s="44"/>
    </row>
    <row r="6321" spans="2:9" x14ac:dyDescent="0.15">
      <c r="B6321" s="4" t="s">
        <v>309</v>
      </c>
      <c r="C6321" s="24"/>
      <c r="D6321" s="6"/>
      <c r="E6321" s="3" t="s">
        <v>319</v>
      </c>
      <c r="F6321" s="164">
        <f>MATERIALES!C112</f>
        <v>4500</v>
      </c>
      <c r="G6321" s="65">
        <v>0.8</v>
      </c>
      <c r="H6321" s="165">
        <f t="shared" ref="H6321:H6322" si="48">G6321*F6321</f>
        <v>3600</v>
      </c>
      <c r="I6321" s="44"/>
    </row>
    <row r="6322" spans="2:9" x14ac:dyDescent="0.15">
      <c r="B6322" s="4" t="s">
        <v>311</v>
      </c>
      <c r="C6322" s="24"/>
      <c r="D6322" s="6"/>
      <c r="E6322" s="3" t="s">
        <v>193</v>
      </c>
      <c r="F6322" s="164">
        <f>MATERIALES!C117</f>
        <v>5800</v>
      </c>
      <c r="G6322" s="65">
        <v>0.4</v>
      </c>
      <c r="H6322" s="165">
        <f t="shared" si="48"/>
        <v>2320</v>
      </c>
      <c r="I6322" s="44"/>
    </row>
    <row r="6323" spans="2:9" x14ac:dyDescent="0.15">
      <c r="B6323" s="4" t="s">
        <v>69</v>
      </c>
      <c r="C6323" s="24"/>
      <c r="D6323" s="6"/>
      <c r="E6323" s="3" t="s">
        <v>19</v>
      </c>
      <c r="F6323" s="164">
        <v>3000</v>
      </c>
      <c r="G6323" s="65">
        <v>1</v>
      </c>
      <c r="H6323" s="165">
        <f>G6323*F6323</f>
        <v>3000</v>
      </c>
      <c r="I6323" s="44"/>
    </row>
    <row r="6324" spans="2:9" ht="14" thickBot="1" x14ac:dyDescent="0.2">
      <c r="B6324" s="25"/>
      <c r="C6324" s="26"/>
      <c r="D6324" s="27"/>
      <c r="E6324" s="21"/>
      <c r="F6324" s="22"/>
      <c r="G6324" s="167"/>
      <c r="H6324" s="47"/>
      <c r="I6324" s="48"/>
    </row>
    <row r="6325" spans="2:9" ht="14" thickBot="1" x14ac:dyDescent="0.2">
      <c r="B6325" s="1"/>
      <c r="C6325" s="1"/>
      <c r="D6325" s="1"/>
      <c r="E6325" s="1"/>
      <c r="F6325" s="1"/>
      <c r="G6325" s="1"/>
      <c r="H6325" s="37" t="s">
        <v>26</v>
      </c>
      <c r="I6325" s="163">
        <f>SUM(H6314:H6323)</f>
        <v>185926</v>
      </c>
    </row>
    <row r="6326" spans="2:9" ht="14" thickBot="1" x14ac:dyDescent="0.2">
      <c r="B6326" s="28" t="s">
        <v>31</v>
      </c>
      <c r="C6326" s="28"/>
      <c r="D6326" s="26"/>
      <c r="E6326" s="1"/>
      <c r="F6326" s="1"/>
      <c r="G6326" s="1"/>
      <c r="H6326" s="1"/>
      <c r="I6326" s="1"/>
    </row>
    <row r="6327" spans="2:9" x14ac:dyDescent="0.15">
      <c r="B6327" s="51" t="s">
        <v>32</v>
      </c>
      <c r="C6327" s="52"/>
      <c r="D6327" s="97" t="s">
        <v>33</v>
      </c>
      <c r="E6327" s="209" t="s">
        <v>34</v>
      </c>
      <c r="F6327" s="209" t="s">
        <v>35</v>
      </c>
      <c r="G6327" s="209" t="s">
        <v>36</v>
      </c>
      <c r="H6327" s="59" t="s">
        <v>25</v>
      </c>
      <c r="I6327" s="43"/>
    </row>
    <row r="6328" spans="2:9" x14ac:dyDescent="0.15">
      <c r="B6328" s="4" t="s">
        <v>79</v>
      </c>
      <c r="C6328" s="6"/>
      <c r="D6328" s="53">
        <v>0.5</v>
      </c>
      <c r="E6328" s="2">
        <v>15</v>
      </c>
      <c r="F6328" s="2">
        <f>E6328*D6328</f>
        <v>7.5</v>
      </c>
      <c r="G6328" s="162">
        <v>1100</v>
      </c>
      <c r="H6328" s="20">
        <f>G6328*F6328</f>
        <v>8250</v>
      </c>
      <c r="I6328" s="44"/>
    </row>
    <row r="6329" spans="2:9" ht="14" thickBot="1" x14ac:dyDescent="0.2">
      <c r="B6329" s="33"/>
      <c r="C6329" s="54"/>
      <c r="D6329" s="21"/>
      <c r="E6329" s="22"/>
      <c r="F6329" s="23"/>
      <c r="G6329" s="47"/>
      <c r="H6329" s="21"/>
      <c r="I6329" s="48"/>
    </row>
    <row r="6330" spans="2:9" ht="14" thickBot="1" x14ac:dyDescent="0.2">
      <c r="B6330" s="1"/>
      <c r="C6330" s="1"/>
      <c r="D6330" s="1"/>
      <c r="E6330" s="1"/>
      <c r="F6330" s="1"/>
      <c r="G6330" s="1"/>
      <c r="H6330" s="37" t="s">
        <v>26</v>
      </c>
      <c r="I6330" s="163">
        <f>SUM(H6328:H6329)</f>
        <v>8250</v>
      </c>
    </row>
    <row r="6331" spans="2:9" ht="14" thickBot="1" x14ac:dyDescent="0.2">
      <c r="B6331" s="28" t="s">
        <v>37</v>
      </c>
      <c r="C6331" s="28"/>
      <c r="D6331" s="1"/>
      <c r="E6331" s="1"/>
      <c r="F6331" s="1"/>
      <c r="G6331" s="1"/>
      <c r="H6331" s="1"/>
      <c r="I6331" s="1"/>
    </row>
    <row r="6332" spans="2:9" x14ac:dyDescent="0.15">
      <c r="B6332" s="51" t="s">
        <v>38</v>
      </c>
      <c r="C6332" s="86"/>
      <c r="D6332" s="31" t="s">
        <v>39</v>
      </c>
      <c r="E6332" s="209" t="s">
        <v>40</v>
      </c>
      <c r="F6332" s="19" t="s">
        <v>41</v>
      </c>
      <c r="G6332" s="31" t="s">
        <v>24</v>
      </c>
      <c r="H6332" s="59" t="s">
        <v>25</v>
      </c>
      <c r="I6332" s="43"/>
    </row>
    <row r="6333" spans="2:9" x14ac:dyDescent="0.15">
      <c r="B6333" s="4" t="s">
        <v>1132</v>
      </c>
      <c r="C6333" s="24"/>
      <c r="D6333" s="32">
        <f>'MANO DE OBRA'!E17</f>
        <v>95333</v>
      </c>
      <c r="E6333" s="88">
        <v>1.75</v>
      </c>
      <c r="F6333" s="164">
        <f>+E6333*D6333</f>
        <v>166832.75</v>
      </c>
      <c r="G6333" s="20">
        <v>3</v>
      </c>
      <c r="H6333" s="169">
        <f>+F6333/G6333</f>
        <v>55610.916666666664</v>
      </c>
      <c r="I6333" s="44"/>
    </row>
    <row r="6334" spans="2:9" x14ac:dyDescent="0.15">
      <c r="B6334" s="4" t="s">
        <v>55</v>
      </c>
      <c r="C6334" s="24"/>
      <c r="D6334" s="32">
        <f>'MANO DE OBRA'!E14*2</f>
        <v>104000</v>
      </c>
      <c r="E6334" s="88">
        <v>1.75</v>
      </c>
      <c r="F6334" s="164">
        <f>+E6334*D6334</f>
        <v>182000</v>
      </c>
      <c r="G6334" s="20">
        <v>3</v>
      </c>
      <c r="H6334" s="169">
        <f>+F6334/G6334</f>
        <v>60666.666666666664</v>
      </c>
      <c r="I6334" s="44"/>
    </row>
    <row r="6335" spans="2:9" ht="14" thickBot="1" x14ac:dyDescent="0.2">
      <c r="B6335" s="33"/>
      <c r="C6335" s="34"/>
      <c r="D6335" s="22"/>
      <c r="E6335" s="21"/>
      <c r="F6335" s="22"/>
      <c r="G6335" s="23"/>
      <c r="H6335" s="87"/>
      <c r="I6335" s="44"/>
    </row>
    <row r="6336" spans="2:9" ht="14" thickBot="1" x14ac:dyDescent="0.2">
      <c r="B6336" s="1"/>
      <c r="C6336" s="1"/>
      <c r="D6336" s="1"/>
      <c r="E6336" s="1"/>
      <c r="F6336" s="1"/>
      <c r="G6336" s="1"/>
      <c r="H6336" s="37" t="s">
        <v>26</v>
      </c>
      <c r="I6336" s="163">
        <f>SUM(H6333:H6335)</f>
        <v>116277.58333333333</v>
      </c>
    </row>
    <row r="6337" spans="2:9" ht="14" thickBot="1" x14ac:dyDescent="0.2">
      <c r="B6337" s="1"/>
      <c r="C6337" s="1"/>
      <c r="D6337" s="1"/>
      <c r="E6337" s="1"/>
      <c r="F6337" s="1"/>
      <c r="G6337" s="1"/>
      <c r="H6337" s="61"/>
      <c r="I6337" s="1"/>
    </row>
    <row r="6338" spans="2:9" ht="15" thickBot="1" x14ac:dyDescent="0.2">
      <c r="B6338" s="1"/>
      <c r="C6338" s="1"/>
      <c r="D6338" s="1"/>
      <c r="E6338" s="1"/>
      <c r="F6338" s="35" t="s">
        <v>43</v>
      </c>
      <c r="G6338" s="16"/>
      <c r="H6338" s="16"/>
      <c r="I6338" s="232">
        <f>ROUND((I6311+I6325+I6330+I6336),0)</f>
        <v>316267</v>
      </c>
    </row>
    <row r="6339" spans="2:9" x14ac:dyDescent="0.15">
      <c r="B6339" s="1"/>
      <c r="C6339" s="1"/>
      <c r="D6339" s="1"/>
      <c r="E6339" s="1"/>
      <c r="F6339" s="1"/>
      <c r="G6339" s="161"/>
      <c r="H6339" s="172"/>
      <c r="I6339" s="172"/>
    </row>
    <row r="6340" spans="2:9" x14ac:dyDescent="0.15">
      <c r="B6340" s="1"/>
      <c r="C6340" s="1"/>
      <c r="D6340" s="1"/>
      <c r="E6340" s="1"/>
      <c r="F6340" s="1"/>
      <c r="G6340" s="161"/>
      <c r="H6340" s="172"/>
      <c r="I6340" s="172"/>
    </row>
    <row r="6341" spans="2:9" x14ac:dyDescent="0.15">
      <c r="B6341" s="1"/>
      <c r="C6341" s="1"/>
      <c r="D6341" s="1"/>
      <c r="E6341" s="1"/>
      <c r="F6341" s="1"/>
      <c r="G6341" s="161"/>
      <c r="H6341" s="172"/>
      <c r="I6341" s="172"/>
    </row>
    <row r="6342" spans="2:9" x14ac:dyDescent="0.15">
      <c r="B6342" s="1"/>
      <c r="C6342" s="1"/>
      <c r="D6342" s="1"/>
      <c r="E6342" s="1"/>
      <c r="F6342" s="1"/>
      <c r="G6342" s="161"/>
      <c r="H6342" s="172"/>
      <c r="I6342" s="172"/>
    </row>
    <row r="6343" spans="2:9" x14ac:dyDescent="0.15">
      <c r="B6343" s="1"/>
      <c r="C6343" s="1"/>
      <c r="D6343" s="1"/>
      <c r="E6343" s="1"/>
      <c r="F6343" s="1"/>
      <c r="G6343" s="161"/>
      <c r="H6343" s="172"/>
      <c r="I6343" s="172"/>
    </row>
    <row r="6344" spans="2:9" x14ac:dyDescent="0.15">
      <c r="B6344" s="1"/>
      <c r="C6344" s="1"/>
      <c r="D6344" s="1"/>
      <c r="E6344" s="1"/>
      <c r="F6344" s="1"/>
      <c r="G6344" s="161"/>
      <c r="H6344" s="172"/>
      <c r="I6344" s="172"/>
    </row>
    <row r="6345" spans="2:9" x14ac:dyDescent="0.15">
      <c r="B6345" s="1"/>
      <c r="C6345" s="1"/>
      <c r="D6345" s="1"/>
      <c r="E6345" s="1"/>
      <c r="F6345" s="1"/>
      <c r="G6345" s="161"/>
      <c r="H6345" s="172"/>
      <c r="I6345" s="172"/>
    </row>
    <row r="6346" spans="2:9" ht="14" x14ac:dyDescent="0.15">
      <c r="B6346" s="83"/>
      <c r="C6346" s="1"/>
      <c r="D6346" s="1"/>
      <c r="E6346" s="1"/>
      <c r="F6346" s="1"/>
      <c r="G6346" s="161"/>
      <c r="H6346" s="172"/>
      <c r="I6346" s="172"/>
    </row>
    <row r="6347" spans="2:9" x14ac:dyDescent="0.15">
      <c r="B6347" s="1"/>
      <c r="C6347" s="1"/>
      <c r="D6347" s="1"/>
      <c r="E6347" s="1"/>
      <c r="F6347" s="1"/>
      <c r="G6347" s="161"/>
      <c r="H6347" s="172"/>
      <c r="I6347" s="172"/>
    </row>
    <row r="6348" spans="2:9" x14ac:dyDescent="0.15">
      <c r="B6348" s="1"/>
      <c r="C6348" s="1"/>
      <c r="D6348" s="1"/>
      <c r="E6348" s="1"/>
      <c r="F6348" s="1"/>
      <c r="G6348" s="161"/>
      <c r="H6348" s="172"/>
      <c r="I6348" s="172"/>
    </row>
    <row r="6349" spans="2:9" x14ac:dyDescent="0.15">
      <c r="B6349" s="1"/>
      <c r="C6349" s="1"/>
      <c r="D6349" s="1"/>
      <c r="E6349" s="1"/>
      <c r="F6349" s="1"/>
      <c r="G6349" s="161"/>
      <c r="H6349" s="172"/>
      <c r="I6349" s="172"/>
    </row>
    <row r="6350" spans="2:9" x14ac:dyDescent="0.15">
      <c r="B6350" s="1"/>
      <c r="C6350" s="1"/>
      <c r="D6350" s="1"/>
      <c r="E6350" s="1"/>
      <c r="F6350" s="1"/>
      <c r="G6350" s="161"/>
      <c r="H6350" s="172"/>
      <c r="I6350" s="172"/>
    </row>
    <row r="6351" spans="2:9" x14ac:dyDescent="0.15">
      <c r="B6351" s="1"/>
      <c r="C6351" s="1"/>
      <c r="D6351" s="1"/>
      <c r="E6351" s="1"/>
      <c r="F6351" s="1"/>
      <c r="G6351" s="1"/>
      <c r="H6351" s="37"/>
      <c r="I6351" s="172"/>
    </row>
    <row r="6352" spans="2:9" ht="15" thickBot="1" x14ac:dyDescent="0.2">
      <c r="B6352" s="102"/>
      <c r="C6352" s="1"/>
      <c r="D6352" s="1"/>
      <c r="E6352" s="1"/>
      <c r="F6352" s="1"/>
      <c r="G6352" s="1"/>
      <c r="H6352" s="1"/>
      <c r="I6352" s="172"/>
    </row>
    <row r="6353" spans="2:9" ht="21" customHeight="1" x14ac:dyDescent="0.15">
      <c r="B6353" s="885" t="s">
        <v>874</v>
      </c>
      <c r="C6353" s="886"/>
      <c r="D6353" s="886"/>
      <c r="E6353" s="886"/>
      <c r="F6353" s="887"/>
      <c r="G6353" s="1"/>
      <c r="H6353" s="879" t="s">
        <v>20</v>
      </c>
      <c r="I6353" s="880"/>
    </row>
    <row r="6354" spans="2:9" ht="16.5" customHeight="1" x14ac:dyDescent="0.15">
      <c r="B6354" s="888" t="s">
        <v>875</v>
      </c>
      <c r="C6354" s="889"/>
      <c r="D6354" s="889"/>
      <c r="E6354" s="889"/>
      <c r="F6354" s="890"/>
      <c r="G6354" s="63"/>
      <c r="H6354" s="881"/>
      <c r="I6354" s="882"/>
    </row>
    <row r="6355" spans="2:9" ht="12.75" customHeight="1" x14ac:dyDescent="0.15">
      <c r="B6355" s="906" t="s">
        <v>876</v>
      </c>
      <c r="C6355" s="907"/>
      <c r="D6355" s="907"/>
      <c r="E6355" s="907"/>
      <c r="F6355" s="908"/>
      <c r="G6355" s="63"/>
      <c r="H6355" s="883"/>
      <c r="I6355" s="884"/>
    </row>
    <row r="6356" spans="2:9" ht="16.5" customHeight="1" thickBot="1" x14ac:dyDescent="0.2">
      <c r="B6356" s="909"/>
      <c r="C6356" s="910"/>
      <c r="D6356" s="910"/>
      <c r="E6356" s="910"/>
      <c r="F6356" s="911"/>
      <c r="G6356" s="1"/>
      <c r="H6356" s="873" t="s">
        <v>1215</v>
      </c>
      <c r="I6356" s="874"/>
    </row>
    <row r="6357" spans="2:9" ht="14" thickBot="1" x14ac:dyDescent="0.2">
      <c r="B6357" s="15"/>
      <c r="C6357" s="16"/>
      <c r="D6357" s="1"/>
      <c r="E6357" s="1"/>
      <c r="F6357" s="1"/>
      <c r="G6357" s="1"/>
      <c r="H6357" s="875"/>
      <c r="I6357" s="876"/>
    </row>
    <row r="6358" spans="2:9" ht="12.75" customHeight="1" x14ac:dyDescent="0.15">
      <c r="B6358" s="922" t="s">
        <v>836</v>
      </c>
      <c r="C6358" s="923"/>
      <c r="D6358" s="923"/>
      <c r="E6358" s="923"/>
      <c r="F6358" s="924"/>
      <c r="G6358" s="1"/>
      <c r="H6358" s="875"/>
      <c r="I6358" s="876"/>
    </row>
    <row r="6359" spans="2:9" ht="12.75" customHeight="1" x14ac:dyDescent="0.15">
      <c r="B6359" s="925"/>
      <c r="C6359" s="926"/>
      <c r="D6359" s="926"/>
      <c r="E6359" s="926"/>
      <c r="F6359" s="927"/>
      <c r="G6359" s="1"/>
      <c r="H6359" s="875"/>
      <c r="I6359" s="876"/>
    </row>
    <row r="6360" spans="2:9" ht="13.5" customHeight="1" x14ac:dyDescent="0.15">
      <c r="B6360" s="925"/>
      <c r="C6360" s="926"/>
      <c r="D6360" s="926"/>
      <c r="E6360" s="926"/>
      <c r="F6360" s="927"/>
      <c r="G6360" s="11"/>
      <c r="H6360" s="877"/>
      <c r="I6360" s="878"/>
    </row>
    <row r="6361" spans="2:9" ht="21.75" customHeight="1" thickBot="1" x14ac:dyDescent="0.2">
      <c r="B6361" s="928"/>
      <c r="C6361" s="929"/>
      <c r="D6361" s="929"/>
      <c r="E6361" s="929"/>
      <c r="F6361" s="930"/>
      <c r="H6361" s="64" t="s">
        <v>45</v>
      </c>
      <c r="I6361" s="17" t="s">
        <v>319</v>
      </c>
    </row>
    <row r="6362" spans="2:9" x14ac:dyDescent="0.15">
      <c r="B6362" s="18"/>
      <c r="C6362" s="18"/>
      <c r="D6362" s="1"/>
      <c r="E6362" s="18"/>
      <c r="F6362" s="18"/>
      <c r="G6362" s="18"/>
      <c r="H6362" s="18"/>
      <c r="I6362" s="1"/>
    </row>
    <row r="6363" spans="2:9" ht="14" thickBot="1" x14ac:dyDescent="0.2">
      <c r="B6363" s="12" t="s">
        <v>21</v>
      </c>
      <c r="C6363" s="12"/>
      <c r="D6363" s="1"/>
      <c r="E6363" s="1"/>
      <c r="F6363" s="1"/>
      <c r="G6363" s="1"/>
      <c r="H6363" s="1"/>
      <c r="I6363" s="1"/>
    </row>
    <row r="6364" spans="2:9" x14ac:dyDescent="0.15">
      <c r="B6364" s="903" t="s">
        <v>22</v>
      </c>
      <c r="C6364" s="904"/>
      <c r="D6364" s="905"/>
      <c r="E6364" s="209" t="s">
        <v>23</v>
      </c>
      <c r="F6364" s="19" t="s">
        <v>47</v>
      </c>
      <c r="G6364" s="209" t="s">
        <v>24</v>
      </c>
      <c r="H6364" s="208" t="s">
        <v>25</v>
      </c>
      <c r="I6364" s="43"/>
    </row>
    <row r="6365" spans="2:9" x14ac:dyDescent="0.15">
      <c r="B6365" s="897" t="s">
        <v>56</v>
      </c>
      <c r="C6365" s="898"/>
      <c r="D6365" s="899"/>
      <c r="E6365" s="5"/>
      <c r="F6365" s="162"/>
      <c r="G6365" s="58"/>
      <c r="H6365" s="162">
        <f>I6387*0.05</f>
        <v>17441.637500000001</v>
      </c>
      <c r="I6365" s="44"/>
    </row>
    <row r="6366" spans="2:9" x14ac:dyDescent="0.15">
      <c r="B6366" s="897"/>
      <c r="C6366" s="898"/>
      <c r="D6366" s="899"/>
      <c r="E6366" s="5"/>
      <c r="F6366" s="162"/>
      <c r="G6366" s="58"/>
      <c r="H6366" s="162"/>
      <c r="I6366" s="44"/>
    </row>
    <row r="6367" spans="2:9" ht="14" thickBot="1" x14ac:dyDescent="0.2">
      <c r="B6367" s="900"/>
      <c r="C6367" s="901"/>
      <c r="D6367" s="902"/>
      <c r="E6367" s="21"/>
      <c r="F6367" s="22"/>
      <c r="G6367" s="23"/>
      <c r="H6367" s="47"/>
      <c r="I6367" s="48"/>
    </row>
    <row r="6368" spans="2:9" ht="14" thickBot="1" x14ac:dyDescent="0.2">
      <c r="B6368" s="1"/>
      <c r="C6368" s="1"/>
      <c r="D6368" s="1"/>
      <c r="E6368" s="1"/>
      <c r="F6368" s="1"/>
      <c r="G6368" s="1"/>
      <c r="H6368" s="37" t="s">
        <v>26</v>
      </c>
      <c r="I6368" s="163">
        <f>SUM(H6365:H6367)</f>
        <v>17441.637500000001</v>
      </c>
    </row>
    <row r="6369" spans="2:11" ht="14" thickBot="1" x14ac:dyDescent="0.2">
      <c r="B6369" s="12" t="s">
        <v>27</v>
      </c>
      <c r="C6369" s="12"/>
      <c r="D6369" s="1"/>
      <c r="E6369" s="1"/>
      <c r="F6369" s="1"/>
      <c r="G6369" s="1"/>
      <c r="H6369" s="1"/>
      <c r="I6369" s="1"/>
    </row>
    <row r="6370" spans="2:11" x14ac:dyDescent="0.15">
      <c r="B6370" s="903" t="s">
        <v>22</v>
      </c>
      <c r="C6370" s="904"/>
      <c r="D6370" s="905"/>
      <c r="E6370" s="209" t="s">
        <v>28</v>
      </c>
      <c r="F6370" s="209" t="s">
        <v>29</v>
      </c>
      <c r="G6370" s="209" t="s">
        <v>30</v>
      </c>
      <c r="H6370" s="208" t="s">
        <v>25</v>
      </c>
      <c r="I6370" s="43"/>
    </row>
    <row r="6371" spans="2:11" x14ac:dyDescent="0.15">
      <c r="B6371" s="4" t="s">
        <v>1133</v>
      </c>
      <c r="C6371" s="24"/>
      <c r="D6371" s="6"/>
      <c r="E6371" s="3" t="s">
        <v>5</v>
      </c>
      <c r="F6371" s="164">
        <v>85000</v>
      </c>
      <c r="G6371" s="65">
        <f>2*0.6</f>
        <v>1.2</v>
      </c>
      <c r="H6371" s="165">
        <f t="shared" ref="H6371" si="49">G6371*F6371</f>
        <v>102000</v>
      </c>
      <c r="I6371" s="44"/>
    </row>
    <row r="6372" spans="2:11" x14ac:dyDescent="0.15">
      <c r="B6372" s="4"/>
      <c r="C6372" s="24"/>
      <c r="D6372" s="6"/>
      <c r="E6372" s="3"/>
      <c r="F6372" s="164"/>
      <c r="G6372" s="65"/>
      <c r="H6372" s="165"/>
      <c r="I6372" s="44"/>
    </row>
    <row r="6373" spans="2:11" x14ac:dyDescent="0.15">
      <c r="B6373" s="4"/>
      <c r="C6373" s="24"/>
      <c r="D6373" s="6"/>
      <c r="E6373" s="3"/>
      <c r="F6373" s="164"/>
      <c r="G6373" s="65"/>
      <c r="H6373" s="165"/>
      <c r="I6373" s="44"/>
    </row>
    <row r="6374" spans="2:11" x14ac:dyDescent="0.15">
      <c r="B6374" s="4"/>
      <c r="C6374" s="24"/>
      <c r="D6374" s="6"/>
      <c r="E6374" s="3"/>
      <c r="F6374" s="164"/>
      <c r="G6374" s="182"/>
      <c r="H6374" s="165"/>
      <c r="I6374" s="44"/>
    </row>
    <row r="6375" spans="2:11" ht="14" thickBot="1" x14ac:dyDescent="0.2">
      <c r="B6375" s="25"/>
      <c r="C6375" s="26"/>
      <c r="D6375" s="27"/>
      <c r="E6375" s="21"/>
      <c r="F6375" s="22"/>
      <c r="G6375" s="167"/>
      <c r="H6375" s="47"/>
      <c r="I6375" s="48"/>
    </row>
    <row r="6376" spans="2:11" ht="14" thickBot="1" x14ac:dyDescent="0.2">
      <c r="B6376" s="1"/>
      <c r="C6376" s="1"/>
      <c r="D6376" s="1"/>
      <c r="E6376" s="1"/>
      <c r="F6376" s="1"/>
      <c r="G6376" s="1"/>
      <c r="H6376" s="37" t="s">
        <v>26</v>
      </c>
      <c r="I6376" s="163">
        <f>SUM(H6371:H6374)</f>
        <v>102000</v>
      </c>
    </row>
    <row r="6377" spans="2:11" ht="14" thickBot="1" x14ac:dyDescent="0.2">
      <c r="B6377" s="28" t="s">
        <v>31</v>
      </c>
      <c r="C6377" s="28"/>
      <c r="D6377" s="26"/>
      <c r="E6377" s="1"/>
      <c r="F6377" s="1"/>
      <c r="G6377" s="1"/>
      <c r="H6377" s="1"/>
      <c r="I6377" s="1"/>
    </row>
    <row r="6378" spans="2:11" x14ac:dyDescent="0.15">
      <c r="B6378" s="51" t="s">
        <v>32</v>
      </c>
      <c r="C6378" s="52"/>
      <c r="D6378" s="97" t="s">
        <v>33</v>
      </c>
      <c r="E6378" s="209" t="s">
        <v>34</v>
      </c>
      <c r="F6378" s="209" t="s">
        <v>35</v>
      </c>
      <c r="G6378" s="209" t="s">
        <v>36</v>
      </c>
      <c r="H6378" s="59" t="s">
        <v>25</v>
      </c>
      <c r="I6378" s="43"/>
    </row>
    <row r="6379" spans="2:11" x14ac:dyDescent="0.15">
      <c r="B6379" s="4" t="s">
        <v>79</v>
      </c>
      <c r="C6379" s="6"/>
      <c r="D6379" s="53">
        <v>0.1</v>
      </c>
      <c r="E6379" s="2">
        <v>43</v>
      </c>
      <c r="F6379" s="2">
        <f>E6379*D6379</f>
        <v>4.3</v>
      </c>
      <c r="G6379" s="58">
        <v>1100</v>
      </c>
      <c r="H6379" s="20">
        <f>G6379*F6379</f>
        <v>4730</v>
      </c>
      <c r="I6379" s="44"/>
    </row>
    <row r="6380" spans="2:11" ht="14" thickBot="1" x14ac:dyDescent="0.2">
      <c r="B6380" s="33"/>
      <c r="C6380" s="54"/>
      <c r="D6380" s="21"/>
      <c r="E6380" s="22"/>
      <c r="F6380" s="23"/>
      <c r="G6380" s="47"/>
      <c r="H6380" s="21"/>
      <c r="I6380" s="48"/>
    </row>
    <row r="6381" spans="2:11" ht="14" thickBot="1" x14ac:dyDescent="0.2">
      <c r="B6381" s="1"/>
      <c r="C6381" s="1"/>
      <c r="D6381" s="1"/>
      <c r="E6381" s="1"/>
      <c r="F6381" s="1"/>
      <c r="G6381" s="1"/>
      <c r="H6381" s="37" t="s">
        <v>26</v>
      </c>
      <c r="I6381" s="163">
        <f>SUM(H6379:H6380)</f>
        <v>4730</v>
      </c>
    </row>
    <row r="6382" spans="2:11" ht="14" thickBot="1" x14ac:dyDescent="0.2">
      <c r="B6382" s="28" t="s">
        <v>37</v>
      </c>
      <c r="C6382" s="28"/>
      <c r="D6382" s="1"/>
      <c r="E6382" s="1"/>
      <c r="F6382" s="1"/>
      <c r="G6382" s="1"/>
      <c r="H6382" s="1"/>
      <c r="I6382" s="1"/>
    </row>
    <row r="6383" spans="2:11" x14ac:dyDescent="0.15">
      <c r="B6383" s="51" t="s">
        <v>38</v>
      </c>
      <c r="C6383" s="86"/>
      <c r="D6383" s="31" t="s">
        <v>39</v>
      </c>
      <c r="E6383" s="209" t="s">
        <v>40</v>
      </c>
      <c r="F6383" s="19" t="s">
        <v>41</v>
      </c>
      <c r="G6383" s="31" t="s">
        <v>24</v>
      </c>
      <c r="H6383" s="208" t="s">
        <v>25</v>
      </c>
      <c r="I6383" s="43"/>
    </row>
    <row r="6384" spans="2:11" x14ac:dyDescent="0.15">
      <c r="B6384" s="4" t="s">
        <v>882</v>
      </c>
      <c r="C6384" s="24"/>
      <c r="D6384" s="32">
        <f>'MANO DE OBRA'!E16</f>
        <v>95333</v>
      </c>
      <c r="E6384" s="88">
        <v>1.75</v>
      </c>
      <c r="F6384" s="164">
        <f>+E6384*D6384</f>
        <v>166832.75</v>
      </c>
      <c r="G6384" s="20">
        <v>1</v>
      </c>
      <c r="H6384" s="169">
        <f>+F6384/G6384</f>
        <v>166832.75</v>
      </c>
      <c r="I6384" s="44"/>
      <c r="K6384" s="106"/>
    </row>
    <row r="6385" spans="2:11" x14ac:dyDescent="0.15">
      <c r="B6385" s="4" t="s">
        <v>55</v>
      </c>
      <c r="C6385" s="24"/>
      <c r="D6385" s="32">
        <f>'MANO DE OBRA'!E14*2</f>
        <v>104000</v>
      </c>
      <c r="E6385" s="88">
        <v>1.75</v>
      </c>
      <c r="F6385" s="164">
        <f>+E6385*D6385</f>
        <v>182000</v>
      </c>
      <c r="G6385" s="20">
        <v>1</v>
      </c>
      <c r="H6385" s="169">
        <f>+F6385/G6385</f>
        <v>182000</v>
      </c>
      <c r="I6385" s="44"/>
    </row>
    <row r="6386" spans="2:11" ht="14" thickBot="1" x14ac:dyDescent="0.2">
      <c r="B6386" s="33"/>
      <c r="C6386" s="34"/>
      <c r="D6386" s="22"/>
      <c r="E6386" s="21"/>
      <c r="F6386" s="22"/>
      <c r="G6386" s="23"/>
      <c r="H6386" s="47"/>
      <c r="I6386" s="48"/>
    </row>
    <row r="6387" spans="2:11" ht="14" thickBot="1" x14ac:dyDescent="0.2">
      <c r="B6387" s="1"/>
      <c r="C6387" s="1"/>
      <c r="D6387" s="1"/>
      <c r="E6387" s="1"/>
      <c r="F6387" s="1"/>
      <c r="G6387" s="1"/>
      <c r="H6387" s="37" t="s">
        <v>26</v>
      </c>
      <c r="I6387" s="177">
        <f>SUM(H6384:H6385)</f>
        <v>348832.75</v>
      </c>
    </row>
    <row r="6388" spans="2:11" ht="14" thickBot="1" x14ac:dyDescent="0.2">
      <c r="B6388" s="1"/>
      <c r="C6388" s="1"/>
      <c r="D6388" s="1"/>
      <c r="E6388" s="1"/>
      <c r="F6388" s="1"/>
      <c r="G6388" s="1"/>
      <c r="H6388" s="61"/>
      <c r="I6388" s="1"/>
    </row>
    <row r="6389" spans="2:11" ht="15" thickBot="1" x14ac:dyDescent="0.2">
      <c r="B6389" s="1"/>
      <c r="C6389" s="1"/>
      <c r="D6389" s="1"/>
      <c r="E6389" s="1"/>
      <c r="F6389" s="35" t="s">
        <v>43</v>
      </c>
      <c r="G6389" s="16"/>
      <c r="H6389" s="16"/>
      <c r="I6389" s="232">
        <f>ROUND((I6368+I6376+I6381+I6387),0)</f>
        <v>473004</v>
      </c>
    </row>
    <row r="6390" spans="2:11" x14ac:dyDescent="0.15">
      <c r="B6390" s="12"/>
      <c r="C6390" s="12"/>
      <c r="D6390" s="1"/>
      <c r="E6390" s="1"/>
      <c r="F6390" s="1"/>
      <c r="G6390" s="1"/>
      <c r="H6390" s="172"/>
      <c r="I6390" s="172"/>
    </row>
    <row r="6391" spans="2:11" x14ac:dyDescent="0.15">
      <c r="B6391" s="16"/>
      <c r="C6391" s="16"/>
      <c r="D6391" s="16"/>
      <c r="E6391" s="16"/>
      <c r="F6391" s="16"/>
      <c r="G6391" s="61"/>
      <c r="H6391" s="173"/>
      <c r="I6391" s="172"/>
    </row>
    <row r="6392" spans="2:11" x14ac:dyDescent="0.15">
      <c r="B6392" s="1"/>
      <c r="C6392" s="1"/>
      <c r="D6392" s="1"/>
      <c r="E6392" s="1"/>
      <c r="F6392" s="1"/>
      <c r="G6392" s="161"/>
      <c r="H6392" s="172"/>
      <c r="I6392" s="172"/>
      <c r="K6392" s="174"/>
    </row>
    <row r="6393" spans="2:11" x14ac:dyDescent="0.15">
      <c r="B6393" s="1"/>
      <c r="C6393" s="1"/>
      <c r="D6393" s="1"/>
      <c r="E6393" s="1"/>
      <c r="F6393" s="1"/>
      <c r="G6393" s="161"/>
      <c r="H6393" s="172"/>
      <c r="I6393" s="172"/>
    </row>
    <row r="6394" spans="2:11" x14ac:dyDescent="0.15">
      <c r="B6394" s="1"/>
      <c r="C6394" s="1"/>
      <c r="D6394" s="1"/>
      <c r="E6394" s="1"/>
      <c r="F6394" s="1"/>
      <c r="G6394" s="161"/>
      <c r="H6394" s="172"/>
      <c r="I6394" s="172"/>
    </row>
    <row r="6395" spans="2:11" ht="14" x14ac:dyDescent="0.15">
      <c r="B6395" s="83"/>
      <c r="C6395" s="11"/>
      <c r="D6395" s="1"/>
      <c r="E6395" s="916"/>
      <c r="F6395" s="916"/>
      <c r="G6395" s="916"/>
      <c r="H6395" s="916"/>
      <c r="I6395" s="171"/>
    </row>
    <row r="6396" spans="2:11" ht="14" x14ac:dyDescent="0.15">
      <c r="B6396" s="102"/>
      <c r="C6396" s="11"/>
      <c r="D6396" s="1"/>
      <c r="E6396" s="155"/>
      <c r="F6396" s="155"/>
      <c r="G6396" s="155"/>
      <c r="H6396" s="155"/>
      <c r="I6396" s="171"/>
    </row>
    <row r="6397" spans="2:11" ht="14" x14ac:dyDescent="0.15">
      <c r="B6397" s="83"/>
      <c r="C6397" s="11"/>
      <c r="D6397" s="1"/>
      <c r="E6397" s="155"/>
      <c r="F6397" s="155"/>
      <c r="G6397" s="155"/>
      <c r="H6397" s="155"/>
      <c r="I6397" s="171"/>
    </row>
    <row r="6398" spans="2:11" x14ac:dyDescent="0.15">
      <c r="B6398" s="11"/>
      <c r="C6398" s="11"/>
      <c r="D6398" s="1"/>
      <c r="E6398" s="155"/>
      <c r="F6398" s="155"/>
      <c r="G6398" s="155"/>
      <c r="H6398" s="155"/>
      <c r="I6398" s="171"/>
    </row>
    <row r="6399" spans="2:11" x14ac:dyDescent="0.15">
      <c r="B6399" s="11"/>
      <c r="C6399" s="11"/>
      <c r="D6399" s="1"/>
      <c r="E6399" s="155"/>
      <c r="F6399" s="155"/>
      <c r="G6399" s="155"/>
      <c r="H6399" s="155"/>
      <c r="I6399" s="171"/>
    </row>
    <row r="6400" spans="2:11" x14ac:dyDescent="0.15">
      <c r="B6400" s="11"/>
      <c r="C6400" s="11"/>
      <c r="D6400" s="1"/>
      <c r="E6400" s="155"/>
      <c r="F6400" s="155"/>
      <c r="G6400" s="155"/>
      <c r="H6400" s="155"/>
      <c r="I6400" s="171"/>
    </row>
    <row r="6401" spans="2:11" x14ac:dyDescent="0.15">
      <c r="B6401" s="11"/>
      <c r="C6401" s="11"/>
      <c r="D6401" s="1"/>
      <c r="E6401" s="155"/>
      <c r="F6401" s="155"/>
      <c r="G6401" s="155"/>
      <c r="H6401" s="155"/>
      <c r="I6401" s="171"/>
    </row>
    <row r="6402" spans="2:11" x14ac:dyDescent="0.15">
      <c r="B6402" s="11"/>
      <c r="C6402" s="11"/>
      <c r="D6402" s="1"/>
      <c r="E6402" s="155"/>
      <c r="F6402" s="155"/>
      <c r="G6402" s="155"/>
      <c r="H6402" s="155"/>
      <c r="I6402" s="171"/>
    </row>
    <row r="6403" spans="2:11" x14ac:dyDescent="0.15">
      <c r="B6403" s="11"/>
      <c r="C6403" s="11"/>
      <c r="D6403" s="1"/>
      <c r="E6403" s="155"/>
      <c r="F6403" s="155"/>
      <c r="G6403" s="155"/>
      <c r="H6403" s="155"/>
      <c r="I6403" s="171"/>
    </row>
    <row r="6404" spans="2:11" x14ac:dyDescent="0.15">
      <c r="B6404" s="11"/>
      <c r="C6404" s="11"/>
      <c r="D6404" s="1"/>
      <c r="E6404" s="155"/>
      <c r="F6404" s="155"/>
      <c r="G6404" s="155"/>
      <c r="H6404" s="155"/>
      <c r="I6404" s="171"/>
    </row>
    <row r="6405" spans="2:11" x14ac:dyDescent="0.15">
      <c r="B6405" s="11"/>
      <c r="C6405" s="11"/>
      <c r="D6405" s="1"/>
      <c r="E6405" s="155"/>
      <c r="F6405" s="155"/>
      <c r="G6405" s="155"/>
      <c r="H6405" s="155"/>
      <c r="I6405" s="171"/>
    </row>
    <row r="6406" spans="2:11" x14ac:dyDescent="0.15">
      <c r="B6406" s="11"/>
      <c r="C6406" s="11"/>
      <c r="D6406" s="1"/>
      <c r="E6406" s="155"/>
      <c r="F6406" s="155"/>
      <c r="G6406" s="155"/>
      <c r="H6406" s="155"/>
      <c r="I6406" s="171"/>
    </row>
    <row r="6407" spans="2:11" ht="14" x14ac:dyDescent="0.15">
      <c r="B6407" s="102"/>
      <c r="C6407" s="83"/>
      <c r="D6407" s="84"/>
      <c r="E6407" s="83"/>
      <c r="F6407" s="83"/>
      <c r="G6407" s="103"/>
      <c r="H6407" s="83"/>
      <c r="I6407" s="85"/>
      <c r="J6407" s="85"/>
    </row>
    <row r="6408" spans="2:11" ht="15" thickBot="1" x14ac:dyDescent="0.2">
      <c r="B6408" s="83"/>
      <c r="C6408" s="83"/>
      <c r="D6408" s="84"/>
      <c r="E6408" s="83"/>
      <c r="F6408" s="83"/>
      <c r="G6408" s="104"/>
      <c r="H6408" s="83"/>
      <c r="I6408" s="85"/>
      <c r="J6408" s="85"/>
    </row>
    <row r="6409" spans="2:11" ht="21" customHeight="1" x14ac:dyDescent="0.15">
      <c r="B6409" s="885" t="s">
        <v>874</v>
      </c>
      <c r="C6409" s="886"/>
      <c r="D6409" s="886"/>
      <c r="E6409" s="886"/>
      <c r="F6409" s="887"/>
      <c r="G6409" s="1"/>
      <c r="H6409" s="912" t="s">
        <v>20</v>
      </c>
      <c r="I6409" s="913"/>
    </row>
    <row r="6410" spans="2:11" ht="16.5" customHeight="1" x14ac:dyDescent="0.15">
      <c r="B6410" s="888" t="s">
        <v>875</v>
      </c>
      <c r="C6410" s="889"/>
      <c r="D6410" s="889"/>
      <c r="E6410" s="889"/>
      <c r="F6410" s="890"/>
      <c r="G6410" s="63"/>
      <c r="H6410" s="943"/>
      <c r="I6410" s="944"/>
    </row>
    <row r="6411" spans="2:11" ht="12.75" customHeight="1" x14ac:dyDescent="0.15">
      <c r="B6411" s="906" t="s">
        <v>876</v>
      </c>
      <c r="C6411" s="907"/>
      <c r="D6411" s="907"/>
      <c r="E6411" s="907"/>
      <c r="F6411" s="908"/>
      <c r="G6411" s="63"/>
      <c r="H6411" s="945" t="s">
        <v>1216</v>
      </c>
      <c r="I6411" s="946"/>
    </row>
    <row r="6412" spans="2:11" ht="16.5" customHeight="1" thickBot="1" x14ac:dyDescent="0.2">
      <c r="B6412" s="909"/>
      <c r="C6412" s="910"/>
      <c r="D6412" s="910"/>
      <c r="E6412" s="910"/>
      <c r="F6412" s="911"/>
      <c r="G6412" s="1"/>
      <c r="H6412" s="945"/>
      <c r="I6412" s="946"/>
    </row>
    <row r="6413" spans="2:11" ht="13.5" customHeight="1" thickBot="1" x14ac:dyDescent="0.2">
      <c r="B6413" s="37"/>
      <c r="C6413" s="61"/>
      <c r="D6413" s="1"/>
      <c r="E6413" s="1"/>
      <c r="F6413" s="1"/>
      <c r="G6413" s="1"/>
      <c r="H6413" s="945"/>
      <c r="I6413" s="946"/>
    </row>
    <row r="6414" spans="2:11" ht="12.75" customHeight="1" x14ac:dyDescent="0.15">
      <c r="B6414" s="947" t="s">
        <v>836</v>
      </c>
      <c r="C6414" s="948"/>
      <c r="D6414" s="948"/>
      <c r="E6414" s="948"/>
      <c r="F6414" s="949"/>
      <c r="G6414" s="1"/>
      <c r="H6414" s="945"/>
      <c r="I6414" s="946"/>
      <c r="K6414" s="1"/>
    </row>
    <row r="6415" spans="2:11" ht="12.75" customHeight="1" x14ac:dyDescent="0.15">
      <c r="B6415" s="950"/>
      <c r="C6415" s="951"/>
      <c r="D6415" s="951"/>
      <c r="E6415" s="951"/>
      <c r="F6415" s="952"/>
      <c r="G6415" s="1"/>
      <c r="H6415" s="945"/>
      <c r="I6415" s="946"/>
      <c r="K6415" s="1"/>
    </row>
    <row r="6416" spans="2:11" ht="12.75" customHeight="1" x14ac:dyDescent="0.15">
      <c r="B6416" s="950"/>
      <c r="C6416" s="951"/>
      <c r="D6416" s="951"/>
      <c r="E6416" s="951"/>
      <c r="F6416" s="952"/>
      <c r="G6416" s="1"/>
      <c r="H6416" s="945"/>
      <c r="I6416" s="946"/>
      <c r="K6416" s="1"/>
    </row>
    <row r="6417" spans="2:9" ht="13.5" customHeight="1" x14ac:dyDescent="0.15">
      <c r="B6417" s="950"/>
      <c r="C6417" s="951"/>
      <c r="D6417" s="951"/>
      <c r="E6417" s="951"/>
      <c r="F6417" s="952"/>
      <c r="G6417" s="11"/>
      <c r="H6417" s="945"/>
      <c r="I6417" s="946"/>
    </row>
    <row r="6418" spans="2:9" ht="21.75" customHeight="1" thickBot="1" x14ac:dyDescent="0.2">
      <c r="B6418" s="953"/>
      <c r="C6418" s="954"/>
      <c r="D6418" s="954"/>
      <c r="E6418" s="954"/>
      <c r="F6418" s="955"/>
      <c r="H6418" s="64" t="s">
        <v>45</v>
      </c>
      <c r="I6418" s="17" t="s">
        <v>319</v>
      </c>
    </row>
    <row r="6419" spans="2:9" ht="13.5" customHeight="1" x14ac:dyDescent="0.15">
      <c r="B6419" s="379"/>
      <c r="C6419" s="379"/>
      <c r="D6419" s="379"/>
      <c r="E6419" s="379"/>
      <c r="F6419" s="379"/>
      <c r="G6419" s="18"/>
      <c r="H6419" s="18"/>
      <c r="I6419" s="1"/>
    </row>
    <row r="6420" spans="2:9" ht="14" thickBot="1" x14ac:dyDescent="0.2">
      <c r="B6420" s="12" t="s">
        <v>21</v>
      </c>
      <c r="C6420" s="12"/>
      <c r="D6420" s="1"/>
      <c r="E6420" s="1"/>
      <c r="F6420" s="1"/>
      <c r="G6420" s="1"/>
      <c r="H6420" s="1"/>
      <c r="I6420" s="1"/>
    </row>
    <row r="6421" spans="2:9" x14ac:dyDescent="0.15">
      <c r="B6421" s="903" t="s">
        <v>22</v>
      </c>
      <c r="C6421" s="904"/>
      <c r="D6421" s="905"/>
      <c r="E6421" s="209" t="s">
        <v>23</v>
      </c>
      <c r="F6421" s="19" t="s">
        <v>47</v>
      </c>
      <c r="G6421" s="209" t="s">
        <v>24</v>
      </c>
      <c r="H6421" s="208" t="s">
        <v>25</v>
      </c>
      <c r="I6421" s="43"/>
    </row>
    <row r="6422" spans="2:9" x14ac:dyDescent="0.15">
      <c r="B6422" s="897" t="s">
        <v>56</v>
      </c>
      <c r="C6422" s="898"/>
      <c r="D6422" s="899"/>
      <c r="E6422" s="5"/>
      <c r="F6422" s="162"/>
      <c r="G6422" s="58"/>
      <c r="H6422" s="162">
        <f>I6450*0.05</f>
        <v>18326.364583333336</v>
      </c>
      <c r="I6422" s="44"/>
    </row>
    <row r="6423" spans="2:9" ht="14" thickBot="1" x14ac:dyDescent="0.2">
      <c r="B6423" s="900"/>
      <c r="C6423" s="901"/>
      <c r="D6423" s="902"/>
      <c r="E6423" s="21"/>
      <c r="F6423" s="22"/>
      <c r="G6423" s="23"/>
      <c r="H6423" s="47"/>
      <c r="I6423" s="48"/>
    </row>
    <row r="6424" spans="2:9" ht="14" thickBot="1" x14ac:dyDescent="0.2">
      <c r="B6424" s="1"/>
      <c r="C6424" s="1"/>
      <c r="D6424" s="1"/>
      <c r="E6424" s="1"/>
      <c r="F6424" s="1"/>
      <c r="G6424" s="1"/>
      <c r="H6424" s="37" t="s">
        <v>26</v>
      </c>
      <c r="I6424" s="163">
        <f>SUM(H6422:H6423)</f>
        <v>18326.364583333336</v>
      </c>
    </row>
    <row r="6425" spans="2:9" ht="14" thickBot="1" x14ac:dyDescent="0.2">
      <c r="B6425" s="12" t="s">
        <v>27</v>
      </c>
      <c r="C6425" s="12"/>
      <c r="D6425" s="1"/>
      <c r="E6425" s="1"/>
      <c r="F6425" s="1"/>
      <c r="G6425" s="1"/>
      <c r="H6425" s="1"/>
      <c r="I6425" s="1"/>
    </row>
    <row r="6426" spans="2:9" x14ac:dyDescent="0.15">
      <c r="B6426" s="903" t="s">
        <v>22</v>
      </c>
      <c r="C6426" s="904"/>
      <c r="D6426" s="905"/>
      <c r="E6426" s="209" t="s">
        <v>28</v>
      </c>
      <c r="F6426" s="209" t="s">
        <v>29</v>
      </c>
      <c r="G6426" s="209" t="s">
        <v>30</v>
      </c>
      <c r="H6426" s="208" t="s">
        <v>25</v>
      </c>
      <c r="I6426" s="43"/>
    </row>
    <row r="6427" spans="2:9" x14ac:dyDescent="0.15">
      <c r="B6427" s="4" t="s">
        <v>1161</v>
      </c>
      <c r="C6427" s="24"/>
      <c r="D6427" s="6"/>
      <c r="E6427" s="3" t="s">
        <v>319</v>
      </c>
      <c r="F6427" s="164">
        <f>MATERIALES!C118</f>
        <v>227000</v>
      </c>
      <c r="G6427" s="65">
        <v>2</v>
      </c>
      <c r="H6427" s="165">
        <f t="shared" ref="H6427" si="50">G6427*F6427</f>
        <v>454000</v>
      </c>
      <c r="I6427" s="44"/>
    </row>
    <row r="6428" spans="2:9" x14ac:dyDescent="0.15">
      <c r="B6428" s="4" t="s">
        <v>305</v>
      </c>
      <c r="C6428" s="24"/>
      <c r="D6428" s="6"/>
      <c r="E6428" s="3" t="s">
        <v>193</v>
      </c>
      <c r="F6428" s="164">
        <f>MATERIALES!C119</f>
        <v>8750</v>
      </c>
      <c r="G6428" s="65">
        <v>5.4</v>
      </c>
      <c r="H6428" s="165">
        <f t="shared" ref="H6428:H6433" si="51">G6428*F6428</f>
        <v>47250</v>
      </c>
      <c r="I6428" s="44"/>
    </row>
    <row r="6429" spans="2:9" x14ac:dyDescent="0.15">
      <c r="B6429" s="4" t="s">
        <v>306</v>
      </c>
      <c r="C6429" s="24"/>
      <c r="D6429" s="6"/>
      <c r="E6429" s="3" t="s">
        <v>193</v>
      </c>
      <c r="F6429" s="164">
        <f>MATERIALES!C120</f>
        <v>17650</v>
      </c>
      <c r="G6429" s="65">
        <f>(6.75+0.85+0.85)*2</f>
        <v>16.899999999999999</v>
      </c>
      <c r="H6429" s="165">
        <f t="shared" si="51"/>
        <v>298285</v>
      </c>
      <c r="I6429" s="44"/>
    </row>
    <row r="6430" spans="2:9" x14ac:dyDescent="0.15">
      <c r="B6430" s="4" t="s">
        <v>307</v>
      </c>
      <c r="C6430" s="24"/>
      <c r="D6430" s="6"/>
      <c r="E6430" s="3" t="s">
        <v>193</v>
      </c>
      <c r="F6430" s="164">
        <f>MATERIALES!C121</f>
        <v>27880</v>
      </c>
      <c r="G6430" s="65">
        <v>7.05</v>
      </c>
      <c r="H6430" s="165">
        <f t="shared" si="51"/>
        <v>196554</v>
      </c>
      <c r="I6430" s="44"/>
    </row>
    <row r="6431" spans="2:9" x14ac:dyDescent="0.15">
      <c r="B6431" s="4" t="s">
        <v>74</v>
      </c>
      <c r="C6431" s="24"/>
      <c r="D6431" s="6"/>
      <c r="E6431" s="3" t="s">
        <v>58</v>
      </c>
      <c r="F6431" s="164">
        <f>MATERIALES!C106</f>
        <v>24500</v>
      </c>
      <c r="G6431" s="65">
        <v>2</v>
      </c>
      <c r="H6431" s="165">
        <f t="shared" si="51"/>
        <v>49000</v>
      </c>
      <c r="I6431" s="44"/>
    </row>
    <row r="6432" spans="2:9" x14ac:dyDescent="0.15">
      <c r="B6432" s="4" t="s">
        <v>119</v>
      </c>
      <c r="C6432" s="24"/>
      <c r="D6432" s="6"/>
      <c r="E6432" s="3" t="s">
        <v>76</v>
      </c>
      <c r="F6432" s="164">
        <f>MATERIALES!C107</f>
        <v>110500</v>
      </c>
      <c r="G6432" s="65">
        <v>0.35</v>
      </c>
      <c r="H6432" s="165">
        <f t="shared" si="51"/>
        <v>38675</v>
      </c>
      <c r="I6432" s="44"/>
    </row>
    <row r="6433" spans="2:9" x14ac:dyDescent="0.15">
      <c r="B6433" s="4" t="s">
        <v>75</v>
      </c>
      <c r="C6433" s="24"/>
      <c r="D6433" s="6"/>
      <c r="E6433" s="3" t="s">
        <v>76</v>
      </c>
      <c r="F6433" s="164">
        <f>MATERIALES!C109</f>
        <v>82420</v>
      </c>
      <c r="G6433" s="65">
        <v>0.35</v>
      </c>
      <c r="H6433" s="165">
        <f t="shared" si="51"/>
        <v>28846.999999999996</v>
      </c>
      <c r="I6433" s="44"/>
    </row>
    <row r="6434" spans="2:9" x14ac:dyDescent="0.15">
      <c r="B6434" s="4" t="s">
        <v>308</v>
      </c>
      <c r="C6434" s="24"/>
      <c r="D6434" s="6"/>
      <c r="E6434" s="3" t="s">
        <v>76</v>
      </c>
      <c r="F6434" s="164">
        <f>MATERIALES!C111</f>
        <v>60000</v>
      </c>
      <c r="G6434" s="65">
        <v>0.1</v>
      </c>
      <c r="H6434" s="165">
        <f>G6434*F6434</f>
        <v>6000</v>
      </c>
      <c r="I6434" s="44"/>
    </row>
    <row r="6435" spans="2:9" x14ac:dyDescent="0.15">
      <c r="B6435" s="4" t="s">
        <v>309</v>
      </c>
      <c r="C6435" s="24"/>
      <c r="D6435" s="6"/>
      <c r="E6435" s="3" t="s">
        <v>319</v>
      </c>
      <c r="F6435" s="164">
        <f>MATERIALES!C112</f>
        <v>4500</v>
      </c>
      <c r="G6435" s="65">
        <v>4</v>
      </c>
      <c r="H6435" s="165">
        <f t="shared" ref="H6435:H6436" si="52">G6435*F6435</f>
        <v>18000</v>
      </c>
      <c r="I6435" s="44"/>
    </row>
    <row r="6436" spans="2:9" x14ac:dyDescent="0.15">
      <c r="B6436" s="4" t="s">
        <v>311</v>
      </c>
      <c r="C6436" s="24"/>
      <c r="D6436" s="6"/>
      <c r="E6436" s="3" t="s">
        <v>193</v>
      </c>
      <c r="F6436" s="164">
        <f>MATERIALES!C117</f>
        <v>5800</v>
      </c>
      <c r="G6436" s="65">
        <v>2.2000000000000002</v>
      </c>
      <c r="H6436" s="165">
        <f t="shared" si="52"/>
        <v>12760.000000000002</v>
      </c>
      <c r="I6436" s="44"/>
    </row>
    <row r="6437" spans="2:9" x14ac:dyDescent="0.15">
      <c r="B6437" s="4" t="s">
        <v>69</v>
      </c>
      <c r="C6437" s="24"/>
      <c r="D6437" s="6"/>
      <c r="E6437" s="3" t="s">
        <v>19</v>
      </c>
      <c r="F6437" s="164">
        <v>65000</v>
      </c>
      <c r="G6437" s="65">
        <v>1</v>
      </c>
      <c r="H6437" s="165">
        <f>G6437*F6437</f>
        <v>65000</v>
      </c>
      <c r="I6437" s="44"/>
    </row>
    <row r="6438" spans="2:9" ht="14" thickBot="1" x14ac:dyDescent="0.2">
      <c r="B6438" s="25"/>
      <c r="C6438" s="26"/>
      <c r="D6438" s="27"/>
      <c r="E6438" s="21"/>
      <c r="F6438" s="22"/>
      <c r="G6438" s="167"/>
      <c r="H6438" s="47"/>
      <c r="I6438" s="48"/>
    </row>
    <row r="6439" spans="2:9" ht="14" thickBot="1" x14ac:dyDescent="0.2">
      <c r="B6439" s="1"/>
      <c r="C6439" s="1"/>
      <c r="D6439" s="1"/>
      <c r="E6439" s="1"/>
      <c r="F6439" s="1"/>
      <c r="G6439" s="1"/>
      <c r="H6439" s="37" t="s">
        <v>26</v>
      </c>
      <c r="I6439" s="163">
        <f>SUM(H6427:H6437)</f>
        <v>1214371</v>
      </c>
    </row>
    <row r="6440" spans="2:9" ht="14" thickBot="1" x14ac:dyDescent="0.2">
      <c r="B6440" s="28" t="s">
        <v>31</v>
      </c>
      <c r="C6440" s="28"/>
      <c r="D6440" s="26"/>
      <c r="E6440" s="1"/>
      <c r="F6440" s="1"/>
      <c r="G6440" s="1"/>
      <c r="H6440" s="1"/>
      <c r="I6440" s="1"/>
    </row>
    <row r="6441" spans="2:9" x14ac:dyDescent="0.15">
      <c r="B6441" s="51" t="s">
        <v>32</v>
      </c>
      <c r="C6441" s="52"/>
      <c r="D6441" s="97" t="s">
        <v>33</v>
      </c>
      <c r="E6441" s="209" t="s">
        <v>34</v>
      </c>
      <c r="F6441" s="209" t="s">
        <v>35</v>
      </c>
      <c r="G6441" s="209" t="s">
        <v>36</v>
      </c>
      <c r="H6441" s="59" t="s">
        <v>25</v>
      </c>
      <c r="I6441" s="43"/>
    </row>
    <row r="6442" spans="2:9" x14ac:dyDescent="0.15">
      <c r="B6442" s="4" t="s">
        <v>79</v>
      </c>
      <c r="C6442" s="6"/>
      <c r="D6442" s="53">
        <v>2</v>
      </c>
      <c r="E6442" s="2">
        <v>43</v>
      </c>
      <c r="F6442" s="2">
        <f>E6442*D6442</f>
        <v>86</v>
      </c>
      <c r="G6442" s="162">
        <v>1100</v>
      </c>
      <c r="H6442" s="20">
        <f>G6442*F6442</f>
        <v>94600</v>
      </c>
      <c r="I6442" s="44"/>
    </row>
    <row r="6443" spans="2:9" ht="14" thickBot="1" x14ac:dyDescent="0.2">
      <c r="B6443" s="33"/>
      <c r="C6443" s="54"/>
      <c r="D6443" s="21"/>
      <c r="E6443" s="22"/>
      <c r="F6443" s="23"/>
      <c r="G6443" s="47"/>
      <c r="H6443" s="21"/>
      <c r="I6443" s="48"/>
    </row>
    <row r="6444" spans="2:9" ht="14" thickBot="1" x14ac:dyDescent="0.2">
      <c r="B6444" s="1"/>
      <c r="C6444" s="1"/>
      <c r="D6444" s="1"/>
      <c r="E6444" s="1"/>
      <c r="F6444" s="1"/>
      <c r="G6444" s="1"/>
      <c r="H6444" s="37" t="s">
        <v>26</v>
      </c>
      <c r="I6444" s="163">
        <f>SUM(H6442:H6443)</f>
        <v>94600</v>
      </c>
    </row>
    <row r="6445" spans="2:9" ht="14" thickBot="1" x14ac:dyDescent="0.2">
      <c r="B6445" s="28" t="s">
        <v>37</v>
      </c>
      <c r="C6445" s="28"/>
      <c r="D6445" s="1"/>
      <c r="E6445" s="1"/>
      <c r="F6445" s="1"/>
      <c r="G6445" s="1"/>
      <c r="H6445" s="1"/>
      <c r="I6445" s="1"/>
    </row>
    <row r="6446" spans="2:9" x14ac:dyDescent="0.15">
      <c r="B6446" s="51" t="s">
        <v>38</v>
      </c>
      <c r="C6446" s="86"/>
      <c r="D6446" s="31" t="s">
        <v>39</v>
      </c>
      <c r="E6446" s="209" t="s">
        <v>40</v>
      </c>
      <c r="F6446" s="19" t="s">
        <v>41</v>
      </c>
      <c r="G6446" s="31" t="s">
        <v>24</v>
      </c>
      <c r="H6446" s="59" t="s">
        <v>25</v>
      </c>
      <c r="I6446" s="43"/>
    </row>
    <row r="6447" spans="2:9" x14ac:dyDescent="0.15">
      <c r="B6447" s="4" t="s">
        <v>1132</v>
      </c>
      <c r="C6447" s="24"/>
      <c r="D6447" s="32">
        <f>'MANO DE OBRA'!E17</f>
        <v>95333</v>
      </c>
      <c r="E6447" s="88">
        <v>1.75</v>
      </c>
      <c r="F6447" s="164">
        <f>+E6447*D6447</f>
        <v>166832.75</v>
      </c>
      <c r="G6447" s="20">
        <v>1.2</v>
      </c>
      <c r="H6447" s="169">
        <f>+F6447/G6447</f>
        <v>139027.29166666669</v>
      </c>
      <c r="I6447" s="44"/>
    </row>
    <row r="6448" spans="2:9" x14ac:dyDescent="0.15">
      <c r="B6448" s="4" t="s">
        <v>64</v>
      </c>
      <c r="C6448" s="24"/>
      <c r="D6448" s="32">
        <f>'MANO DE OBRA'!E14*3</f>
        <v>156000</v>
      </c>
      <c r="E6448" s="88">
        <v>1.75</v>
      </c>
      <c r="F6448" s="164">
        <f>+E6448*D6448</f>
        <v>273000</v>
      </c>
      <c r="G6448" s="20">
        <v>1.2</v>
      </c>
      <c r="H6448" s="169">
        <f>+F6448/G6448</f>
        <v>227500</v>
      </c>
      <c r="I6448" s="44"/>
    </row>
    <row r="6449" spans="2:9" ht="14" thickBot="1" x14ac:dyDescent="0.2">
      <c r="B6449" s="33"/>
      <c r="C6449" s="34"/>
      <c r="D6449" s="22"/>
      <c r="E6449" s="21"/>
      <c r="F6449" s="22"/>
      <c r="G6449" s="23"/>
      <c r="H6449" s="87"/>
      <c r="I6449" s="44"/>
    </row>
    <row r="6450" spans="2:9" ht="14" thickBot="1" x14ac:dyDescent="0.2">
      <c r="B6450" s="1"/>
      <c r="C6450" s="1"/>
      <c r="D6450" s="1"/>
      <c r="E6450" s="1"/>
      <c r="F6450" s="1"/>
      <c r="G6450" s="1"/>
      <c r="H6450" s="37" t="s">
        <v>26</v>
      </c>
      <c r="I6450" s="163">
        <f>SUM(H6447:H6449)</f>
        <v>366527.29166666669</v>
      </c>
    </row>
    <row r="6451" spans="2:9" ht="14" thickBot="1" x14ac:dyDescent="0.2">
      <c r="B6451" s="1"/>
      <c r="C6451" s="1"/>
      <c r="D6451" s="1"/>
      <c r="E6451" s="1"/>
      <c r="F6451" s="1"/>
      <c r="G6451" s="1"/>
      <c r="H6451" s="61"/>
      <c r="I6451" s="1"/>
    </row>
    <row r="6452" spans="2:9" ht="15" thickBot="1" x14ac:dyDescent="0.2">
      <c r="B6452" s="1"/>
      <c r="C6452" s="1"/>
      <c r="D6452" s="1"/>
      <c r="E6452" s="1"/>
      <c r="F6452" s="35" t="s">
        <v>43</v>
      </c>
      <c r="G6452" s="16"/>
      <c r="H6452" s="16"/>
      <c r="I6452" s="232">
        <f>ROUND((I6424+I6439+I6444+I6450),0)</f>
        <v>1693825</v>
      </c>
    </row>
    <row r="6453" spans="2:9" x14ac:dyDescent="0.15">
      <c r="B6453" s="1"/>
      <c r="C6453" s="1"/>
      <c r="D6453" s="1"/>
      <c r="E6453" s="1"/>
      <c r="F6453" s="1"/>
      <c r="G6453" s="161"/>
      <c r="H6453" s="172"/>
      <c r="I6453" s="172"/>
    </row>
    <row r="6454" spans="2:9" x14ac:dyDescent="0.15">
      <c r="B6454" s="1"/>
      <c r="C6454" s="1"/>
      <c r="D6454" s="1"/>
      <c r="E6454" s="1"/>
      <c r="F6454" s="1"/>
      <c r="G6454" s="161"/>
      <c r="H6454" s="172"/>
      <c r="I6454" s="172"/>
    </row>
    <row r="6455" spans="2:9" x14ac:dyDescent="0.15">
      <c r="B6455" s="1"/>
      <c r="C6455" s="1"/>
      <c r="D6455" s="1"/>
      <c r="E6455" s="1"/>
      <c r="F6455" s="1"/>
      <c r="G6455" s="161"/>
      <c r="H6455" s="172"/>
      <c r="I6455" s="172"/>
    </row>
    <row r="6456" spans="2:9" x14ac:dyDescent="0.15">
      <c r="B6456" s="1"/>
      <c r="C6456" s="1"/>
      <c r="D6456" s="1"/>
      <c r="E6456" s="1"/>
      <c r="F6456" s="1"/>
      <c r="G6456" s="161"/>
      <c r="H6456" s="172"/>
      <c r="I6456" s="172"/>
    </row>
    <row r="6457" spans="2:9" x14ac:dyDescent="0.15">
      <c r="B6457" s="1"/>
      <c r="C6457" s="1"/>
      <c r="D6457" s="1"/>
      <c r="E6457" s="1"/>
      <c r="F6457" s="1"/>
      <c r="G6457" s="161"/>
      <c r="H6457" s="172"/>
      <c r="I6457" s="172"/>
    </row>
    <row r="6458" spans="2:9" x14ac:dyDescent="0.15">
      <c r="B6458" s="1"/>
      <c r="C6458" s="1"/>
      <c r="D6458" s="1"/>
      <c r="E6458" s="1"/>
      <c r="F6458" s="1"/>
      <c r="G6458" s="161"/>
      <c r="H6458" s="172"/>
      <c r="I6458" s="172"/>
    </row>
    <row r="6459" spans="2:9" ht="14" x14ac:dyDescent="0.15">
      <c r="B6459" s="83"/>
      <c r="C6459" s="1"/>
      <c r="D6459" s="1"/>
      <c r="E6459" s="1"/>
      <c r="F6459" s="1"/>
      <c r="G6459" s="161"/>
      <c r="H6459" s="172"/>
      <c r="I6459" s="172"/>
    </row>
    <row r="6460" spans="2:9" x14ac:dyDescent="0.15">
      <c r="B6460" s="1"/>
      <c r="C6460" s="1"/>
      <c r="D6460" s="1"/>
      <c r="E6460" s="1"/>
      <c r="F6460" s="1"/>
      <c r="G6460" s="161"/>
      <c r="H6460" s="172"/>
      <c r="I6460" s="172"/>
    </row>
    <row r="6461" spans="2:9" x14ac:dyDescent="0.15">
      <c r="B6461" s="1"/>
      <c r="C6461" s="1"/>
      <c r="D6461" s="1"/>
      <c r="E6461" s="1"/>
      <c r="F6461" s="1"/>
      <c r="G6461" s="161"/>
      <c r="H6461" s="172"/>
      <c r="I6461" s="172"/>
    </row>
    <row r="6462" spans="2:9" x14ac:dyDescent="0.15">
      <c r="B6462" s="1"/>
      <c r="C6462" s="1"/>
      <c r="D6462" s="1"/>
      <c r="E6462" s="1"/>
      <c r="F6462" s="1"/>
      <c r="G6462" s="161"/>
      <c r="H6462" s="172"/>
      <c r="I6462" s="172"/>
    </row>
    <row r="6463" spans="2:9" x14ac:dyDescent="0.15">
      <c r="B6463" s="1"/>
      <c r="C6463" s="1"/>
      <c r="D6463" s="1"/>
      <c r="E6463" s="1"/>
      <c r="F6463" s="1"/>
      <c r="G6463" s="161"/>
      <c r="H6463" s="172"/>
      <c r="I6463" s="172"/>
    </row>
    <row r="6464" spans="2:9" x14ac:dyDescent="0.15">
      <c r="B6464" s="1"/>
      <c r="C6464" s="1"/>
      <c r="D6464" s="1"/>
      <c r="E6464" s="1"/>
      <c r="F6464" s="1"/>
      <c r="G6464" s="1"/>
      <c r="H6464" s="37"/>
      <c r="I6464" s="172"/>
    </row>
    <row r="6465" spans="2:11" ht="15" thickBot="1" x14ac:dyDescent="0.2">
      <c r="B6465" s="102"/>
      <c r="C6465" s="1"/>
      <c r="D6465" s="1"/>
      <c r="E6465" s="1"/>
      <c r="F6465" s="1"/>
      <c r="G6465" s="1"/>
      <c r="H6465" s="1"/>
      <c r="I6465" s="172"/>
    </row>
    <row r="6466" spans="2:11" ht="21" customHeight="1" x14ac:dyDescent="0.15">
      <c r="B6466" s="885" t="s">
        <v>874</v>
      </c>
      <c r="C6466" s="886"/>
      <c r="D6466" s="886"/>
      <c r="E6466" s="886"/>
      <c r="F6466" s="887"/>
      <c r="G6466" s="1"/>
      <c r="H6466" s="912" t="s">
        <v>20</v>
      </c>
      <c r="I6466" s="913"/>
    </row>
    <row r="6467" spans="2:11" ht="16.5" customHeight="1" x14ac:dyDescent="0.15">
      <c r="B6467" s="888" t="s">
        <v>875</v>
      </c>
      <c r="C6467" s="889"/>
      <c r="D6467" s="889"/>
      <c r="E6467" s="889"/>
      <c r="F6467" s="890"/>
      <c r="G6467" s="63"/>
      <c r="H6467" s="943"/>
      <c r="I6467" s="944"/>
    </row>
    <row r="6468" spans="2:11" ht="12.75" customHeight="1" x14ac:dyDescent="0.15">
      <c r="B6468" s="906" t="s">
        <v>876</v>
      </c>
      <c r="C6468" s="907"/>
      <c r="D6468" s="907"/>
      <c r="E6468" s="907"/>
      <c r="F6468" s="908"/>
      <c r="G6468" s="63"/>
      <c r="H6468" s="945" t="s">
        <v>1383</v>
      </c>
      <c r="I6468" s="946"/>
    </row>
    <row r="6469" spans="2:11" ht="16.5" customHeight="1" thickBot="1" x14ac:dyDescent="0.2">
      <c r="B6469" s="909"/>
      <c r="C6469" s="910"/>
      <c r="D6469" s="910"/>
      <c r="E6469" s="910"/>
      <c r="F6469" s="911"/>
      <c r="G6469" s="1"/>
      <c r="H6469" s="945"/>
      <c r="I6469" s="946"/>
    </row>
    <row r="6470" spans="2:11" ht="13.5" customHeight="1" thickBot="1" x14ac:dyDescent="0.2">
      <c r="B6470" s="37"/>
      <c r="C6470" s="61"/>
      <c r="D6470" s="1"/>
      <c r="E6470" s="1"/>
      <c r="F6470" s="1"/>
      <c r="G6470" s="1"/>
      <c r="H6470" s="945"/>
      <c r="I6470" s="946"/>
    </row>
    <row r="6471" spans="2:11" ht="12.75" customHeight="1" x14ac:dyDescent="0.15">
      <c r="B6471" s="947" t="s">
        <v>836</v>
      </c>
      <c r="C6471" s="948"/>
      <c r="D6471" s="948"/>
      <c r="E6471" s="948"/>
      <c r="F6471" s="949"/>
      <c r="G6471" s="1"/>
      <c r="H6471" s="945"/>
      <c r="I6471" s="946"/>
      <c r="K6471" s="1"/>
    </row>
    <row r="6472" spans="2:11" ht="12.75" customHeight="1" x14ac:dyDescent="0.15">
      <c r="B6472" s="950"/>
      <c r="C6472" s="951"/>
      <c r="D6472" s="951"/>
      <c r="E6472" s="951"/>
      <c r="F6472" s="952"/>
      <c r="G6472" s="1"/>
      <c r="H6472" s="945"/>
      <c r="I6472" s="946"/>
      <c r="K6472" s="1"/>
    </row>
    <row r="6473" spans="2:11" ht="12.75" customHeight="1" x14ac:dyDescent="0.15">
      <c r="B6473" s="950"/>
      <c r="C6473" s="951"/>
      <c r="D6473" s="951"/>
      <c r="E6473" s="951"/>
      <c r="F6473" s="952"/>
      <c r="G6473" s="1"/>
      <c r="H6473" s="945"/>
      <c r="I6473" s="946"/>
      <c r="K6473" s="1"/>
    </row>
    <row r="6474" spans="2:11" ht="13.5" customHeight="1" x14ac:dyDescent="0.15">
      <c r="B6474" s="950"/>
      <c r="C6474" s="951"/>
      <c r="D6474" s="951"/>
      <c r="E6474" s="951"/>
      <c r="F6474" s="952"/>
      <c r="G6474" s="11"/>
      <c r="H6474" s="945"/>
      <c r="I6474" s="946"/>
    </row>
    <row r="6475" spans="2:11" ht="21.75" customHeight="1" thickBot="1" x14ac:dyDescent="0.2">
      <c r="B6475" s="953"/>
      <c r="C6475" s="954"/>
      <c r="D6475" s="954"/>
      <c r="E6475" s="954"/>
      <c r="F6475" s="955"/>
      <c r="H6475" s="64" t="s">
        <v>45</v>
      </c>
      <c r="I6475" s="17" t="s">
        <v>5</v>
      </c>
    </row>
    <row r="6476" spans="2:11" ht="13.5" customHeight="1" x14ac:dyDescent="0.15">
      <c r="B6476" s="379"/>
      <c r="C6476" s="379"/>
      <c r="D6476" s="379"/>
      <c r="E6476" s="379"/>
      <c r="F6476" s="379"/>
      <c r="G6476" s="18"/>
      <c r="H6476" s="18"/>
      <c r="I6476" s="1"/>
    </row>
    <row r="6477" spans="2:11" ht="14" thickBot="1" x14ac:dyDescent="0.2">
      <c r="B6477" s="12" t="s">
        <v>21</v>
      </c>
      <c r="C6477" s="12"/>
      <c r="D6477" s="1"/>
      <c r="E6477" s="1"/>
      <c r="F6477" s="1"/>
      <c r="G6477" s="1"/>
      <c r="H6477" s="1"/>
      <c r="I6477" s="1"/>
    </row>
    <row r="6478" spans="2:11" x14ac:dyDescent="0.15">
      <c r="B6478" s="903" t="s">
        <v>22</v>
      </c>
      <c r="C6478" s="904"/>
      <c r="D6478" s="905"/>
      <c r="E6478" s="209" t="s">
        <v>23</v>
      </c>
      <c r="F6478" s="19" t="s">
        <v>47</v>
      </c>
      <c r="G6478" s="209" t="s">
        <v>24</v>
      </c>
      <c r="H6478" s="208" t="s">
        <v>25</v>
      </c>
      <c r="I6478" s="43"/>
    </row>
    <row r="6479" spans="2:11" x14ac:dyDescent="0.15">
      <c r="B6479" s="897" t="s">
        <v>56</v>
      </c>
      <c r="C6479" s="898"/>
      <c r="D6479" s="899"/>
      <c r="E6479" s="5"/>
      <c r="F6479" s="162"/>
      <c r="G6479" s="58"/>
      <c r="H6479" s="162">
        <f>I6507*0.05</f>
        <v>10995.81875</v>
      </c>
      <c r="I6479" s="44"/>
    </row>
    <row r="6480" spans="2:11" ht="14" thickBot="1" x14ac:dyDescent="0.2">
      <c r="B6480" s="900"/>
      <c r="C6480" s="901"/>
      <c r="D6480" s="902"/>
      <c r="E6480" s="21"/>
      <c r="F6480" s="22"/>
      <c r="G6480" s="23"/>
      <c r="H6480" s="47"/>
      <c r="I6480" s="48"/>
    </row>
    <row r="6481" spans="2:9" ht="14" thickBot="1" x14ac:dyDescent="0.2">
      <c r="B6481" s="1"/>
      <c r="C6481" s="1"/>
      <c r="D6481" s="1"/>
      <c r="E6481" s="1"/>
      <c r="F6481" s="1"/>
      <c r="G6481" s="1"/>
      <c r="H6481" s="37" t="s">
        <v>26</v>
      </c>
      <c r="I6481" s="163">
        <f>SUM(H6479:H6480)</f>
        <v>10995.81875</v>
      </c>
    </row>
    <row r="6482" spans="2:9" ht="14" thickBot="1" x14ac:dyDescent="0.2">
      <c r="B6482" s="12" t="s">
        <v>27</v>
      </c>
      <c r="C6482" s="12"/>
      <c r="D6482" s="1"/>
      <c r="E6482" s="1"/>
      <c r="F6482" s="1"/>
      <c r="G6482" s="1"/>
      <c r="H6482" s="1"/>
      <c r="I6482" s="1"/>
    </row>
    <row r="6483" spans="2:9" x14ac:dyDescent="0.15">
      <c r="B6483" s="903" t="s">
        <v>22</v>
      </c>
      <c r="C6483" s="904"/>
      <c r="D6483" s="905"/>
      <c r="E6483" s="209" t="s">
        <v>28</v>
      </c>
      <c r="F6483" s="209" t="s">
        <v>29</v>
      </c>
      <c r="G6483" s="209" t="s">
        <v>30</v>
      </c>
      <c r="H6483" s="208" t="s">
        <v>25</v>
      </c>
      <c r="I6483" s="43"/>
    </row>
    <row r="6484" spans="2:9" x14ac:dyDescent="0.15">
      <c r="B6484" s="4" t="s">
        <v>1161</v>
      </c>
      <c r="C6484" s="24"/>
      <c r="D6484" s="6"/>
      <c r="E6484" s="3" t="s">
        <v>319</v>
      </c>
      <c r="F6484" s="164">
        <f>MATERIALES!C118</f>
        <v>227000</v>
      </c>
      <c r="G6484" s="65">
        <v>0.5</v>
      </c>
      <c r="H6484" s="165">
        <f t="shared" ref="H6484:H6490" si="53">G6484*F6484</f>
        <v>113500</v>
      </c>
      <c r="I6484" s="44"/>
    </row>
    <row r="6485" spans="2:9" x14ac:dyDescent="0.15">
      <c r="B6485" s="4" t="s">
        <v>305</v>
      </c>
      <c r="C6485" s="24"/>
      <c r="D6485" s="6"/>
      <c r="E6485" s="3" t="s">
        <v>193</v>
      </c>
      <c r="F6485" s="164">
        <f>MATERIALES!C119</f>
        <v>8750</v>
      </c>
      <c r="G6485" s="65">
        <v>2.7</v>
      </c>
      <c r="H6485" s="165">
        <f t="shared" si="53"/>
        <v>23625</v>
      </c>
      <c r="I6485" s="44"/>
    </row>
    <row r="6486" spans="2:9" x14ac:dyDescent="0.15">
      <c r="B6486" s="4" t="s">
        <v>306</v>
      </c>
      <c r="C6486" s="24"/>
      <c r="D6486" s="6"/>
      <c r="E6486" s="3" t="s">
        <v>193</v>
      </c>
      <c r="F6486" s="164">
        <f>MATERIALES!C120</f>
        <v>17650</v>
      </c>
      <c r="G6486" s="65">
        <f>(6.75+0.85+0.85)*1</f>
        <v>8.4499999999999993</v>
      </c>
      <c r="H6486" s="165">
        <f t="shared" si="53"/>
        <v>149142.5</v>
      </c>
      <c r="I6486" s="44"/>
    </row>
    <row r="6487" spans="2:9" x14ac:dyDescent="0.15">
      <c r="B6487" s="4" t="s">
        <v>307</v>
      </c>
      <c r="C6487" s="24"/>
      <c r="D6487" s="6"/>
      <c r="E6487" s="3" t="s">
        <v>193</v>
      </c>
      <c r="F6487" s="164">
        <f>MATERIALES!C121</f>
        <v>27880</v>
      </c>
      <c r="G6487" s="65">
        <v>3.6</v>
      </c>
      <c r="H6487" s="165">
        <f t="shared" si="53"/>
        <v>100368</v>
      </c>
      <c r="I6487" s="44"/>
    </row>
    <row r="6488" spans="2:9" x14ac:dyDescent="0.15">
      <c r="B6488" s="4" t="s">
        <v>74</v>
      </c>
      <c r="C6488" s="24"/>
      <c r="D6488" s="6"/>
      <c r="E6488" s="3" t="s">
        <v>58</v>
      </c>
      <c r="F6488" s="164">
        <f>MATERIALES!C106</f>
        <v>24500</v>
      </c>
      <c r="G6488" s="65">
        <v>1.25</v>
      </c>
      <c r="H6488" s="165">
        <f t="shared" si="53"/>
        <v>30625</v>
      </c>
      <c r="I6488" s="44"/>
    </row>
    <row r="6489" spans="2:9" x14ac:dyDescent="0.15">
      <c r="B6489" s="4" t="s">
        <v>119</v>
      </c>
      <c r="C6489" s="24"/>
      <c r="D6489" s="6"/>
      <c r="E6489" s="3" t="s">
        <v>76</v>
      </c>
      <c r="F6489" s="164">
        <f>MATERIALES!C107</f>
        <v>110500</v>
      </c>
      <c r="G6489" s="65">
        <v>0.25</v>
      </c>
      <c r="H6489" s="165">
        <f t="shared" si="53"/>
        <v>27625</v>
      </c>
      <c r="I6489" s="44"/>
    </row>
    <row r="6490" spans="2:9" x14ac:dyDescent="0.15">
      <c r="B6490" s="4" t="s">
        <v>75</v>
      </c>
      <c r="C6490" s="24"/>
      <c r="D6490" s="6"/>
      <c r="E6490" s="3" t="s">
        <v>76</v>
      </c>
      <c r="F6490" s="164">
        <f>MATERIALES!C109</f>
        <v>82420</v>
      </c>
      <c r="G6490" s="65">
        <v>0.25</v>
      </c>
      <c r="H6490" s="165">
        <f t="shared" si="53"/>
        <v>20605</v>
      </c>
      <c r="I6490" s="44"/>
    </row>
    <row r="6491" spans="2:9" x14ac:dyDescent="0.15">
      <c r="B6491" s="4" t="s">
        <v>308</v>
      </c>
      <c r="C6491" s="24"/>
      <c r="D6491" s="6"/>
      <c r="E6491" s="3" t="s">
        <v>76</v>
      </c>
      <c r="F6491" s="164">
        <f>MATERIALES!C111</f>
        <v>60000</v>
      </c>
      <c r="G6491" s="65">
        <v>0.1</v>
      </c>
      <c r="H6491" s="165">
        <f>G6491*F6491</f>
        <v>6000</v>
      </c>
      <c r="I6491" s="44"/>
    </row>
    <row r="6492" spans="2:9" x14ac:dyDescent="0.15">
      <c r="B6492" s="4" t="s">
        <v>309</v>
      </c>
      <c r="C6492" s="24"/>
      <c r="D6492" s="6"/>
      <c r="E6492" s="3" t="s">
        <v>319</v>
      </c>
      <c r="F6492" s="164">
        <f>MATERIALES!C112</f>
        <v>4500</v>
      </c>
      <c r="G6492" s="65">
        <v>2</v>
      </c>
      <c r="H6492" s="165">
        <f t="shared" ref="H6492:H6493" si="54">G6492*F6492</f>
        <v>9000</v>
      </c>
      <c r="I6492" s="44"/>
    </row>
    <row r="6493" spans="2:9" x14ac:dyDescent="0.15">
      <c r="B6493" s="4" t="s">
        <v>311</v>
      </c>
      <c r="C6493" s="24"/>
      <c r="D6493" s="6"/>
      <c r="E6493" s="3" t="s">
        <v>193</v>
      </c>
      <c r="F6493" s="164">
        <f>MATERIALES!C117</f>
        <v>5800</v>
      </c>
      <c r="G6493" s="65">
        <v>1</v>
      </c>
      <c r="H6493" s="165">
        <f t="shared" si="54"/>
        <v>5800</v>
      </c>
      <c r="I6493" s="44"/>
    </row>
    <row r="6494" spans="2:9" x14ac:dyDescent="0.15">
      <c r="B6494" s="4" t="s">
        <v>69</v>
      </c>
      <c r="C6494" s="24"/>
      <c r="D6494" s="6"/>
      <c r="E6494" s="3" t="s">
        <v>19</v>
      </c>
      <c r="F6494" s="164">
        <v>65000</v>
      </c>
      <c r="G6494" s="65">
        <v>0.5</v>
      </c>
      <c r="H6494" s="165">
        <f>G6494*F6494</f>
        <v>32500</v>
      </c>
      <c r="I6494" s="44"/>
    </row>
    <row r="6495" spans="2:9" ht="14" thickBot="1" x14ac:dyDescent="0.2">
      <c r="B6495" s="25"/>
      <c r="C6495" s="26"/>
      <c r="D6495" s="27"/>
      <c r="E6495" s="21"/>
      <c r="F6495" s="22"/>
      <c r="G6495" s="167"/>
      <c r="H6495" s="47"/>
      <c r="I6495" s="48"/>
    </row>
    <row r="6496" spans="2:9" ht="14" thickBot="1" x14ac:dyDescent="0.2">
      <c r="B6496" s="1"/>
      <c r="C6496" s="1"/>
      <c r="D6496" s="1"/>
      <c r="E6496" s="1"/>
      <c r="F6496" s="1"/>
      <c r="G6496" s="1"/>
      <c r="H6496" s="37" t="s">
        <v>26</v>
      </c>
      <c r="I6496" s="163">
        <f>SUM(H6485:H6494)</f>
        <v>405290.5</v>
      </c>
    </row>
    <row r="6497" spans="2:9" ht="14" thickBot="1" x14ac:dyDescent="0.2">
      <c r="B6497" s="28" t="s">
        <v>31</v>
      </c>
      <c r="C6497" s="28"/>
      <c r="D6497" s="26"/>
      <c r="E6497" s="1"/>
      <c r="F6497" s="1"/>
      <c r="G6497" s="1"/>
      <c r="H6497" s="1"/>
      <c r="I6497" s="1"/>
    </row>
    <row r="6498" spans="2:9" x14ac:dyDescent="0.15">
      <c r="B6498" s="51" t="s">
        <v>32</v>
      </c>
      <c r="C6498" s="52"/>
      <c r="D6498" s="97" t="s">
        <v>33</v>
      </c>
      <c r="E6498" s="209" t="s">
        <v>34</v>
      </c>
      <c r="F6498" s="209" t="s">
        <v>35</v>
      </c>
      <c r="G6498" s="209" t="s">
        <v>36</v>
      </c>
      <c r="H6498" s="59" t="s">
        <v>25</v>
      </c>
      <c r="I6498" s="43"/>
    </row>
    <row r="6499" spans="2:9" x14ac:dyDescent="0.15">
      <c r="B6499" s="4" t="s">
        <v>79</v>
      </c>
      <c r="C6499" s="6"/>
      <c r="D6499" s="53">
        <v>1</v>
      </c>
      <c r="E6499" s="2">
        <v>43</v>
      </c>
      <c r="F6499" s="2">
        <f>E6499*D6499</f>
        <v>43</v>
      </c>
      <c r="G6499" s="162">
        <v>1100</v>
      </c>
      <c r="H6499" s="20">
        <f>G6499*F6499</f>
        <v>47300</v>
      </c>
      <c r="I6499" s="44"/>
    </row>
    <row r="6500" spans="2:9" ht="14" thickBot="1" x14ac:dyDescent="0.2">
      <c r="B6500" s="33"/>
      <c r="C6500" s="54"/>
      <c r="D6500" s="21"/>
      <c r="E6500" s="22"/>
      <c r="F6500" s="23"/>
      <c r="G6500" s="47"/>
      <c r="H6500" s="21"/>
      <c r="I6500" s="48"/>
    </row>
    <row r="6501" spans="2:9" ht="14" thickBot="1" x14ac:dyDescent="0.2">
      <c r="B6501" s="1"/>
      <c r="C6501" s="1"/>
      <c r="D6501" s="1"/>
      <c r="E6501" s="1"/>
      <c r="F6501" s="1"/>
      <c r="G6501" s="1"/>
      <c r="H6501" s="37" t="s">
        <v>26</v>
      </c>
      <c r="I6501" s="163">
        <f>SUM(H6499:H6500)</f>
        <v>47300</v>
      </c>
    </row>
    <row r="6502" spans="2:9" ht="14" thickBot="1" x14ac:dyDescent="0.2">
      <c r="B6502" s="28" t="s">
        <v>37</v>
      </c>
      <c r="C6502" s="28"/>
      <c r="D6502" s="1"/>
      <c r="E6502" s="1"/>
      <c r="F6502" s="1"/>
      <c r="G6502" s="1"/>
      <c r="H6502" s="1"/>
      <c r="I6502" s="1"/>
    </row>
    <row r="6503" spans="2:9" x14ac:dyDescent="0.15">
      <c r="B6503" s="51" t="s">
        <v>38</v>
      </c>
      <c r="C6503" s="86"/>
      <c r="D6503" s="31" t="s">
        <v>39</v>
      </c>
      <c r="E6503" s="209" t="s">
        <v>40</v>
      </c>
      <c r="F6503" s="19" t="s">
        <v>41</v>
      </c>
      <c r="G6503" s="31" t="s">
        <v>24</v>
      </c>
      <c r="H6503" s="59" t="s">
        <v>25</v>
      </c>
      <c r="I6503" s="43"/>
    </row>
    <row r="6504" spans="2:9" x14ac:dyDescent="0.15">
      <c r="B6504" s="4" t="s">
        <v>1132</v>
      </c>
      <c r="C6504" s="24"/>
      <c r="D6504" s="32">
        <f>'MANO DE OBRA'!E17</f>
        <v>95333</v>
      </c>
      <c r="E6504" s="88">
        <v>1.75</v>
      </c>
      <c r="F6504" s="164">
        <f>+E6504*D6504</f>
        <v>166832.75</v>
      </c>
      <c r="G6504" s="20">
        <v>2</v>
      </c>
      <c r="H6504" s="169">
        <f>+F6504/G6504</f>
        <v>83416.375</v>
      </c>
      <c r="I6504" s="44"/>
    </row>
    <row r="6505" spans="2:9" x14ac:dyDescent="0.15">
      <c r="B6505" s="4" t="s">
        <v>64</v>
      </c>
      <c r="C6505" s="24"/>
      <c r="D6505" s="32">
        <f>'MANO DE OBRA'!E14*3</f>
        <v>156000</v>
      </c>
      <c r="E6505" s="88">
        <v>1.75</v>
      </c>
      <c r="F6505" s="164">
        <f>+E6505*D6505</f>
        <v>273000</v>
      </c>
      <c r="G6505" s="20">
        <v>2</v>
      </c>
      <c r="H6505" s="169">
        <f>+F6505/G6505</f>
        <v>136500</v>
      </c>
      <c r="I6505" s="44"/>
    </row>
    <row r="6506" spans="2:9" ht="14" thickBot="1" x14ac:dyDescent="0.2">
      <c r="B6506" s="33"/>
      <c r="C6506" s="34"/>
      <c r="D6506" s="22"/>
      <c r="E6506" s="21"/>
      <c r="F6506" s="22"/>
      <c r="G6506" s="23"/>
      <c r="H6506" s="87"/>
      <c r="I6506" s="44"/>
    </row>
    <row r="6507" spans="2:9" ht="14" thickBot="1" x14ac:dyDescent="0.2">
      <c r="B6507" s="1"/>
      <c r="C6507" s="1"/>
      <c r="D6507" s="1"/>
      <c r="E6507" s="1"/>
      <c r="F6507" s="1"/>
      <c r="G6507" s="1"/>
      <c r="H6507" s="37" t="s">
        <v>26</v>
      </c>
      <c r="I6507" s="163">
        <f>SUM(H6504:H6506)</f>
        <v>219916.375</v>
      </c>
    </row>
    <row r="6508" spans="2:9" ht="14" thickBot="1" x14ac:dyDescent="0.2">
      <c r="B6508" s="1"/>
      <c r="C6508" s="1"/>
      <c r="D6508" s="1"/>
      <c r="E6508" s="1"/>
      <c r="F6508" s="1"/>
      <c r="G6508" s="1"/>
      <c r="H6508" s="61"/>
      <c r="I6508" s="1"/>
    </row>
    <row r="6509" spans="2:9" ht="15" thickBot="1" x14ac:dyDescent="0.2">
      <c r="B6509" s="1"/>
      <c r="C6509" s="1"/>
      <c r="D6509" s="1"/>
      <c r="E6509" s="1"/>
      <c r="F6509" s="35" t="s">
        <v>43</v>
      </c>
      <c r="G6509" s="16"/>
      <c r="H6509" s="16"/>
      <c r="I6509" s="232">
        <f>ROUND((I6481+I6496+I6501+I6507),0)</f>
        <v>683503</v>
      </c>
    </row>
    <row r="6510" spans="2:9" x14ac:dyDescent="0.15">
      <c r="B6510" s="1"/>
      <c r="C6510" s="1"/>
      <c r="D6510" s="1"/>
      <c r="E6510" s="1"/>
      <c r="F6510" s="1"/>
      <c r="G6510" s="161"/>
      <c r="H6510" s="172"/>
      <c r="I6510" s="172"/>
    </row>
    <row r="6511" spans="2:9" x14ac:dyDescent="0.15">
      <c r="B6511" s="1"/>
      <c r="C6511" s="1"/>
      <c r="D6511" s="1"/>
      <c r="E6511" s="1"/>
      <c r="F6511" s="1"/>
      <c r="G6511" s="161"/>
      <c r="H6511" s="172"/>
      <c r="I6511" s="172"/>
    </row>
    <row r="6512" spans="2:9" x14ac:dyDescent="0.15">
      <c r="B6512" s="1"/>
      <c r="C6512" s="1"/>
      <c r="D6512" s="1"/>
      <c r="E6512" s="1"/>
      <c r="F6512" s="1"/>
      <c r="G6512" s="161"/>
      <c r="H6512" s="172"/>
      <c r="I6512" s="172"/>
    </row>
    <row r="6513" spans="2:9" x14ac:dyDescent="0.15">
      <c r="B6513" s="1"/>
      <c r="C6513" s="1"/>
      <c r="D6513" s="1"/>
      <c r="E6513" s="1"/>
      <c r="F6513" s="1"/>
      <c r="G6513" s="161"/>
      <c r="H6513" s="172"/>
      <c r="I6513" s="172"/>
    </row>
    <row r="6514" spans="2:9" x14ac:dyDescent="0.15">
      <c r="B6514" s="1"/>
      <c r="C6514" s="1"/>
      <c r="D6514" s="1"/>
      <c r="E6514" s="1"/>
      <c r="F6514" s="1"/>
      <c r="G6514" s="161"/>
      <c r="H6514" s="172"/>
      <c r="I6514" s="172"/>
    </row>
    <row r="6515" spans="2:9" x14ac:dyDescent="0.15">
      <c r="B6515" s="1"/>
      <c r="C6515" s="1"/>
      <c r="D6515" s="1"/>
      <c r="E6515" s="1"/>
      <c r="F6515" s="1"/>
      <c r="G6515" s="161"/>
      <c r="H6515" s="172"/>
      <c r="I6515" s="172"/>
    </row>
    <row r="6516" spans="2:9" ht="14" x14ac:dyDescent="0.15">
      <c r="B6516" s="83"/>
      <c r="C6516" s="1"/>
      <c r="D6516" s="1"/>
      <c r="E6516" s="1"/>
      <c r="F6516" s="1"/>
      <c r="G6516" s="161"/>
      <c r="H6516" s="172"/>
      <c r="I6516" s="172"/>
    </row>
    <row r="6517" spans="2:9" x14ac:dyDescent="0.15">
      <c r="B6517" s="1"/>
      <c r="C6517" s="1"/>
      <c r="D6517" s="1"/>
      <c r="E6517" s="1"/>
      <c r="F6517" s="1"/>
      <c r="G6517" s="161"/>
      <c r="H6517" s="172"/>
      <c r="I6517" s="172"/>
    </row>
    <row r="6518" spans="2:9" x14ac:dyDescent="0.15">
      <c r="B6518" s="1"/>
      <c r="C6518" s="1"/>
      <c r="D6518" s="1"/>
      <c r="E6518" s="1"/>
      <c r="F6518" s="1"/>
      <c r="G6518" s="161"/>
      <c r="H6518" s="172"/>
      <c r="I6518" s="172"/>
    </row>
    <row r="6519" spans="2:9" x14ac:dyDescent="0.15">
      <c r="B6519" s="1"/>
      <c r="C6519" s="1"/>
      <c r="D6519" s="1"/>
      <c r="E6519" s="1"/>
      <c r="F6519" s="1"/>
      <c r="G6519" s="161"/>
      <c r="H6519" s="172"/>
      <c r="I6519" s="172"/>
    </row>
    <row r="6520" spans="2:9" x14ac:dyDescent="0.15">
      <c r="B6520" s="1"/>
      <c r="C6520" s="1"/>
      <c r="D6520" s="1"/>
      <c r="E6520" s="1"/>
      <c r="F6520" s="1"/>
      <c r="G6520" s="161"/>
      <c r="H6520" s="172"/>
      <c r="I6520" s="172"/>
    </row>
    <row r="6521" spans="2:9" x14ac:dyDescent="0.15">
      <c r="B6521" s="1"/>
      <c r="C6521" s="1"/>
      <c r="D6521" s="1"/>
      <c r="E6521" s="1"/>
      <c r="F6521" s="1"/>
      <c r="G6521" s="1"/>
      <c r="H6521" s="37"/>
      <c r="I6521" s="172"/>
    </row>
    <row r="6522" spans="2:9" ht="15" thickBot="1" x14ac:dyDescent="0.2">
      <c r="B6522" s="102"/>
      <c r="C6522" s="1"/>
      <c r="D6522" s="1"/>
      <c r="E6522" s="1"/>
      <c r="F6522" s="1"/>
      <c r="G6522" s="1"/>
      <c r="H6522" s="1"/>
      <c r="I6522" s="172"/>
    </row>
    <row r="6523" spans="2:9" ht="21" customHeight="1" x14ac:dyDescent="0.15">
      <c r="B6523" s="885" t="s">
        <v>874</v>
      </c>
      <c r="C6523" s="886"/>
      <c r="D6523" s="886"/>
      <c r="E6523" s="886"/>
      <c r="F6523" s="887"/>
      <c r="G6523" s="1"/>
      <c r="H6523" s="879" t="s">
        <v>20</v>
      </c>
      <c r="I6523" s="880"/>
    </row>
    <row r="6524" spans="2:9" ht="16.5" customHeight="1" x14ac:dyDescent="0.15">
      <c r="B6524" s="888" t="s">
        <v>875</v>
      </c>
      <c r="C6524" s="889"/>
      <c r="D6524" s="889"/>
      <c r="E6524" s="889"/>
      <c r="F6524" s="890"/>
      <c r="G6524" s="63"/>
      <c r="H6524" s="881"/>
      <c r="I6524" s="882"/>
    </row>
    <row r="6525" spans="2:9" ht="12.75" customHeight="1" x14ac:dyDescent="0.15">
      <c r="B6525" s="906" t="s">
        <v>876</v>
      </c>
      <c r="C6525" s="907"/>
      <c r="D6525" s="907"/>
      <c r="E6525" s="907"/>
      <c r="F6525" s="908"/>
      <c r="G6525" s="63"/>
      <c r="H6525" s="883"/>
      <c r="I6525" s="884"/>
    </row>
    <row r="6526" spans="2:9" ht="16.5" customHeight="1" thickBot="1" x14ac:dyDescent="0.2">
      <c r="B6526" s="909"/>
      <c r="C6526" s="910"/>
      <c r="D6526" s="910"/>
      <c r="E6526" s="910"/>
      <c r="F6526" s="911"/>
      <c r="G6526" s="1"/>
      <c r="H6526" s="891" t="s">
        <v>1428</v>
      </c>
      <c r="I6526" s="892"/>
    </row>
    <row r="6527" spans="2:9" ht="14" thickBot="1" x14ac:dyDescent="0.2">
      <c r="B6527" s="15"/>
      <c r="C6527" s="16"/>
      <c r="D6527" s="1"/>
      <c r="E6527" s="1"/>
      <c r="F6527" s="1"/>
      <c r="G6527" s="1"/>
      <c r="H6527" s="893"/>
      <c r="I6527" s="894"/>
    </row>
    <row r="6528" spans="2:9" ht="12.75" customHeight="1" x14ac:dyDescent="0.15">
      <c r="B6528" s="922" t="s">
        <v>836</v>
      </c>
      <c r="C6528" s="923"/>
      <c r="D6528" s="923"/>
      <c r="E6528" s="923"/>
      <c r="F6528" s="924"/>
      <c r="G6528" s="1"/>
      <c r="H6528" s="893"/>
      <c r="I6528" s="894"/>
    </row>
    <row r="6529" spans="1:10" ht="12.75" customHeight="1" x14ac:dyDescent="0.15">
      <c r="B6529" s="925"/>
      <c r="C6529" s="926"/>
      <c r="D6529" s="926"/>
      <c r="E6529" s="926"/>
      <c r="F6529" s="927"/>
      <c r="H6529" s="893"/>
      <c r="I6529" s="894"/>
    </row>
    <row r="6530" spans="1:10" ht="13.5" customHeight="1" x14ac:dyDescent="0.15">
      <c r="B6530" s="925"/>
      <c r="C6530" s="926"/>
      <c r="D6530" s="926"/>
      <c r="E6530" s="926"/>
      <c r="F6530" s="927"/>
      <c r="G6530" s="11"/>
      <c r="H6530" s="895"/>
      <c r="I6530" s="896"/>
    </row>
    <row r="6531" spans="1:10" ht="21.75" customHeight="1" thickBot="1" x14ac:dyDescent="0.2">
      <c r="B6531" s="928"/>
      <c r="C6531" s="929"/>
      <c r="D6531" s="929"/>
      <c r="E6531" s="929"/>
      <c r="F6531" s="930"/>
      <c r="H6531" s="64" t="s">
        <v>45</v>
      </c>
      <c r="I6531" s="17" t="s">
        <v>5</v>
      </c>
    </row>
    <row r="6532" spans="1:10" x14ac:dyDescent="0.15">
      <c r="B6532" s="18"/>
      <c r="C6532" s="18"/>
      <c r="D6532" s="1"/>
      <c r="E6532" s="18"/>
      <c r="F6532" s="18"/>
      <c r="G6532" s="18"/>
      <c r="H6532" s="18"/>
      <c r="I6532" s="1"/>
    </row>
    <row r="6533" spans="1:10" ht="14" thickBot="1" x14ac:dyDescent="0.2">
      <c r="B6533" s="12" t="s">
        <v>21</v>
      </c>
      <c r="C6533" s="12"/>
      <c r="D6533" s="1"/>
      <c r="E6533" s="1"/>
      <c r="F6533" s="1"/>
      <c r="G6533" s="1"/>
      <c r="H6533" s="1"/>
      <c r="I6533" s="1"/>
    </row>
    <row r="6534" spans="1:10" x14ac:dyDescent="0.15">
      <c r="B6534" s="903" t="s">
        <v>22</v>
      </c>
      <c r="C6534" s="904"/>
      <c r="D6534" s="905"/>
      <c r="E6534" s="209" t="s">
        <v>23</v>
      </c>
      <c r="F6534" s="19" t="s">
        <v>47</v>
      </c>
      <c r="G6534" s="209" t="s">
        <v>24</v>
      </c>
      <c r="H6534" s="208" t="s">
        <v>25</v>
      </c>
      <c r="I6534" s="43"/>
    </row>
    <row r="6535" spans="1:10" x14ac:dyDescent="0.15">
      <c r="B6535" s="897" t="s">
        <v>56</v>
      </c>
      <c r="C6535" s="898"/>
      <c r="D6535" s="899"/>
      <c r="E6535" s="5"/>
      <c r="F6535" s="458"/>
      <c r="G6535" s="58"/>
      <c r="H6535" s="426">
        <f>I6558*0.05</f>
        <v>3488.3275000000003</v>
      </c>
      <c r="I6535" s="44"/>
    </row>
    <row r="6536" spans="1:10" ht="14" thickBot="1" x14ac:dyDescent="0.2">
      <c r="B6536" s="900"/>
      <c r="C6536" s="901"/>
      <c r="D6536" s="902"/>
      <c r="E6536" s="21"/>
      <c r="F6536" s="22"/>
      <c r="G6536" s="23"/>
      <c r="H6536" s="47"/>
      <c r="I6536" s="48"/>
    </row>
    <row r="6537" spans="1:10" ht="14" thickBot="1" x14ac:dyDescent="0.2">
      <c r="B6537" s="1"/>
      <c r="C6537" s="1"/>
      <c r="D6537" s="1"/>
      <c r="E6537" s="1"/>
      <c r="F6537" s="1"/>
      <c r="G6537" s="1"/>
      <c r="H6537" s="37" t="s">
        <v>26</v>
      </c>
      <c r="I6537" s="448">
        <f>SUM(H6535:H6536)</f>
        <v>3488.3275000000003</v>
      </c>
    </row>
    <row r="6538" spans="1:10" ht="14" thickBot="1" x14ac:dyDescent="0.2">
      <c r="B6538" s="12" t="s">
        <v>27</v>
      </c>
      <c r="C6538" s="12"/>
      <c r="D6538" s="1"/>
      <c r="E6538" s="1"/>
      <c r="F6538" s="1"/>
      <c r="G6538" s="1"/>
      <c r="H6538" s="1"/>
      <c r="I6538" s="1"/>
    </row>
    <row r="6539" spans="1:10" x14ac:dyDescent="0.15">
      <c r="B6539" s="903" t="s">
        <v>22</v>
      </c>
      <c r="C6539" s="904"/>
      <c r="D6539" s="905"/>
      <c r="E6539" s="209" t="s">
        <v>28</v>
      </c>
      <c r="F6539" s="209" t="s">
        <v>29</v>
      </c>
      <c r="G6539" s="209" t="s">
        <v>30</v>
      </c>
      <c r="H6539" s="208" t="s">
        <v>25</v>
      </c>
      <c r="I6539" s="43"/>
    </row>
    <row r="6540" spans="1:10" x14ac:dyDescent="0.15">
      <c r="A6540" s="11"/>
      <c r="B6540" s="4" t="s">
        <v>1426</v>
      </c>
      <c r="C6540" s="24"/>
      <c r="D6540" s="6"/>
      <c r="E6540" s="3" t="s">
        <v>5</v>
      </c>
      <c r="F6540" s="419">
        <f>MATERIALES!C189</f>
        <v>472500.00000000006</v>
      </c>
      <c r="G6540" s="65">
        <v>1</v>
      </c>
      <c r="H6540" s="426">
        <f>G6540*F6540</f>
        <v>472500.00000000006</v>
      </c>
      <c r="I6540" s="44"/>
      <c r="J6540" s="11"/>
    </row>
    <row r="6541" spans="1:10" x14ac:dyDescent="0.15">
      <c r="B6541" s="4" t="s">
        <v>69</v>
      </c>
      <c r="C6541" s="24"/>
      <c r="D6541" s="6"/>
      <c r="E6541" s="3" t="s">
        <v>19</v>
      </c>
      <c r="F6541" s="419">
        <v>15000</v>
      </c>
      <c r="G6541" s="65">
        <v>0.5</v>
      </c>
      <c r="H6541" s="426">
        <f>G6541*F6541</f>
        <v>7500</v>
      </c>
      <c r="I6541" s="44"/>
    </row>
    <row r="6542" spans="1:10" x14ac:dyDescent="0.15">
      <c r="B6542" s="4"/>
      <c r="C6542" s="24"/>
      <c r="D6542" s="6"/>
      <c r="E6542" s="3"/>
      <c r="F6542" s="419"/>
      <c r="G6542" s="65"/>
      <c r="H6542" s="426"/>
      <c r="I6542" s="44"/>
    </row>
    <row r="6543" spans="1:10" x14ac:dyDescent="0.15">
      <c r="B6543" s="4"/>
      <c r="C6543" s="24"/>
      <c r="D6543" s="6"/>
      <c r="E6543" s="3"/>
      <c r="F6543" s="419"/>
      <c r="G6543" s="65"/>
      <c r="H6543" s="426"/>
      <c r="I6543" s="44"/>
    </row>
    <row r="6544" spans="1:10" ht="14" thickBot="1" x14ac:dyDescent="0.2">
      <c r="B6544" s="25"/>
      <c r="C6544" s="26"/>
      <c r="D6544" s="27"/>
      <c r="E6544" s="21"/>
      <c r="F6544" s="22"/>
      <c r="G6544" s="425"/>
      <c r="H6544" s="47"/>
      <c r="I6544" s="48"/>
    </row>
    <row r="6545" spans="2:9" ht="14" thickBot="1" x14ac:dyDescent="0.2">
      <c r="B6545" s="1"/>
      <c r="C6545" s="1"/>
      <c r="D6545" s="1"/>
      <c r="E6545" s="1"/>
      <c r="F6545" s="1"/>
      <c r="G6545" s="1"/>
      <c r="H6545" s="37" t="s">
        <v>26</v>
      </c>
      <c r="I6545" s="448">
        <f>SUM(H6540:H6543)</f>
        <v>480000.00000000006</v>
      </c>
    </row>
    <row r="6546" spans="2:9" ht="14" thickBot="1" x14ac:dyDescent="0.2">
      <c r="B6546" s="28" t="s">
        <v>31</v>
      </c>
      <c r="C6546" s="28"/>
      <c r="D6546" s="26"/>
      <c r="E6546" s="1"/>
      <c r="F6546" s="1"/>
      <c r="G6546" s="1"/>
      <c r="H6546" s="1"/>
      <c r="I6546" s="1"/>
    </row>
    <row r="6547" spans="2:9" x14ac:dyDescent="0.15">
      <c r="B6547" s="51" t="s">
        <v>32</v>
      </c>
      <c r="C6547" s="52"/>
      <c r="D6547" s="378" t="s">
        <v>33</v>
      </c>
      <c r="E6547" s="209" t="s">
        <v>34</v>
      </c>
      <c r="F6547" s="209" t="s">
        <v>35</v>
      </c>
      <c r="G6547" s="209" t="s">
        <v>36</v>
      </c>
      <c r="H6547" s="59" t="s">
        <v>25</v>
      </c>
      <c r="I6547" s="43"/>
    </row>
    <row r="6548" spans="2:9" x14ac:dyDescent="0.15">
      <c r="B6548" s="4" t="s">
        <v>79</v>
      </c>
      <c r="C6548" s="6"/>
      <c r="D6548" s="53">
        <v>1</v>
      </c>
      <c r="E6548" s="2">
        <v>43</v>
      </c>
      <c r="F6548" s="2">
        <f>E6548*D6548</f>
        <v>43</v>
      </c>
      <c r="G6548" s="162">
        <v>1100</v>
      </c>
      <c r="H6548" s="20">
        <f>G6548*F6548</f>
        <v>47300</v>
      </c>
      <c r="I6548" s="44"/>
    </row>
    <row r="6549" spans="2:9" x14ac:dyDescent="0.15">
      <c r="B6549" s="415"/>
      <c r="C6549" s="66"/>
      <c r="D6549" s="67"/>
      <c r="E6549" s="68"/>
      <c r="F6549" s="68"/>
      <c r="G6549" s="69"/>
      <c r="H6549" s="65"/>
      <c r="I6549" s="44"/>
    </row>
    <row r="6550" spans="2:9" ht="14" thickBot="1" x14ac:dyDescent="0.2">
      <c r="B6550" s="33"/>
      <c r="C6550" s="54"/>
      <c r="D6550" s="21"/>
      <c r="E6550" s="22"/>
      <c r="F6550" s="23"/>
      <c r="G6550" s="47"/>
      <c r="H6550" s="21"/>
      <c r="I6550" s="44"/>
    </row>
    <row r="6551" spans="2:9" ht="14" thickBot="1" x14ac:dyDescent="0.2">
      <c r="B6551" s="1"/>
      <c r="C6551" s="1"/>
      <c r="D6551" s="1"/>
      <c r="E6551" s="1"/>
      <c r="F6551" s="1"/>
      <c r="G6551" s="1"/>
      <c r="H6551" s="37" t="s">
        <v>26</v>
      </c>
      <c r="I6551" s="448">
        <f>SUM(H6548:H6550)</f>
        <v>47300</v>
      </c>
    </row>
    <row r="6552" spans="2:9" ht="14" thickBot="1" x14ac:dyDescent="0.2">
      <c r="B6552" s="28" t="s">
        <v>37</v>
      </c>
      <c r="C6552" s="28"/>
      <c r="D6552" s="1"/>
      <c r="E6552" s="1"/>
      <c r="F6552" s="1"/>
      <c r="G6552" s="1"/>
      <c r="H6552" s="1"/>
      <c r="I6552" s="1"/>
    </row>
    <row r="6553" spans="2:9" x14ac:dyDescent="0.15">
      <c r="B6553" s="51" t="s">
        <v>38</v>
      </c>
      <c r="C6553" s="86"/>
      <c r="D6553" s="31" t="s">
        <v>39</v>
      </c>
      <c r="E6553" s="209" t="s">
        <v>40</v>
      </c>
      <c r="F6553" s="19" t="s">
        <v>41</v>
      </c>
      <c r="G6553" s="31" t="s">
        <v>24</v>
      </c>
      <c r="H6553" s="208" t="s">
        <v>25</v>
      </c>
      <c r="I6553" s="43"/>
    </row>
    <row r="6554" spans="2:9" x14ac:dyDescent="0.15">
      <c r="B6554" s="80" t="s">
        <v>956</v>
      </c>
      <c r="C6554" s="24"/>
      <c r="D6554" s="32">
        <f>'MANO DE OBRA'!E15</f>
        <v>95333</v>
      </c>
      <c r="E6554" s="88">
        <v>1.75</v>
      </c>
      <c r="F6554" s="419">
        <f>+E6554*D6554</f>
        <v>166832.75</v>
      </c>
      <c r="G6554" s="20">
        <v>5</v>
      </c>
      <c r="H6554" s="420">
        <f>+F6554/G6554</f>
        <v>33366.550000000003</v>
      </c>
      <c r="I6554" s="44"/>
    </row>
    <row r="6555" spans="2:9" x14ac:dyDescent="0.15">
      <c r="B6555" s="80" t="s">
        <v>55</v>
      </c>
      <c r="C6555" s="24"/>
      <c r="D6555" s="32">
        <f>'MANO DE OBRA'!E14*2</f>
        <v>104000</v>
      </c>
      <c r="E6555" s="88">
        <v>1.75</v>
      </c>
      <c r="F6555" s="419">
        <f>+E6555*D6555</f>
        <v>182000</v>
      </c>
      <c r="G6555" s="20">
        <v>5</v>
      </c>
      <c r="H6555" s="420">
        <f>+F6555/G6555</f>
        <v>36400</v>
      </c>
      <c r="I6555" s="44"/>
    </row>
    <row r="6556" spans="2:9" x14ac:dyDescent="0.15">
      <c r="B6556" s="4"/>
      <c r="C6556" s="24"/>
      <c r="D6556" s="32"/>
      <c r="E6556" s="168"/>
      <c r="F6556" s="20"/>
      <c r="G6556" s="20"/>
      <c r="H6556" s="55"/>
      <c r="I6556" s="44"/>
    </row>
    <row r="6557" spans="2:9" ht="14" thickBot="1" x14ac:dyDescent="0.2">
      <c r="B6557" s="33"/>
      <c r="C6557" s="34"/>
      <c r="D6557" s="22"/>
      <c r="E6557" s="21"/>
      <c r="F6557" s="22"/>
      <c r="G6557" s="23"/>
      <c r="H6557" s="47"/>
      <c r="I6557" s="48"/>
    </row>
    <row r="6558" spans="2:9" ht="14" thickBot="1" x14ac:dyDescent="0.2">
      <c r="B6558" s="1"/>
      <c r="C6558" s="1"/>
      <c r="D6558" s="1"/>
      <c r="E6558" s="1"/>
      <c r="F6558" s="1"/>
      <c r="G6558" s="1"/>
      <c r="H6558" s="37" t="s">
        <v>26</v>
      </c>
      <c r="I6558" s="424">
        <f>SUM(H6554:H6557)</f>
        <v>69766.55</v>
      </c>
    </row>
    <row r="6559" spans="2:9" ht="14" thickBot="1" x14ac:dyDescent="0.2">
      <c r="B6559" s="1"/>
      <c r="C6559" s="1"/>
      <c r="D6559" s="1"/>
      <c r="E6559" s="1"/>
      <c r="F6559" s="1"/>
      <c r="G6559" s="1"/>
      <c r="H6559" s="61"/>
      <c r="I6559" s="1"/>
    </row>
    <row r="6560" spans="2:9" ht="15" thickBot="1" x14ac:dyDescent="0.2">
      <c r="B6560" s="1"/>
      <c r="C6560" s="1"/>
      <c r="D6560" s="1"/>
      <c r="E6560" s="1"/>
      <c r="F6560" s="35" t="s">
        <v>43</v>
      </c>
      <c r="G6560" s="16"/>
      <c r="H6560" s="16"/>
      <c r="I6560" s="232">
        <f>ROUND((I6537+I6545+I6551+I6558),0)</f>
        <v>600555</v>
      </c>
    </row>
    <row r="6561" spans="2:9" ht="14" x14ac:dyDescent="0.15">
      <c r="B6561" s="1"/>
      <c r="C6561" s="1"/>
      <c r="D6561" s="1"/>
      <c r="E6561" s="1"/>
      <c r="F6561" s="15"/>
      <c r="G6561" s="16"/>
      <c r="H6561" s="16"/>
      <c r="I6561" s="478"/>
    </row>
    <row r="6562" spans="2:9" ht="14" x14ac:dyDescent="0.15">
      <c r="B6562" s="1"/>
      <c r="C6562" s="1"/>
      <c r="D6562" s="1"/>
      <c r="E6562" s="1"/>
      <c r="F6562" s="15"/>
      <c r="G6562" s="16"/>
      <c r="H6562" s="16"/>
      <c r="I6562" s="478"/>
    </row>
    <row r="6563" spans="2:9" ht="14" x14ac:dyDescent="0.15">
      <c r="B6563" s="1"/>
      <c r="C6563" s="1"/>
      <c r="D6563" s="1"/>
      <c r="E6563" s="1"/>
      <c r="F6563" s="15"/>
      <c r="G6563" s="16"/>
      <c r="H6563" s="16"/>
      <c r="I6563" s="478"/>
    </row>
    <row r="6564" spans="2:9" ht="14" x14ac:dyDescent="0.15">
      <c r="B6564" s="1"/>
      <c r="C6564" s="1"/>
      <c r="D6564" s="1"/>
      <c r="E6564" s="1"/>
      <c r="F6564" s="15"/>
      <c r="G6564" s="16"/>
      <c r="H6564" s="16"/>
      <c r="I6564" s="478"/>
    </row>
    <row r="6565" spans="2:9" ht="14" x14ac:dyDescent="0.15">
      <c r="B6565" s="1"/>
      <c r="C6565" s="1"/>
      <c r="D6565" s="1"/>
      <c r="E6565" s="1"/>
      <c r="F6565" s="15"/>
      <c r="G6565" s="16"/>
      <c r="H6565" s="16"/>
      <c r="I6565" s="478"/>
    </row>
    <row r="6566" spans="2:9" ht="14" x14ac:dyDescent="0.15">
      <c r="B6566" s="1"/>
      <c r="C6566" s="1"/>
      <c r="D6566" s="1"/>
      <c r="E6566" s="1"/>
      <c r="F6566" s="15"/>
      <c r="G6566" s="16"/>
      <c r="H6566" s="16"/>
      <c r="I6566" s="478"/>
    </row>
    <row r="6567" spans="2:9" ht="14" x14ac:dyDescent="0.15">
      <c r="B6567" s="1"/>
      <c r="C6567" s="1"/>
      <c r="D6567" s="1"/>
      <c r="E6567" s="1"/>
      <c r="F6567" s="15"/>
      <c r="G6567" s="16"/>
      <c r="H6567" s="16"/>
      <c r="I6567" s="478"/>
    </row>
    <row r="6568" spans="2:9" ht="14" x14ac:dyDescent="0.15">
      <c r="B6568" s="1"/>
      <c r="C6568" s="1"/>
      <c r="D6568" s="1"/>
      <c r="E6568" s="1"/>
      <c r="F6568" s="15"/>
      <c r="G6568" s="16"/>
      <c r="H6568" s="16"/>
      <c r="I6568" s="478"/>
    </row>
    <row r="6569" spans="2:9" ht="14" x14ac:dyDescent="0.15">
      <c r="B6569" s="1"/>
      <c r="C6569" s="1"/>
      <c r="D6569" s="1"/>
      <c r="E6569" s="1"/>
      <c r="F6569" s="15"/>
      <c r="G6569" s="16"/>
      <c r="H6569" s="16"/>
      <c r="I6569" s="478"/>
    </row>
    <row r="6570" spans="2:9" ht="14" x14ac:dyDescent="0.15">
      <c r="B6570" s="1"/>
      <c r="C6570" s="1"/>
      <c r="D6570" s="1"/>
      <c r="E6570" s="1"/>
      <c r="F6570" s="15"/>
      <c r="G6570" s="16"/>
      <c r="H6570" s="16"/>
      <c r="I6570" s="478"/>
    </row>
    <row r="6571" spans="2:9" ht="14" x14ac:dyDescent="0.15">
      <c r="B6571" s="1"/>
      <c r="C6571" s="1"/>
      <c r="D6571" s="1"/>
      <c r="E6571" s="1"/>
      <c r="F6571" s="15"/>
      <c r="G6571" s="16"/>
      <c r="H6571" s="16"/>
      <c r="I6571" s="478"/>
    </row>
    <row r="6572" spans="2:9" x14ac:dyDescent="0.15">
      <c r="B6572" s="11"/>
      <c r="C6572" s="11"/>
      <c r="D6572" s="1"/>
      <c r="E6572" s="155"/>
      <c r="F6572" s="155"/>
      <c r="G6572" s="155"/>
      <c r="H6572" s="155"/>
      <c r="I6572" s="479"/>
    </row>
    <row r="6573" spans="2:9" x14ac:dyDescent="0.15">
      <c r="B6573" s="11"/>
      <c r="C6573" s="11"/>
      <c r="D6573" s="1"/>
      <c r="E6573" s="155"/>
      <c r="F6573" s="155"/>
      <c r="G6573" s="155"/>
      <c r="H6573" s="155"/>
      <c r="I6573" s="479"/>
    </row>
    <row r="6574" spans="2:9" x14ac:dyDescent="0.15">
      <c r="B6574" s="11"/>
      <c r="C6574" s="11"/>
      <c r="D6574" s="1"/>
      <c r="E6574" s="155"/>
      <c r="F6574" s="155"/>
      <c r="G6574" s="155"/>
      <c r="H6574" s="155"/>
      <c r="I6574" s="479"/>
    </row>
    <row r="6575" spans="2:9" x14ac:dyDescent="0.15">
      <c r="B6575" s="11"/>
      <c r="C6575" s="11"/>
      <c r="D6575" s="1"/>
      <c r="E6575" s="155"/>
      <c r="F6575" s="155"/>
      <c r="G6575" s="155"/>
      <c r="H6575" s="155"/>
      <c r="I6575" s="479"/>
    </row>
    <row r="6576" spans="2:9" x14ac:dyDescent="0.15">
      <c r="B6576" s="11"/>
      <c r="C6576" s="11"/>
      <c r="D6576" s="1"/>
      <c r="E6576" s="155"/>
      <c r="F6576" s="155"/>
      <c r="G6576" s="155"/>
      <c r="H6576" s="155"/>
      <c r="I6576" s="479"/>
    </row>
    <row r="6577" spans="2:9" x14ac:dyDescent="0.15">
      <c r="B6577" s="11"/>
      <c r="C6577" s="11"/>
      <c r="D6577" s="1"/>
      <c r="E6577" s="155"/>
      <c r="F6577" s="155"/>
      <c r="G6577" s="155"/>
      <c r="H6577" s="155"/>
      <c r="I6577" s="479"/>
    </row>
    <row r="6578" spans="2:9" ht="14" thickBot="1" x14ac:dyDescent="0.2"/>
    <row r="6579" spans="2:9" ht="15.75" customHeight="1" x14ac:dyDescent="0.15">
      <c r="B6579" s="885" t="s">
        <v>874</v>
      </c>
      <c r="C6579" s="886"/>
      <c r="D6579" s="886"/>
      <c r="E6579" s="886"/>
      <c r="F6579" s="887"/>
      <c r="G6579" s="1"/>
      <c r="H6579" s="879" t="s">
        <v>20</v>
      </c>
      <c r="I6579" s="880"/>
    </row>
    <row r="6580" spans="2:9" ht="15.75" customHeight="1" x14ac:dyDescent="0.15">
      <c r="B6580" s="888" t="s">
        <v>875</v>
      </c>
      <c r="C6580" s="889"/>
      <c r="D6580" s="889"/>
      <c r="E6580" s="889"/>
      <c r="F6580" s="890"/>
      <c r="G6580" s="63"/>
      <c r="H6580" s="881"/>
      <c r="I6580" s="882"/>
    </row>
    <row r="6581" spans="2:9" ht="12.75" customHeight="1" x14ac:dyDescent="0.15">
      <c r="B6581" s="906" t="s">
        <v>876</v>
      </c>
      <c r="C6581" s="907"/>
      <c r="D6581" s="907"/>
      <c r="E6581" s="907"/>
      <c r="F6581" s="908"/>
      <c r="G6581" s="63"/>
      <c r="H6581" s="883"/>
      <c r="I6581" s="884"/>
    </row>
    <row r="6582" spans="2:9" ht="13.5" customHeight="1" thickBot="1" x14ac:dyDescent="0.2">
      <c r="B6582" s="909"/>
      <c r="C6582" s="910"/>
      <c r="D6582" s="910"/>
      <c r="E6582" s="910"/>
      <c r="F6582" s="911"/>
      <c r="G6582" s="1"/>
      <c r="H6582" s="956" t="s">
        <v>958</v>
      </c>
      <c r="I6582" s="957"/>
    </row>
    <row r="6583" spans="2:9" ht="14" thickBot="1" x14ac:dyDescent="0.2">
      <c r="B6583" s="15"/>
      <c r="C6583" s="16"/>
      <c r="D6583" s="1"/>
      <c r="E6583" s="1"/>
      <c r="F6583" s="1"/>
      <c r="G6583" s="1"/>
      <c r="H6583" s="958"/>
      <c r="I6583" s="959"/>
    </row>
    <row r="6584" spans="2:9" ht="12.75" customHeight="1" x14ac:dyDescent="0.15">
      <c r="B6584" s="947" t="s">
        <v>836</v>
      </c>
      <c r="C6584" s="948"/>
      <c r="D6584" s="948"/>
      <c r="E6584" s="948"/>
      <c r="F6584" s="949"/>
      <c r="G6584" s="1"/>
      <c r="H6584" s="958"/>
      <c r="I6584" s="959"/>
    </row>
    <row r="6585" spans="2:9" ht="12.75" customHeight="1" x14ac:dyDescent="0.15">
      <c r="B6585" s="950"/>
      <c r="C6585" s="951"/>
      <c r="D6585" s="951"/>
      <c r="E6585" s="951"/>
      <c r="F6585" s="952"/>
      <c r="H6585" s="958"/>
      <c r="I6585" s="959"/>
    </row>
    <row r="6586" spans="2:9" ht="12.75" customHeight="1" x14ac:dyDescent="0.15">
      <c r="B6586" s="950"/>
      <c r="C6586" s="951"/>
      <c r="D6586" s="951"/>
      <c r="E6586" s="951"/>
      <c r="F6586" s="952"/>
      <c r="H6586" s="958"/>
      <c r="I6586" s="959"/>
    </row>
    <row r="6587" spans="2:9" ht="12.75" customHeight="1" x14ac:dyDescent="0.15">
      <c r="B6587" s="950"/>
      <c r="C6587" s="951"/>
      <c r="D6587" s="951"/>
      <c r="E6587" s="951"/>
      <c r="F6587" s="952"/>
      <c r="H6587" s="958"/>
      <c r="I6587" s="959"/>
    </row>
    <row r="6588" spans="2:9" ht="12.75" customHeight="1" x14ac:dyDescent="0.15">
      <c r="B6588" s="950"/>
      <c r="C6588" s="951"/>
      <c r="D6588" s="951"/>
      <c r="E6588" s="951"/>
      <c r="F6588" s="952"/>
      <c r="G6588" s="11"/>
      <c r="H6588" s="960"/>
      <c r="I6588" s="961"/>
    </row>
    <row r="6589" spans="2:9" ht="13.5" customHeight="1" thickBot="1" x14ac:dyDescent="0.2">
      <c r="B6589" s="953"/>
      <c r="C6589" s="954"/>
      <c r="D6589" s="954"/>
      <c r="E6589" s="954"/>
      <c r="F6589" s="955"/>
      <c r="H6589" s="64" t="s">
        <v>45</v>
      </c>
      <c r="I6589" s="17" t="s">
        <v>193</v>
      </c>
    </row>
    <row r="6590" spans="2:9" x14ac:dyDescent="0.15">
      <c r="B6590" s="18"/>
      <c r="C6590" s="18"/>
      <c r="D6590" s="1"/>
      <c r="E6590" s="18"/>
      <c r="F6590" s="18"/>
      <c r="G6590" s="18"/>
      <c r="H6590" s="18"/>
      <c r="I6590" s="1"/>
    </row>
    <row r="6591" spans="2:9" ht="14" thickBot="1" x14ac:dyDescent="0.2">
      <c r="B6591" s="12" t="s">
        <v>21</v>
      </c>
      <c r="C6591" s="12"/>
      <c r="D6591" s="1"/>
      <c r="E6591" s="1"/>
      <c r="F6591" s="1"/>
      <c r="G6591" s="1"/>
      <c r="H6591" s="1"/>
      <c r="I6591" s="1"/>
    </row>
    <row r="6592" spans="2:9" x14ac:dyDescent="0.15">
      <c r="B6592" s="903" t="s">
        <v>22</v>
      </c>
      <c r="C6592" s="904"/>
      <c r="D6592" s="905"/>
      <c r="E6592" s="209" t="s">
        <v>23</v>
      </c>
      <c r="F6592" s="19" t="s">
        <v>47</v>
      </c>
      <c r="G6592" s="209" t="s">
        <v>24</v>
      </c>
      <c r="H6592" s="208" t="s">
        <v>25</v>
      </c>
      <c r="I6592" s="43"/>
    </row>
    <row r="6593" spans="2:9" x14ac:dyDescent="0.15">
      <c r="B6593" s="897" t="s">
        <v>56</v>
      </c>
      <c r="C6593" s="898"/>
      <c r="D6593" s="899"/>
      <c r="E6593" s="5"/>
      <c r="F6593" s="162"/>
      <c r="G6593" s="58"/>
      <c r="H6593" s="162">
        <f>I6611*0.05</f>
        <v>872.08187500000008</v>
      </c>
      <c r="I6593" s="44"/>
    </row>
    <row r="6594" spans="2:9" ht="14" thickBot="1" x14ac:dyDescent="0.2">
      <c r="B6594" s="900"/>
      <c r="C6594" s="901"/>
      <c r="D6594" s="902"/>
      <c r="E6594" s="21"/>
      <c r="F6594" s="22"/>
      <c r="G6594" s="23"/>
      <c r="H6594" s="47"/>
      <c r="I6594" s="48"/>
    </row>
    <row r="6595" spans="2:9" ht="14" thickBot="1" x14ac:dyDescent="0.2">
      <c r="B6595" s="1"/>
      <c r="C6595" s="1"/>
      <c r="D6595" s="1"/>
      <c r="E6595" s="1"/>
      <c r="F6595" s="1"/>
      <c r="G6595" s="1"/>
      <c r="H6595" s="37" t="s">
        <v>26</v>
      </c>
      <c r="I6595" s="163">
        <f>SUM(H6593:H6594)</f>
        <v>872.08187500000008</v>
      </c>
    </row>
    <row r="6596" spans="2:9" ht="14" thickBot="1" x14ac:dyDescent="0.2">
      <c r="B6596" s="12" t="s">
        <v>27</v>
      </c>
      <c r="C6596" s="12"/>
      <c r="D6596" s="1"/>
      <c r="E6596" s="1"/>
      <c r="F6596" s="1"/>
      <c r="G6596" s="1"/>
      <c r="H6596" s="1"/>
      <c r="I6596" s="1"/>
    </row>
    <row r="6597" spans="2:9" x14ac:dyDescent="0.15">
      <c r="B6597" s="903" t="s">
        <v>22</v>
      </c>
      <c r="C6597" s="904"/>
      <c r="D6597" s="905"/>
      <c r="E6597" s="209" t="s">
        <v>28</v>
      </c>
      <c r="F6597" s="209" t="s">
        <v>29</v>
      </c>
      <c r="G6597" s="209" t="s">
        <v>30</v>
      </c>
      <c r="H6597" s="208" t="s">
        <v>25</v>
      </c>
      <c r="I6597" s="43"/>
    </row>
    <row r="6598" spans="2:9" ht="14.25" customHeight="1" x14ac:dyDescent="0.15">
      <c r="B6598" s="917" t="s">
        <v>953</v>
      </c>
      <c r="C6598" s="918"/>
      <c r="D6598" s="919"/>
      <c r="E6598" s="3" t="s">
        <v>193</v>
      </c>
      <c r="F6598" s="164">
        <f>MATERIALES!C177</f>
        <v>890865.00000000012</v>
      </c>
      <c r="G6598" s="65">
        <v>1</v>
      </c>
      <c r="H6598" s="165">
        <f>G6598*F6598</f>
        <v>890865.00000000012</v>
      </c>
      <c r="I6598" s="44"/>
    </row>
    <row r="6599" spans="2:9" ht="14" thickBot="1" x14ac:dyDescent="0.2">
      <c r="B6599" s="25"/>
      <c r="C6599" s="26"/>
      <c r="D6599" s="27"/>
      <c r="E6599" s="21"/>
      <c r="F6599" s="22"/>
      <c r="G6599" s="167"/>
      <c r="H6599" s="47"/>
      <c r="I6599" s="48"/>
    </row>
    <row r="6600" spans="2:9" ht="14" thickBot="1" x14ac:dyDescent="0.2">
      <c r="B6600" s="1"/>
      <c r="C6600" s="1"/>
      <c r="D6600" s="1"/>
      <c r="E6600" s="1"/>
      <c r="F6600" s="1"/>
      <c r="G6600" s="1"/>
      <c r="H6600" s="37" t="s">
        <v>26</v>
      </c>
      <c r="I6600" s="163">
        <f>SUM(H6598:H6598)</f>
        <v>890865.00000000012</v>
      </c>
    </row>
    <row r="6601" spans="2:9" ht="14" thickBot="1" x14ac:dyDescent="0.2">
      <c r="B6601" s="28" t="s">
        <v>31</v>
      </c>
      <c r="C6601" s="28"/>
      <c r="D6601" s="26"/>
      <c r="E6601" s="1"/>
      <c r="F6601" s="1"/>
      <c r="G6601" s="1"/>
      <c r="H6601" s="1"/>
      <c r="I6601" s="1"/>
    </row>
    <row r="6602" spans="2:9" x14ac:dyDescent="0.15">
      <c r="B6602" s="51" t="s">
        <v>32</v>
      </c>
      <c r="C6602" s="52"/>
      <c r="D6602" s="97" t="s">
        <v>33</v>
      </c>
      <c r="E6602" s="209" t="s">
        <v>34</v>
      </c>
      <c r="F6602" s="209" t="s">
        <v>35</v>
      </c>
      <c r="G6602" s="209" t="s">
        <v>36</v>
      </c>
      <c r="H6602" s="59" t="s">
        <v>25</v>
      </c>
      <c r="I6602" s="43"/>
    </row>
    <row r="6603" spans="2:9" x14ac:dyDescent="0.15">
      <c r="B6603" s="4" t="s">
        <v>79</v>
      </c>
      <c r="C6603" s="6"/>
      <c r="D6603" s="53">
        <v>0.25</v>
      </c>
      <c r="E6603" s="2">
        <f>43+225.2</f>
        <v>268.2</v>
      </c>
      <c r="F6603" s="2">
        <f>E6603*D6603</f>
        <v>67.05</v>
      </c>
      <c r="G6603" s="162">
        <v>1100</v>
      </c>
      <c r="H6603" s="20">
        <f>G6603*F6603</f>
        <v>73755</v>
      </c>
      <c r="I6603" s="44"/>
    </row>
    <row r="6604" spans="2:9" ht="14" thickBot="1" x14ac:dyDescent="0.2">
      <c r="B6604" s="33"/>
      <c r="C6604" s="54"/>
      <c r="D6604" s="21"/>
      <c r="E6604" s="22"/>
      <c r="F6604" s="23"/>
      <c r="G6604" s="47"/>
      <c r="H6604" s="21"/>
      <c r="I6604" s="48"/>
    </row>
    <row r="6605" spans="2:9" ht="14" thickBot="1" x14ac:dyDescent="0.2">
      <c r="B6605" s="1"/>
      <c r="C6605" s="1"/>
      <c r="D6605" s="1"/>
      <c r="E6605" s="1"/>
      <c r="F6605" s="1"/>
      <c r="G6605" s="1"/>
      <c r="H6605" s="37" t="s">
        <v>26</v>
      </c>
      <c r="I6605" s="163">
        <f>SUM(H6603:H6604)</f>
        <v>73755</v>
      </c>
    </row>
    <row r="6606" spans="2:9" ht="14" thickBot="1" x14ac:dyDescent="0.2">
      <c r="B6606" s="28" t="s">
        <v>37</v>
      </c>
      <c r="C6606" s="28"/>
      <c r="D6606" s="1"/>
      <c r="E6606" s="1"/>
      <c r="F6606" s="1"/>
      <c r="G6606" s="1"/>
      <c r="H6606" s="1"/>
      <c r="I6606" s="1"/>
    </row>
    <row r="6607" spans="2:9" x14ac:dyDescent="0.15">
      <c r="B6607" s="51" t="s">
        <v>38</v>
      </c>
      <c r="C6607" s="86"/>
      <c r="D6607" s="31" t="s">
        <v>39</v>
      </c>
      <c r="E6607" s="209" t="s">
        <v>40</v>
      </c>
      <c r="F6607" s="19" t="s">
        <v>41</v>
      </c>
      <c r="G6607" s="31" t="s">
        <v>24</v>
      </c>
      <c r="H6607" s="59" t="s">
        <v>25</v>
      </c>
      <c r="I6607" s="43"/>
    </row>
    <row r="6608" spans="2:9" x14ac:dyDescent="0.15">
      <c r="B6608" s="4" t="s">
        <v>42</v>
      </c>
      <c r="C6608" s="24"/>
      <c r="D6608" s="32">
        <f>'MANO DE OBRA'!E15</f>
        <v>95333</v>
      </c>
      <c r="E6608" s="168">
        <v>1.75</v>
      </c>
      <c r="F6608" s="164">
        <f>+E6608*D6608</f>
        <v>166832.75</v>
      </c>
      <c r="G6608" s="20">
        <v>20</v>
      </c>
      <c r="H6608" s="169">
        <f>+F6608/G6608</f>
        <v>8341.6375000000007</v>
      </c>
      <c r="I6608" s="44"/>
    </row>
    <row r="6609" spans="2:9" x14ac:dyDescent="0.15">
      <c r="B6609" s="4" t="s">
        <v>960</v>
      </c>
      <c r="C6609" s="24"/>
      <c r="D6609" s="32">
        <f>'MANO DE OBRA'!E14*2</f>
        <v>104000</v>
      </c>
      <c r="E6609" s="168">
        <v>1.75</v>
      </c>
      <c r="F6609" s="164">
        <f>+E6609*D6609</f>
        <v>182000</v>
      </c>
      <c r="G6609" s="20">
        <v>20</v>
      </c>
      <c r="H6609" s="169">
        <f>+F6609/G6609</f>
        <v>9100</v>
      </c>
      <c r="I6609" s="44"/>
    </row>
    <row r="6610" spans="2:9" ht="14" thickBot="1" x14ac:dyDescent="0.2">
      <c r="B6610" s="33"/>
      <c r="C6610" s="34"/>
      <c r="D6610" s="22"/>
      <c r="E6610" s="21"/>
      <c r="F6610" s="22"/>
      <c r="G6610" s="23"/>
      <c r="H6610" s="87"/>
      <c r="I6610" s="44"/>
    </row>
    <row r="6611" spans="2:9" ht="14" thickBot="1" x14ac:dyDescent="0.2">
      <c r="B6611" s="1"/>
      <c r="C6611" s="1"/>
      <c r="D6611" s="1"/>
      <c r="E6611" s="1"/>
      <c r="F6611" s="1"/>
      <c r="G6611" s="1"/>
      <c r="H6611" s="37" t="s">
        <v>26</v>
      </c>
      <c r="I6611" s="163">
        <f>SUM(H6608:H6610)</f>
        <v>17441.637500000001</v>
      </c>
    </row>
    <row r="6612" spans="2:9" ht="14" thickBot="1" x14ac:dyDescent="0.2">
      <c r="B6612" s="1"/>
      <c r="C6612" s="1"/>
      <c r="D6612" s="1"/>
      <c r="E6612" s="1"/>
      <c r="F6612" s="1"/>
      <c r="G6612" s="1"/>
      <c r="H6612" s="61"/>
      <c r="I6612" s="1"/>
    </row>
    <row r="6613" spans="2:9" ht="15" thickBot="1" x14ac:dyDescent="0.2">
      <c r="B6613" s="1"/>
      <c r="C6613" s="1"/>
      <c r="D6613" s="1"/>
      <c r="E6613" s="1"/>
      <c r="F6613" s="35" t="s">
        <v>43</v>
      </c>
      <c r="G6613" s="16"/>
      <c r="H6613" s="16"/>
      <c r="I6613" s="232">
        <f>ROUND((I6595+I6600+I6605+I6611),0)</f>
        <v>982934</v>
      </c>
    </row>
    <row r="6614" spans="2:9" x14ac:dyDescent="0.15">
      <c r="B6614" s="12"/>
      <c r="C6614" s="12"/>
      <c r="D6614" s="1"/>
      <c r="E6614" s="1"/>
      <c r="F6614" s="1"/>
      <c r="G6614" s="1"/>
      <c r="H6614" s="172"/>
      <c r="I6614" s="172"/>
    </row>
    <row r="6615" spans="2:9" x14ac:dyDescent="0.15">
      <c r="B6615" s="16"/>
      <c r="C6615" s="16"/>
      <c r="D6615" s="16"/>
      <c r="E6615" s="16"/>
      <c r="F6615" s="16"/>
      <c r="G6615" s="61"/>
      <c r="H6615" s="173"/>
      <c r="I6615" s="172"/>
    </row>
    <row r="6616" spans="2:9" x14ac:dyDescent="0.15">
      <c r="B6616" s="1"/>
      <c r="C6616" s="1"/>
      <c r="D6616" s="1"/>
      <c r="E6616" s="1"/>
      <c r="F6616" s="1"/>
      <c r="G6616" s="161"/>
      <c r="H6616" s="172"/>
      <c r="I6616" s="172"/>
    </row>
    <row r="6617" spans="2:9" x14ac:dyDescent="0.15">
      <c r="B6617" s="1"/>
      <c r="C6617" s="1"/>
      <c r="D6617" s="1"/>
      <c r="E6617" s="1"/>
      <c r="F6617" s="1"/>
      <c r="G6617" s="161"/>
      <c r="H6617" s="172"/>
      <c r="I6617" s="172"/>
    </row>
    <row r="6618" spans="2:9" x14ac:dyDescent="0.15">
      <c r="B6618" s="1"/>
      <c r="C6618" s="1"/>
      <c r="D6618" s="1"/>
      <c r="E6618" s="1"/>
      <c r="F6618" s="1"/>
      <c r="G6618" s="161"/>
      <c r="H6618" s="172"/>
      <c r="I6618" s="172"/>
    </row>
    <row r="6619" spans="2:9" x14ac:dyDescent="0.15">
      <c r="B6619" s="1"/>
      <c r="C6619" s="1"/>
      <c r="D6619" s="1"/>
      <c r="E6619" s="1"/>
      <c r="F6619" s="1"/>
      <c r="G6619" s="1"/>
      <c r="H6619" s="37"/>
      <c r="I6619" s="172"/>
    </row>
    <row r="6620" spans="2:9" ht="14" x14ac:dyDescent="0.15">
      <c r="B6620" s="102"/>
      <c r="C6620" s="1"/>
      <c r="D6620" s="1"/>
      <c r="E6620" s="1"/>
      <c r="F6620" s="1"/>
      <c r="G6620" s="1"/>
      <c r="H6620" s="1"/>
      <c r="I6620" s="172"/>
    </row>
    <row r="6621" spans="2:9" ht="14" x14ac:dyDescent="0.15">
      <c r="B6621" s="83"/>
      <c r="C6621" s="11"/>
      <c r="D6621" s="1"/>
      <c r="E6621" s="916"/>
      <c r="F6621" s="916"/>
      <c r="G6621" s="916"/>
      <c r="H6621" s="916"/>
      <c r="I6621" s="171"/>
    </row>
    <row r="6622" spans="2:9" ht="14" x14ac:dyDescent="0.15">
      <c r="B6622" s="102"/>
      <c r="C6622" s="11"/>
      <c r="D6622" s="1"/>
      <c r="E6622" s="155"/>
      <c r="F6622" s="155"/>
      <c r="G6622" s="155"/>
      <c r="H6622" s="155"/>
      <c r="I6622" s="171"/>
    </row>
    <row r="6623" spans="2:9" ht="14" x14ac:dyDescent="0.15">
      <c r="B6623" s="83"/>
      <c r="C6623" s="11"/>
      <c r="D6623" s="1"/>
      <c r="E6623" s="155"/>
      <c r="F6623" s="155"/>
      <c r="G6623" s="155"/>
      <c r="H6623" s="155"/>
      <c r="I6623" s="171"/>
    </row>
    <row r="6624" spans="2:9" x14ac:dyDescent="0.15">
      <c r="B6624" s="11"/>
      <c r="C6624" s="11"/>
      <c r="D6624" s="1"/>
      <c r="E6624" s="155"/>
      <c r="F6624" s="155"/>
      <c r="G6624" s="155"/>
      <c r="H6624" s="155"/>
      <c r="I6624" s="171"/>
    </row>
    <row r="6625" spans="2:10" x14ac:dyDescent="0.15">
      <c r="B6625" s="11"/>
      <c r="C6625" s="11"/>
      <c r="D6625" s="1"/>
      <c r="E6625" s="155"/>
      <c r="F6625" s="155"/>
      <c r="G6625" s="155"/>
      <c r="H6625" s="155"/>
      <c r="I6625" s="171"/>
    </row>
    <row r="6626" spans="2:10" x14ac:dyDescent="0.15">
      <c r="B6626" s="11"/>
      <c r="C6626" s="11"/>
      <c r="D6626" s="1"/>
      <c r="E6626" s="155"/>
      <c r="F6626" s="155"/>
      <c r="G6626" s="155"/>
      <c r="H6626" s="155"/>
      <c r="I6626" s="171"/>
    </row>
    <row r="6627" spans="2:10" x14ac:dyDescent="0.15">
      <c r="B6627" s="11"/>
      <c r="C6627" s="11"/>
      <c r="D6627" s="1"/>
      <c r="E6627" s="155"/>
      <c r="F6627" s="155"/>
      <c r="G6627" s="155"/>
      <c r="H6627" s="155"/>
      <c r="I6627" s="171"/>
    </row>
    <row r="6628" spans="2:10" x14ac:dyDescent="0.15">
      <c r="B6628" s="11"/>
      <c r="C6628" s="11"/>
      <c r="D6628" s="1"/>
      <c r="E6628" s="155"/>
      <c r="F6628" s="155"/>
      <c r="G6628" s="155"/>
      <c r="H6628" s="155"/>
      <c r="I6628" s="171"/>
    </row>
    <row r="6632" spans="2:10" ht="14" x14ac:dyDescent="0.15">
      <c r="B6632" s="102"/>
      <c r="C6632" s="83"/>
      <c r="D6632" s="84"/>
      <c r="E6632" s="83"/>
      <c r="F6632" s="160"/>
      <c r="G6632" s="157"/>
      <c r="H6632" s="83"/>
      <c r="I6632" s="83"/>
      <c r="J6632" s="85"/>
    </row>
    <row r="6633" spans="2:10" ht="14" x14ac:dyDescent="0.15">
      <c r="B6633" s="102"/>
      <c r="C6633" s="83"/>
      <c r="D6633" s="84"/>
      <c r="E6633" s="83"/>
      <c r="F6633" s="160"/>
      <c r="G6633" s="157"/>
      <c r="H6633" s="83"/>
      <c r="I6633" s="83"/>
      <c r="J6633" s="85"/>
    </row>
    <row r="6634" spans="2:10" ht="14" x14ac:dyDescent="0.15">
      <c r="B6634" s="83"/>
      <c r="C6634" s="83"/>
      <c r="D6634" s="84"/>
      <c r="E6634" s="83"/>
      <c r="F6634" s="156"/>
      <c r="G6634" s="157"/>
      <c r="H6634" s="158"/>
      <c r="I6634" s="159"/>
      <c r="J6634" s="85"/>
    </row>
    <row r="6635" spans="2:10" ht="15" thickBot="1" x14ac:dyDescent="0.2">
      <c r="B6635" s="83"/>
      <c r="C6635" s="11"/>
      <c r="D6635" s="11"/>
      <c r="E6635" s="11"/>
      <c r="F6635" s="938"/>
      <c r="G6635" s="938"/>
      <c r="H6635" s="938"/>
      <c r="I6635" s="938"/>
    </row>
    <row r="6636" spans="2:10" ht="15.75" customHeight="1" x14ac:dyDescent="0.15">
      <c r="B6636" s="885" t="s">
        <v>874</v>
      </c>
      <c r="C6636" s="886"/>
      <c r="D6636" s="886"/>
      <c r="E6636" s="886"/>
      <c r="F6636" s="887"/>
      <c r="G6636" s="1"/>
      <c r="H6636" s="879" t="s">
        <v>20</v>
      </c>
      <c r="I6636" s="880"/>
    </row>
    <row r="6637" spans="2:10" ht="15.75" customHeight="1" x14ac:dyDescent="0.15">
      <c r="B6637" s="888" t="s">
        <v>875</v>
      </c>
      <c r="C6637" s="889"/>
      <c r="D6637" s="889"/>
      <c r="E6637" s="889"/>
      <c r="F6637" s="890"/>
      <c r="G6637" s="63"/>
      <c r="H6637" s="881"/>
      <c r="I6637" s="882"/>
    </row>
    <row r="6638" spans="2:10" ht="12.75" customHeight="1" x14ac:dyDescent="0.15">
      <c r="B6638" s="906" t="s">
        <v>876</v>
      </c>
      <c r="C6638" s="907"/>
      <c r="D6638" s="907"/>
      <c r="E6638" s="907"/>
      <c r="F6638" s="908"/>
      <c r="G6638" s="63"/>
      <c r="H6638" s="883"/>
      <c r="I6638" s="884"/>
    </row>
    <row r="6639" spans="2:10" ht="13.5" customHeight="1" thickBot="1" x14ac:dyDescent="0.2">
      <c r="B6639" s="909"/>
      <c r="C6639" s="910"/>
      <c r="D6639" s="910"/>
      <c r="E6639" s="910"/>
      <c r="F6639" s="911"/>
      <c r="G6639" s="1"/>
      <c r="H6639" s="956" t="s">
        <v>1134</v>
      </c>
      <c r="I6639" s="957"/>
    </row>
    <row r="6640" spans="2:10" ht="14" thickBot="1" x14ac:dyDescent="0.2">
      <c r="B6640" s="15"/>
      <c r="C6640" s="16"/>
      <c r="D6640" s="1"/>
      <c r="E6640" s="1"/>
      <c r="F6640" s="1"/>
      <c r="G6640" s="1"/>
      <c r="H6640" s="958"/>
      <c r="I6640" s="959"/>
    </row>
    <row r="6641" spans="2:9" ht="12.75" customHeight="1" x14ac:dyDescent="0.15">
      <c r="B6641" s="947" t="s">
        <v>836</v>
      </c>
      <c r="C6641" s="948"/>
      <c r="D6641" s="948"/>
      <c r="E6641" s="948"/>
      <c r="F6641" s="949"/>
      <c r="G6641" s="1"/>
      <c r="H6641" s="958"/>
      <c r="I6641" s="959"/>
    </row>
    <row r="6642" spans="2:9" ht="12.75" customHeight="1" x14ac:dyDescent="0.15">
      <c r="B6642" s="950"/>
      <c r="C6642" s="951"/>
      <c r="D6642" s="951"/>
      <c r="E6642" s="951"/>
      <c r="F6642" s="952"/>
      <c r="H6642" s="958"/>
      <c r="I6642" s="959"/>
    </row>
    <row r="6643" spans="2:9" ht="12.75" customHeight="1" x14ac:dyDescent="0.15">
      <c r="B6643" s="950"/>
      <c r="C6643" s="951"/>
      <c r="D6643" s="951"/>
      <c r="E6643" s="951"/>
      <c r="F6643" s="952"/>
      <c r="H6643" s="958"/>
      <c r="I6643" s="959"/>
    </row>
    <row r="6644" spans="2:9" ht="12.75" customHeight="1" x14ac:dyDescent="0.15">
      <c r="B6644" s="950"/>
      <c r="C6644" s="951"/>
      <c r="D6644" s="951"/>
      <c r="E6644" s="951"/>
      <c r="F6644" s="952"/>
      <c r="H6644" s="958"/>
      <c r="I6644" s="959"/>
    </row>
    <row r="6645" spans="2:9" ht="12.75" customHeight="1" x14ac:dyDescent="0.15">
      <c r="B6645" s="950"/>
      <c r="C6645" s="951"/>
      <c r="D6645" s="951"/>
      <c r="E6645" s="951"/>
      <c r="F6645" s="952"/>
      <c r="G6645" s="11"/>
      <c r="H6645" s="960"/>
      <c r="I6645" s="961"/>
    </row>
    <row r="6646" spans="2:9" ht="13.5" customHeight="1" thickBot="1" x14ac:dyDescent="0.2">
      <c r="B6646" s="953"/>
      <c r="C6646" s="954"/>
      <c r="D6646" s="954"/>
      <c r="E6646" s="954"/>
      <c r="F6646" s="955"/>
      <c r="H6646" s="64" t="s">
        <v>45</v>
      </c>
      <c r="I6646" s="17" t="s">
        <v>193</v>
      </c>
    </row>
    <row r="6647" spans="2:9" x14ac:dyDescent="0.15">
      <c r="B6647" s="18"/>
      <c r="C6647" s="18"/>
      <c r="D6647" s="1"/>
      <c r="E6647" s="18"/>
      <c r="F6647" s="18"/>
      <c r="G6647" s="18"/>
      <c r="H6647" s="18"/>
      <c r="I6647" s="1"/>
    </row>
    <row r="6648" spans="2:9" ht="14" thickBot="1" x14ac:dyDescent="0.2">
      <c r="B6648" s="12" t="s">
        <v>21</v>
      </c>
      <c r="C6648" s="12"/>
      <c r="D6648" s="1"/>
      <c r="E6648" s="1"/>
      <c r="F6648" s="1"/>
      <c r="G6648" s="1"/>
      <c r="H6648" s="1"/>
      <c r="I6648" s="1"/>
    </row>
    <row r="6649" spans="2:9" x14ac:dyDescent="0.15">
      <c r="B6649" s="903" t="s">
        <v>22</v>
      </c>
      <c r="C6649" s="904"/>
      <c r="D6649" s="905"/>
      <c r="E6649" s="209" t="s">
        <v>23</v>
      </c>
      <c r="F6649" s="19" t="s">
        <v>47</v>
      </c>
      <c r="G6649" s="209" t="s">
        <v>24</v>
      </c>
      <c r="H6649" s="208" t="s">
        <v>25</v>
      </c>
      <c r="I6649" s="43"/>
    </row>
    <row r="6650" spans="2:9" x14ac:dyDescent="0.15">
      <c r="B6650" s="897" t="s">
        <v>56</v>
      </c>
      <c r="C6650" s="898"/>
      <c r="D6650" s="899"/>
      <c r="E6650" s="5"/>
      <c r="F6650" s="162"/>
      <c r="G6650" s="58"/>
      <c r="H6650" s="162">
        <f>I6668*0.05</f>
        <v>872.08187500000008</v>
      </c>
      <c r="I6650" s="44"/>
    </row>
    <row r="6651" spans="2:9" ht="14" thickBot="1" x14ac:dyDescent="0.2">
      <c r="B6651" s="900"/>
      <c r="C6651" s="901"/>
      <c r="D6651" s="902"/>
      <c r="E6651" s="21"/>
      <c r="F6651" s="22"/>
      <c r="G6651" s="23"/>
      <c r="H6651" s="47"/>
      <c r="I6651" s="48"/>
    </row>
    <row r="6652" spans="2:9" ht="14" thickBot="1" x14ac:dyDescent="0.2">
      <c r="B6652" s="1"/>
      <c r="C6652" s="1"/>
      <c r="D6652" s="1"/>
      <c r="E6652" s="1"/>
      <c r="F6652" s="1"/>
      <c r="G6652" s="1"/>
      <c r="H6652" s="37" t="s">
        <v>26</v>
      </c>
      <c r="I6652" s="163">
        <f>SUM(H6650:H6651)</f>
        <v>872.08187500000008</v>
      </c>
    </row>
    <row r="6653" spans="2:9" ht="14" thickBot="1" x14ac:dyDescent="0.2">
      <c r="B6653" s="12" t="s">
        <v>27</v>
      </c>
      <c r="C6653" s="12"/>
      <c r="D6653" s="1"/>
      <c r="E6653" s="1"/>
      <c r="F6653" s="1"/>
      <c r="G6653" s="1"/>
      <c r="H6653" s="1"/>
      <c r="I6653" s="1"/>
    </row>
    <row r="6654" spans="2:9" x14ac:dyDescent="0.15">
      <c r="B6654" s="903" t="s">
        <v>22</v>
      </c>
      <c r="C6654" s="904"/>
      <c r="D6654" s="905"/>
      <c r="E6654" s="209" t="s">
        <v>28</v>
      </c>
      <c r="F6654" s="209" t="s">
        <v>29</v>
      </c>
      <c r="G6654" s="209" t="s">
        <v>30</v>
      </c>
      <c r="H6654" s="208" t="s">
        <v>25</v>
      </c>
      <c r="I6654" s="43"/>
    </row>
    <row r="6655" spans="2:9" ht="14.25" customHeight="1" x14ac:dyDescent="0.15">
      <c r="B6655" s="917" t="s">
        <v>1135</v>
      </c>
      <c r="C6655" s="918"/>
      <c r="D6655" s="919"/>
      <c r="E6655" s="3" t="s">
        <v>5</v>
      </c>
      <c r="F6655" s="164">
        <f>MATERIALES!C186</f>
        <v>114750.00000000001</v>
      </c>
      <c r="G6655" s="65">
        <v>1</v>
      </c>
      <c r="H6655" s="165">
        <f>G6655*F6655</f>
        <v>114750.00000000001</v>
      </c>
      <c r="I6655" s="44"/>
    </row>
    <row r="6656" spans="2:9" ht="14" thickBot="1" x14ac:dyDescent="0.2">
      <c r="B6656" s="25"/>
      <c r="C6656" s="26"/>
      <c r="D6656" s="27"/>
      <c r="E6656" s="21"/>
      <c r="F6656" s="22"/>
      <c r="G6656" s="167"/>
      <c r="H6656" s="47"/>
      <c r="I6656" s="48"/>
    </row>
    <row r="6657" spans="2:9" ht="14" thickBot="1" x14ac:dyDescent="0.2">
      <c r="B6657" s="1"/>
      <c r="C6657" s="1"/>
      <c r="D6657" s="1"/>
      <c r="E6657" s="1"/>
      <c r="F6657" s="1"/>
      <c r="G6657" s="1"/>
      <c r="H6657" s="37" t="s">
        <v>26</v>
      </c>
      <c r="I6657" s="163">
        <f>SUM(H6655:H6655)</f>
        <v>114750.00000000001</v>
      </c>
    </row>
    <row r="6658" spans="2:9" ht="14" thickBot="1" x14ac:dyDescent="0.2">
      <c r="B6658" s="28" t="s">
        <v>31</v>
      </c>
      <c r="C6658" s="28"/>
      <c r="D6658" s="26"/>
      <c r="E6658" s="1"/>
      <c r="F6658" s="1"/>
      <c r="G6658" s="1"/>
      <c r="H6658" s="1"/>
      <c r="I6658" s="1"/>
    </row>
    <row r="6659" spans="2:9" x14ac:dyDescent="0.15">
      <c r="B6659" s="51" t="s">
        <v>32</v>
      </c>
      <c r="C6659" s="52"/>
      <c r="D6659" s="97" t="s">
        <v>33</v>
      </c>
      <c r="E6659" s="209" t="s">
        <v>34</v>
      </c>
      <c r="F6659" s="209" t="s">
        <v>35</v>
      </c>
      <c r="G6659" s="209" t="s">
        <v>36</v>
      </c>
      <c r="H6659" s="59" t="s">
        <v>25</v>
      </c>
      <c r="I6659" s="43"/>
    </row>
    <row r="6660" spans="2:9" x14ac:dyDescent="0.15">
      <c r="B6660" s="4" t="s">
        <v>79</v>
      </c>
      <c r="C6660" s="6"/>
      <c r="D6660" s="53">
        <v>0.1</v>
      </c>
      <c r="E6660" s="2">
        <f>43+225.2</f>
        <v>268.2</v>
      </c>
      <c r="F6660" s="2">
        <f>E6660*D6660</f>
        <v>26.82</v>
      </c>
      <c r="G6660" s="162">
        <v>1100</v>
      </c>
      <c r="H6660" s="20">
        <f>G6660*F6660</f>
        <v>29502</v>
      </c>
      <c r="I6660" s="44"/>
    </row>
    <row r="6661" spans="2:9" ht="14" thickBot="1" x14ac:dyDescent="0.2">
      <c r="B6661" s="33"/>
      <c r="C6661" s="54"/>
      <c r="D6661" s="21"/>
      <c r="E6661" s="22"/>
      <c r="F6661" s="23"/>
      <c r="G6661" s="47"/>
      <c r="H6661" s="21"/>
      <c r="I6661" s="48"/>
    </row>
    <row r="6662" spans="2:9" ht="14" thickBot="1" x14ac:dyDescent="0.2">
      <c r="B6662" s="1"/>
      <c r="C6662" s="1"/>
      <c r="D6662" s="1"/>
      <c r="E6662" s="1"/>
      <c r="F6662" s="1"/>
      <c r="G6662" s="1"/>
      <c r="H6662" s="37" t="s">
        <v>26</v>
      </c>
      <c r="I6662" s="163">
        <f>SUM(H6660:H6661)</f>
        <v>29502</v>
      </c>
    </row>
    <row r="6663" spans="2:9" ht="14" thickBot="1" x14ac:dyDescent="0.2">
      <c r="B6663" s="28" t="s">
        <v>37</v>
      </c>
      <c r="C6663" s="28"/>
      <c r="D6663" s="1"/>
      <c r="E6663" s="1"/>
      <c r="F6663" s="1"/>
      <c r="G6663" s="1"/>
      <c r="H6663" s="1"/>
      <c r="I6663" s="1"/>
    </row>
    <row r="6664" spans="2:9" x14ac:dyDescent="0.15">
      <c r="B6664" s="51" t="s">
        <v>38</v>
      </c>
      <c r="C6664" s="86"/>
      <c r="D6664" s="31" t="s">
        <v>39</v>
      </c>
      <c r="E6664" s="209" t="s">
        <v>40</v>
      </c>
      <c r="F6664" s="19" t="s">
        <v>41</v>
      </c>
      <c r="G6664" s="31" t="s">
        <v>24</v>
      </c>
      <c r="H6664" s="59" t="s">
        <v>25</v>
      </c>
      <c r="I6664" s="43"/>
    </row>
    <row r="6665" spans="2:9" x14ac:dyDescent="0.15">
      <c r="B6665" s="4" t="s">
        <v>42</v>
      </c>
      <c r="C6665" s="24"/>
      <c r="D6665" s="32">
        <f>'MANO DE OBRA'!E15</f>
        <v>95333</v>
      </c>
      <c r="E6665" s="168">
        <v>1.75</v>
      </c>
      <c r="F6665" s="164">
        <f>+E6665*D6665</f>
        <v>166832.75</v>
      </c>
      <c r="G6665" s="20">
        <v>20</v>
      </c>
      <c r="H6665" s="169">
        <f>+F6665/G6665</f>
        <v>8341.6375000000007</v>
      </c>
      <c r="I6665" s="44"/>
    </row>
    <row r="6666" spans="2:9" x14ac:dyDescent="0.15">
      <c r="B6666" s="4" t="s">
        <v>960</v>
      </c>
      <c r="C6666" s="24"/>
      <c r="D6666" s="32">
        <f>'MANO DE OBRA'!E14*2</f>
        <v>104000</v>
      </c>
      <c r="E6666" s="168">
        <v>1.75</v>
      </c>
      <c r="F6666" s="164">
        <f>+E6666*D6666</f>
        <v>182000</v>
      </c>
      <c r="G6666" s="20">
        <v>20</v>
      </c>
      <c r="H6666" s="169">
        <f>+F6666/G6666</f>
        <v>9100</v>
      </c>
      <c r="I6666" s="44"/>
    </row>
    <row r="6667" spans="2:9" ht="14" thickBot="1" x14ac:dyDescent="0.2">
      <c r="B6667" s="33"/>
      <c r="C6667" s="34"/>
      <c r="D6667" s="22"/>
      <c r="E6667" s="21"/>
      <c r="F6667" s="22"/>
      <c r="G6667" s="23"/>
      <c r="H6667" s="87"/>
      <c r="I6667" s="44"/>
    </row>
    <row r="6668" spans="2:9" ht="14" thickBot="1" x14ac:dyDescent="0.2">
      <c r="B6668" s="1"/>
      <c r="C6668" s="1"/>
      <c r="D6668" s="1"/>
      <c r="E6668" s="1"/>
      <c r="F6668" s="1"/>
      <c r="G6668" s="1"/>
      <c r="H6668" s="37" t="s">
        <v>26</v>
      </c>
      <c r="I6668" s="163">
        <f>SUM(H6665:H6667)</f>
        <v>17441.637500000001</v>
      </c>
    </row>
    <row r="6669" spans="2:9" ht="14" thickBot="1" x14ac:dyDescent="0.2">
      <c r="B6669" s="1"/>
      <c r="C6669" s="1"/>
      <c r="D6669" s="1"/>
      <c r="E6669" s="1"/>
      <c r="F6669" s="1"/>
      <c r="G6669" s="1"/>
      <c r="H6669" s="61"/>
      <c r="I6669" s="1"/>
    </row>
    <row r="6670" spans="2:9" ht="15" thickBot="1" x14ac:dyDescent="0.2">
      <c r="B6670" s="1"/>
      <c r="C6670" s="1"/>
      <c r="D6670" s="1"/>
      <c r="E6670" s="1"/>
      <c r="F6670" s="35" t="s">
        <v>43</v>
      </c>
      <c r="G6670" s="16"/>
      <c r="H6670" s="16"/>
      <c r="I6670" s="232">
        <f>ROUND((I6652+I6657+I6662+I6668),0)</f>
        <v>162566</v>
      </c>
    </row>
    <row r="6671" spans="2:9" x14ac:dyDescent="0.15">
      <c r="B6671" s="12"/>
      <c r="C6671" s="12"/>
      <c r="D6671" s="1"/>
      <c r="E6671" s="1"/>
      <c r="F6671" s="1"/>
      <c r="G6671" s="1"/>
      <c r="H6671" s="172"/>
      <c r="I6671" s="172"/>
    </row>
    <row r="6672" spans="2:9" x14ac:dyDescent="0.15">
      <c r="B6672" s="16"/>
      <c r="C6672" s="16"/>
      <c r="D6672" s="16"/>
      <c r="E6672" s="16"/>
      <c r="F6672" s="16"/>
      <c r="G6672" s="61"/>
      <c r="H6672" s="173"/>
      <c r="I6672" s="172"/>
    </row>
    <row r="6673" spans="2:9" x14ac:dyDescent="0.15">
      <c r="B6673" s="1"/>
      <c r="C6673" s="1"/>
      <c r="D6673" s="1"/>
      <c r="E6673" s="1"/>
      <c r="F6673" s="1"/>
      <c r="G6673" s="161"/>
      <c r="H6673" s="172"/>
      <c r="I6673" s="172"/>
    </row>
    <row r="6674" spans="2:9" x14ac:dyDescent="0.15">
      <c r="B6674" s="1"/>
      <c r="C6674" s="1"/>
      <c r="D6674" s="1"/>
      <c r="E6674" s="1"/>
      <c r="F6674" s="1"/>
      <c r="G6674" s="161"/>
      <c r="H6674" s="172"/>
      <c r="I6674" s="172"/>
    </row>
    <row r="6675" spans="2:9" x14ac:dyDescent="0.15">
      <c r="B6675" s="1"/>
      <c r="C6675" s="1"/>
      <c r="D6675" s="1"/>
      <c r="E6675" s="1"/>
      <c r="F6675" s="1"/>
      <c r="G6675" s="161"/>
      <c r="H6675" s="172"/>
      <c r="I6675" s="172"/>
    </row>
    <row r="6676" spans="2:9" x14ac:dyDescent="0.15">
      <c r="B6676" s="1"/>
      <c r="C6676" s="1"/>
      <c r="D6676" s="1"/>
      <c r="E6676" s="1"/>
      <c r="F6676" s="1"/>
      <c r="G6676" s="1"/>
      <c r="H6676" s="37"/>
      <c r="I6676" s="172"/>
    </row>
    <row r="6677" spans="2:9" ht="14" x14ac:dyDescent="0.15">
      <c r="B6677" s="102"/>
      <c r="C6677" s="1"/>
      <c r="D6677" s="1"/>
      <c r="E6677" s="1"/>
      <c r="F6677" s="1"/>
      <c r="G6677" s="1"/>
      <c r="H6677" s="1"/>
      <c r="I6677" s="172"/>
    </row>
    <row r="6678" spans="2:9" ht="14" x14ac:dyDescent="0.15">
      <c r="B6678" s="83"/>
      <c r="C6678" s="11"/>
      <c r="D6678" s="1"/>
      <c r="E6678" s="916"/>
      <c r="F6678" s="916"/>
      <c r="G6678" s="916"/>
      <c r="H6678" s="916"/>
      <c r="I6678" s="171"/>
    </row>
    <row r="6679" spans="2:9" ht="14" x14ac:dyDescent="0.15">
      <c r="B6679" s="102"/>
      <c r="C6679" s="11"/>
      <c r="D6679" s="1"/>
      <c r="E6679" s="155"/>
      <c r="F6679" s="155"/>
      <c r="G6679" s="155"/>
      <c r="H6679" s="155"/>
      <c r="I6679" s="171"/>
    </row>
    <row r="6680" spans="2:9" ht="14" x14ac:dyDescent="0.15">
      <c r="B6680" s="83"/>
      <c r="C6680" s="11"/>
      <c r="D6680" s="1"/>
      <c r="E6680" s="155"/>
      <c r="F6680" s="155"/>
      <c r="G6680" s="155"/>
      <c r="H6680" s="155"/>
      <c r="I6680" s="171"/>
    </row>
    <row r="6681" spans="2:9" x14ac:dyDescent="0.15">
      <c r="B6681" s="11"/>
      <c r="C6681" s="11"/>
      <c r="D6681" s="1"/>
      <c r="E6681" s="155"/>
      <c r="F6681" s="155"/>
      <c r="G6681" s="155"/>
      <c r="H6681" s="155"/>
      <c r="I6681" s="171"/>
    </row>
    <row r="6682" spans="2:9" x14ac:dyDescent="0.15">
      <c r="B6682" s="11"/>
      <c r="C6682" s="11"/>
      <c r="D6682" s="1"/>
      <c r="E6682" s="155"/>
      <c r="F6682" s="155"/>
      <c r="G6682" s="155"/>
      <c r="H6682" s="155"/>
      <c r="I6682" s="171"/>
    </row>
    <row r="6683" spans="2:9" x14ac:dyDescent="0.15">
      <c r="B6683" s="11"/>
      <c r="C6683" s="11"/>
      <c r="D6683" s="1"/>
      <c r="E6683" s="155"/>
      <c r="F6683" s="155"/>
      <c r="G6683" s="155"/>
      <c r="H6683" s="155"/>
      <c r="I6683" s="171"/>
    </row>
    <row r="6684" spans="2:9" x14ac:dyDescent="0.15">
      <c r="B6684" s="11"/>
      <c r="C6684" s="11"/>
      <c r="D6684" s="1"/>
      <c r="E6684" s="155"/>
      <c r="F6684" s="155"/>
      <c r="G6684" s="155"/>
      <c r="H6684" s="155"/>
      <c r="I6684" s="171"/>
    </row>
    <row r="6685" spans="2:9" x14ac:dyDescent="0.15">
      <c r="B6685" s="11"/>
      <c r="C6685" s="11"/>
      <c r="D6685" s="1"/>
      <c r="E6685" s="155"/>
      <c r="F6685" s="155"/>
      <c r="G6685" s="155"/>
      <c r="H6685" s="155"/>
      <c r="I6685" s="171"/>
    </row>
    <row r="6689" spans="2:11" ht="14" x14ac:dyDescent="0.15">
      <c r="B6689" s="102"/>
      <c r="C6689" s="83"/>
      <c r="D6689" s="84"/>
      <c r="E6689" s="83"/>
      <c r="F6689" s="160"/>
      <c r="G6689" s="157"/>
      <c r="H6689" s="83"/>
      <c r="I6689" s="83"/>
      <c r="J6689" s="85"/>
    </row>
    <row r="6690" spans="2:11" ht="14" x14ac:dyDescent="0.15">
      <c r="B6690" s="102"/>
      <c r="C6690" s="83"/>
      <c r="D6690" s="84"/>
      <c r="E6690" s="83"/>
      <c r="F6690" s="160"/>
      <c r="G6690" s="157"/>
      <c r="H6690" s="83"/>
      <c r="I6690" s="83"/>
      <c r="J6690" s="85"/>
    </row>
    <row r="6691" spans="2:11" ht="14" x14ac:dyDescent="0.15">
      <c r="B6691" s="83"/>
      <c r="C6691" s="83"/>
      <c r="D6691" s="84"/>
      <c r="E6691" s="83"/>
      <c r="F6691" s="156"/>
      <c r="G6691" s="157"/>
      <c r="H6691" s="158"/>
      <c r="I6691" s="159"/>
      <c r="J6691" s="85"/>
    </row>
    <row r="6692" spans="2:11" ht="15" thickBot="1" x14ac:dyDescent="0.2">
      <c r="B6692" s="83"/>
      <c r="C6692" s="11"/>
      <c r="D6692" s="11"/>
      <c r="E6692" s="11"/>
      <c r="F6692" s="938"/>
      <c r="G6692" s="938"/>
      <c r="H6692" s="938"/>
      <c r="I6692" s="938"/>
    </row>
    <row r="6693" spans="2:11" ht="21" customHeight="1" x14ac:dyDescent="0.15">
      <c r="B6693" s="885" t="s">
        <v>874</v>
      </c>
      <c r="C6693" s="886"/>
      <c r="D6693" s="886"/>
      <c r="E6693" s="886"/>
      <c r="F6693" s="887"/>
      <c r="G6693" s="1"/>
      <c r="H6693" s="879" t="s">
        <v>20</v>
      </c>
      <c r="I6693" s="880"/>
    </row>
    <row r="6694" spans="2:11" ht="16.5" customHeight="1" x14ac:dyDescent="0.15">
      <c r="B6694" s="888" t="s">
        <v>875</v>
      </c>
      <c r="C6694" s="889"/>
      <c r="D6694" s="889"/>
      <c r="E6694" s="889"/>
      <c r="F6694" s="890"/>
      <c r="G6694" s="63"/>
      <c r="H6694" s="881"/>
      <c r="I6694" s="882"/>
    </row>
    <row r="6695" spans="2:11" ht="12.75" customHeight="1" x14ac:dyDescent="0.15">
      <c r="B6695" s="906" t="s">
        <v>876</v>
      </c>
      <c r="C6695" s="907"/>
      <c r="D6695" s="907"/>
      <c r="E6695" s="907"/>
      <c r="F6695" s="908"/>
      <c r="G6695" s="63"/>
      <c r="H6695" s="883"/>
      <c r="I6695" s="884"/>
    </row>
    <row r="6696" spans="2:11" ht="16.5" customHeight="1" thickBot="1" x14ac:dyDescent="0.2">
      <c r="B6696" s="909"/>
      <c r="C6696" s="910"/>
      <c r="D6696" s="910"/>
      <c r="E6696" s="910"/>
      <c r="F6696" s="911"/>
      <c r="G6696" s="1"/>
      <c r="H6696" s="873" t="s">
        <v>961</v>
      </c>
      <c r="I6696" s="874"/>
    </row>
    <row r="6697" spans="2:11" ht="14" thickBot="1" x14ac:dyDescent="0.2">
      <c r="B6697" s="37"/>
      <c r="C6697" s="61"/>
      <c r="D6697" s="1"/>
      <c r="E6697" s="1"/>
      <c r="F6697" s="1"/>
      <c r="G6697" s="1"/>
      <c r="H6697" s="875"/>
      <c r="I6697" s="876"/>
    </row>
    <row r="6698" spans="2:11" ht="12.75" customHeight="1" x14ac:dyDescent="0.15">
      <c r="B6698" s="947" t="s">
        <v>836</v>
      </c>
      <c r="C6698" s="948"/>
      <c r="D6698" s="948"/>
      <c r="E6698" s="948"/>
      <c r="F6698" s="949"/>
      <c r="G6698" s="1"/>
      <c r="H6698" s="875"/>
      <c r="I6698" s="876"/>
      <c r="K6698" s="1"/>
    </row>
    <row r="6699" spans="2:11" ht="12.75" customHeight="1" x14ac:dyDescent="0.15">
      <c r="B6699" s="950"/>
      <c r="C6699" s="951"/>
      <c r="D6699" s="951"/>
      <c r="E6699" s="951"/>
      <c r="F6699" s="952"/>
      <c r="G6699" s="1"/>
      <c r="H6699" s="875"/>
      <c r="I6699" s="876"/>
      <c r="K6699" s="1"/>
    </row>
    <row r="6700" spans="2:11" ht="13.5" customHeight="1" x14ac:dyDescent="0.15">
      <c r="B6700" s="950"/>
      <c r="C6700" s="951"/>
      <c r="D6700" s="951"/>
      <c r="E6700" s="951"/>
      <c r="F6700" s="952"/>
      <c r="G6700" s="11"/>
      <c r="H6700" s="877"/>
      <c r="I6700" s="878"/>
    </row>
    <row r="6701" spans="2:11" ht="21.75" customHeight="1" thickBot="1" x14ac:dyDescent="0.2">
      <c r="B6701" s="950"/>
      <c r="C6701" s="951"/>
      <c r="D6701" s="951"/>
      <c r="E6701" s="951"/>
      <c r="F6701" s="952"/>
      <c r="H6701" s="64" t="s">
        <v>45</v>
      </c>
      <c r="I6701" s="17" t="s">
        <v>19</v>
      </c>
    </row>
    <row r="6702" spans="2:11" ht="13.5" customHeight="1" thickBot="1" x14ac:dyDescent="0.2">
      <c r="B6702" s="953"/>
      <c r="C6702" s="954"/>
      <c r="D6702" s="954"/>
      <c r="E6702" s="954"/>
      <c r="F6702" s="955"/>
      <c r="G6702" s="18"/>
      <c r="H6702" s="18"/>
      <c r="I6702" s="1"/>
    </row>
    <row r="6703" spans="2:11" ht="13.5" customHeight="1" x14ac:dyDescent="0.15">
      <c r="B6703" s="379"/>
      <c r="C6703" s="379"/>
      <c r="D6703" s="379"/>
      <c r="E6703" s="379"/>
      <c r="F6703" s="379"/>
      <c r="G6703" s="18"/>
      <c r="H6703" s="18"/>
      <c r="I6703" s="1"/>
    </row>
    <row r="6704" spans="2:11" ht="13.5" customHeight="1" thickBot="1" x14ac:dyDescent="0.2">
      <c r="B6704" s="12" t="s">
        <v>21</v>
      </c>
      <c r="C6704" s="12"/>
      <c r="D6704" s="1"/>
      <c r="E6704" s="1"/>
      <c r="F6704" s="1"/>
      <c r="G6704" s="1"/>
      <c r="H6704" s="1"/>
      <c r="I6704" s="1"/>
    </row>
    <row r="6705" spans="2:9" x14ac:dyDescent="0.15">
      <c r="B6705" s="903" t="s">
        <v>22</v>
      </c>
      <c r="C6705" s="904"/>
      <c r="D6705" s="905"/>
      <c r="E6705" s="209" t="s">
        <v>23</v>
      </c>
      <c r="F6705" s="19" t="s">
        <v>47</v>
      </c>
      <c r="G6705" s="209" t="s">
        <v>24</v>
      </c>
      <c r="H6705" s="208" t="s">
        <v>25</v>
      </c>
      <c r="I6705" s="43"/>
    </row>
    <row r="6706" spans="2:9" x14ac:dyDescent="0.15">
      <c r="B6706" s="897" t="s">
        <v>56</v>
      </c>
      <c r="C6706" s="898"/>
      <c r="D6706" s="899"/>
      <c r="E6706" s="5"/>
      <c r="F6706" s="162"/>
      <c r="G6706" s="58"/>
      <c r="H6706" s="162">
        <f>I6726*0.05</f>
        <v>23255.516666666666</v>
      </c>
      <c r="I6706" s="44"/>
    </row>
    <row r="6707" spans="2:9" ht="14" thickBot="1" x14ac:dyDescent="0.2">
      <c r="B6707" s="900"/>
      <c r="C6707" s="901"/>
      <c r="D6707" s="902"/>
      <c r="E6707" s="21"/>
      <c r="F6707" s="22"/>
      <c r="G6707" s="23"/>
      <c r="H6707" s="47"/>
      <c r="I6707" s="48"/>
    </row>
    <row r="6708" spans="2:9" ht="14" thickBot="1" x14ac:dyDescent="0.2">
      <c r="B6708" s="1"/>
      <c r="C6708" s="1"/>
      <c r="D6708" s="1"/>
      <c r="E6708" s="1"/>
      <c r="F6708" s="1"/>
      <c r="G6708" s="1"/>
      <c r="H6708" s="37" t="s">
        <v>26</v>
      </c>
      <c r="I6708" s="163">
        <f>SUM(H6706:H6707)</f>
        <v>23255.516666666666</v>
      </c>
    </row>
    <row r="6709" spans="2:9" ht="14" thickBot="1" x14ac:dyDescent="0.2">
      <c r="B6709" s="12" t="s">
        <v>27</v>
      </c>
      <c r="C6709" s="12"/>
      <c r="D6709" s="1"/>
      <c r="E6709" s="1"/>
      <c r="F6709" s="1"/>
      <c r="G6709" s="1"/>
      <c r="H6709" s="1"/>
      <c r="I6709" s="1"/>
    </row>
    <row r="6710" spans="2:9" x14ac:dyDescent="0.15">
      <c r="B6710" s="903" t="s">
        <v>22</v>
      </c>
      <c r="C6710" s="904"/>
      <c r="D6710" s="905"/>
      <c r="E6710" s="209" t="s">
        <v>28</v>
      </c>
      <c r="F6710" s="209" t="s">
        <v>29</v>
      </c>
      <c r="G6710" s="209" t="s">
        <v>30</v>
      </c>
      <c r="H6710" s="208" t="s">
        <v>25</v>
      </c>
      <c r="I6710" s="43"/>
    </row>
    <row r="6711" spans="2:9" x14ac:dyDescent="0.15">
      <c r="B6711" s="4" t="s">
        <v>962</v>
      </c>
      <c r="C6711" s="24"/>
      <c r="D6711" s="6"/>
      <c r="E6711" s="3" t="s">
        <v>58</v>
      </c>
      <c r="F6711" s="164">
        <f>MATERIALES!F181</f>
        <v>12825</v>
      </c>
      <c r="G6711" s="65">
        <v>5</v>
      </c>
      <c r="H6711" s="165">
        <f>F6711*G6711</f>
        <v>64125</v>
      </c>
      <c r="I6711" s="44"/>
    </row>
    <row r="6712" spans="2:9" x14ac:dyDescent="0.15">
      <c r="B6712" s="4" t="s">
        <v>963</v>
      </c>
      <c r="C6712" s="24"/>
      <c r="D6712" s="6"/>
      <c r="E6712" s="3" t="s">
        <v>134</v>
      </c>
      <c r="F6712" s="164">
        <f>MATERIALES!F182</f>
        <v>2500.35</v>
      </c>
      <c r="G6712" s="65">
        <v>5</v>
      </c>
      <c r="H6712" s="165">
        <f t="shared" ref="H6712:H6713" si="55">F6712*G6712</f>
        <v>12501.75</v>
      </c>
      <c r="I6712" s="44"/>
    </row>
    <row r="6713" spans="2:9" x14ac:dyDescent="0.15">
      <c r="B6713" s="4" t="s">
        <v>964</v>
      </c>
      <c r="C6713" s="24"/>
      <c r="D6713" s="6"/>
      <c r="E6713" s="3" t="s">
        <v>103</v>
      </c>
      <c r="F6713" s="164">
        <f>MATERIALES!F183</f>
        <v>80865</v>
      </c>
      <c r="G6713" s="65">
        <v>2</v>
      </c>
      <c r="H6713" s="165">
        <f t="shared" si="55"/>
        <v>161730</v>
      </c>
      <c r="I6713" s="44"/>
    </row>
    <row r="6714" spans="2:9" ht="14" thickBot="1" x14ac:dyDescent="0.2">
      <c r="B6714" s="25"/>
      <c r="C6714" s="26"/>
      <c r="D6714" s="27"/>
      <c r="E6714" s="21"/>
      <c r="F6714" s="22"/>
      <c r="G6714" s="167"/>
      <c r="H6714" s="47"/>
      <c r="I6714" s="48"/>
    </row>
    <row r="6715" spans="2:9" ht="14" thickBot="1" x14ac:dyDescent="0.2">
      <c r="B6715" s="1"/>
      <c r="C6715" s="1"/>
      <c r="D6715" s="1"/>
      <c r="E6715" s="1"/>
      <c r="F6715" s="1"/>
      <c r="G6715" s="1"/>
      <c r="H6715" s="37" t="s">
        <v>26</v>
      </c>
      <c r="I6715" s="163">
        <f>SUM(H6711:H6714)</f>
        <v>238356.75</v>
      </c>
    </row>
    <row r="6716" spans="2:9" ht="14" thickBot="1" x14ac:dyDescent="0.2">
      <c r="B6716" s="28" t="s">
        <v>31</v>
      </c>
      <c r="C6716" s="28"/>
      <c r="D6716" s="26"/>
      <c r="E6716" s="1"/>
      <c r="F6716" s="1"/>
      <c r="G6716" s="1"/>
      <c r="H6716" s="1"/>
      <c r="I6716" s="1"/>
    </row>
    <row r="6717" spans="2:9" x14ac:dyDescent="0.15">
      <c r="B6717" s="51" t="s">
        <v>32</v>
      </c>
      <c r="C6717" s="52"/>
      <c r="D6717" s="97" t="s">
        <v>33</v>
      </c>
      <c r="E6717" s="209" t="s">
        <v>34</v>
      </c>
      <c r="F6717" s="209" t="s">
        <v>35</v>
      </c>
      <c r="G6717" s="209" t="s">
        <v>36</v>
      </c>
      <c r="H6717" s="59" t="s">
        <v>25</v>
      </c>
      <c r="I6717" s="43"/>
    </row>
    <row r="6718" spans="2:9" x14ac:dyDescent="0.15">
      <c r="B6718" s="4" t="s">
        <v>79</v>
      </c>
      <c r="C6718" s="6"/>
      <c r="D6718" s="53">
        <v>0.25</v>
      </c>
      <c r="E6718" s="2">
        <v>15</v>
      </c>
      <c r="F6718" s="2">
        <f>E6718*D6718</f>
        <v>3.75</v>
      </c>
      <c r="G6718" s="162">
        <v>1100</v>
      </c>
      <c r="H6718" s="20">
        <f>G6718*F6718</f>
        <v>4125</v>
      </c>
      <c r="I6718" s="44"/>
    </row>
    <row r="6719" spans="2:9" ht="14" thickBot="1" x14ac:dyDescent="0.2">
      <c r="B6719" s="33"/>
      <c r="C6719" s="54"/>
      <c r="D6719" s="21"/>
      <c r="E6719" s="22"/>
      <c r="F6719" s="23"/>
      <c r="G6719" s="47"/>
      <c r="H6719" s="21"/>
      <c r="I6719" s="48"/>
    </row>
    <row r="6720" spans="2:9" ht="14" thickBot="1" x14ac:dyDescent="0.2">
      <c r="B6720" s="1"/>
      <c r="C6720" s="1"/>
      <c r="D6720" s="1"/>
      <c r="E6720" s="1"/>
      <c r="F6720" s="1"/>
      <c r="G6720" s="1"/>
      <c r="H6720" s="37" t="s">
        <v>26</v>
      </c>
      <c r="I6720" s="163">
        <f>SUM(H6718:H6719)</f>
        <v>4125</v>
      </c>
    </row>
    <row r="6721" spans="2:11" ht="14" thickBot="1" x14ac:dyDescent="0.2">
      <c r="B6721" s="28" t="s">
        <v>37</v>
      </c>
      <c r="C6721" s="28"/>
      <c r="D6721" s="1"/>
      <c r="E6721" s="1"/>
      <c r="F6721" s="1"/>
      <c r="G6721" s="1"/>
      <c r="H6721" s="1"/>
      <c r="I6721" s="1"/>
    </row>
    <row r="6722" spans="2:11" x14ac:dyDescent="0.15">
      <c r="B6722" s="51" t="s">
        <v>38</v>
      </c>
      <c r="C6722" s="86"/>
      <c r="D6722" s="31" t="s">
        <v>39</v>
      </c>
      <c r="E6722" s="209" t="s">
        <v>40</v>
      </c>
      <c r="F6722" s="19" t="s">
        <v>41</v>
      </c>
      <c r="G6722" s="31" t="s">
        <v>24</v>
      </c>
      <c r="H6722" s="59" t="s">
        <v>25</v>
      </c>
      <c r="I6722" s="43"/>
    </row>
    <row r="6723" spans="2:11" x14ac:dyDescent="0.15">
      <c r="B6723" s="4" t="s">
        <v>42</v>
      </c>
      <c r="C6723" s="24"/>
      <c r="D6723" s="32">
        <f>'MANO DE OBRA'!E15</f>
        <v>95333</v>
      </c>
      <c r="E6723" s="168">
        <v>1.75</v>
      </c>
      <c r="F6723" s="164">
        <f>+E6723*D6723</f>
        <v>166832.75</v>
      </c>
      <c r="G6723" s="20">
        <v>0.75</v>
      </c>
      <c r="H6723" s="169">
        <f>+F6723/G6723</f>
        <v>222443.66666666666</v>
      </c>
      <c r="I6723" s="44"/>
    </row>
    <row r="6724" spans="2:11" x14ac:dyDescent="0.15">
      <c r="B6724" s="4" t="s">
        <v>960</v>
      </c>
      <c r="C6724" s="24"/>
      <c r="D6724" s="32">
        <f>'MANO DE OBRA'!E14*2</f>
        <v>104000</v>
      </c>
      <c r="E6724" s="168">
        <v>1.75</v>
      </c>
      <c r="F6724" s="164">
        <f>+E6724*D6724</f>
        <v>182000</v>
      </c>
      <c r="G6724" s="20">
        <v>0.75</v>
      </c>
      <c r="H6724" s="169">
        <f>+F6724/G6724</f>
        <v>242666.66666666666</v>
      </c>
      <c r="I6724" s="44"/>
    </row>
    <row r="6725" spans="2:11" ht="14" thickBot="1" x14ac:dyDescent="0.2">
      <c r="B6725" s="33"/>
      <c r="C6725" s="34"/>
      <c r="D6725" s="22"/>
      <c r="E6725" s="21"/>
      <c r="F6725" s="22"/>
      <c r="G6725" s="23"/>
      <c r="H6725" s="87"/>
      <c r="I6725" s="44"/>
    </row>
    <row r="6726" spans="2:11" ht="14" thickBot="1" x14ac:dyDescent="0.2">
      <c r="B6726" s="1"/>
      <c r="C6726" s="1"/>
      <c r="D6726" s="1"/>
      <c r="E6726" s="1"/>
      <c r="F6726" s="1"/>
      <c r="G6726" s="1"/>
      <c r="H6726" s="37" t="s">
        <v>26</v>
      </c>
      <c r="I6726" s="163">
        <f>SUM(H6723:H6725)</f>
        <v>465110.33333333331</v>
      </c>
      <c r="K6726" s="106"/>
    </row>
    <row r="6727" spans="2:11" ht="14" thickBot="1" x14ac:dyDescent="0.2">
      <c r="B6727" s="1"/>
      <c r="C6727" s="1"/>
      <c r="D6727" s="1"/>
      <c r="E6727" s="1"/>
      <c r="F6727" s="1"/>
      <c r="G6727" s="1"/>
      <c r="H6727" s="61"/>
      <c r="I6727" s="1"/>
    </row>
    <row r="6728" spans="2:11" ht="15" thickBot="1" x14ac:dyDescent="0.2">
      <c r="B6728" s="1"/>
      <c r="C6728" s="1"/>
      <c r="D6728" s="1"/>
      <c r="E6728" s="1"/>
      <c r="F6728" s="35" t="s">
        <v>43</v>
      </c>
      <c r="G6728" s="16"/>
      <c r="H6728" s="16"/>
      <c r="I6728" s="232">
        <f>I6726+I6720+I6715+I6708</f>
        <v>730847.6</v>
      </c>
    </row>
    <row r="6729" spans="2:11" x14ac:dyDescent="0.15">
      <c r="B6729" s="12"/>
      <c r="C6729" s="12"/>
      <c r="D6729" s="1"/>
      <c r="E6729" s="1"/>
      <c r="F6729" s="1"/>
      <c r="G6729" s="1"/>
      <c r="H6729" s="172"/>
      <c r="I6729" s="172"/>
    </row>
    <row r="6730" spans="2:11" x14ac:dyDescent="0.15">
      <c r="B6730" s="16"/>
      <c r="C6730" s="16"/>
      <c r="D6730" s="16"/>
      <c r="E6730" s="16"/>
      <c r="F6730" s="16"/>
      <c r="G6730" s="61"/>
      <c r="H6730" s="173"/>
      <c r="I6730" s="172"/>
    </row>
    <row r="6731" spans="2:11" x14ac:dyDescent="0.15">
      <c r="B6731" s="1"/>
      <c r="C6731" s="1"/>
      <c r="D6731" s="1"/>
      <c r="E6731" s="1"/>
      <c r="F6731" s="1"/>
      <c r="G6731" s="161"/>
      <c r="H6731" s="172"/>
      <c r="I6731" s="172"/>
    </row>
    <row r="6732" spans="2:11" x14ac:dyDescent="0.15">
      <c r="B6732" s="1"/>
      <c r="C6732" s="1"/>
      <c r="D6732" s="1"/>
      <c r="E6732" s="1"/>
      <c r="F6732" s="1"/>
      <c r="G6732" s="161"/>
      <c r="H6732" s="172"/>
      <c r="I6732" s="172"/>
    </row>
    <row r="6733" spans="2:11" x14ac:dyDescent="0.15">
      <c r="B6733" s="1"/>
      <c r="C6733" s="1"/>
      <c r="D6733" s="1"/>
      <c r="E6733" s="1"/>
      <c r="F6733" s="1"/>
      <c r="G6733" s="161"/>
      <c r="H6733" s="172"/>
      <c r="I6733" s="172"/>
    </row>
    <row r="6734" spans="2:11" x14ac:dyDescent="0.15">
      <c r="B6734" s="1"/>
      <c r="C6734" s="1"/>
      <c r="D6734" s="1"/>
      <c r="E6734" s="1"/>
      <c r="F6734" s="1"/>
      <c r="G6734" s="161"/>
      <c r="H6734" s="172"/>
      <c r="I6734" s="172"/>
    </row>
    <row r="6735" spans="2:11" x14ac:dyDescent="0.15">
      <c r="B6735" s="1"/>
      <c r="C6735" s="1"/>
      <c r="D6735" s="1"/>
      <c r="E6735" s="1"/>
      <c r="F6735" s="1"/>
      <c r="G6735" s="161"/>
      <c r="H6735" s="172"/>
      <c r="I6735" s="172"/>
    </row>
    <row r="6736" spans="2:11" ht="14" x14ac:dyDescent="0.15">
      <c r="B6736" s="102"/>
      <c r="C6736" s="1"/>
      <c r="D6736" s="1"/>
      <c r="E6736" s="1"/>
      <c r="F6736" s="1"/>
      <c r="G6736" s="1"/>
      <c r="H6736" s="37"/>
      <c r="I6736" s="172"/>
    </row>
    <row r="6737" spans="2:11" ht="14" x14ac:dyDescent="0.15">
      <c r="B6737" s="83"/>
      <c r="C6737" s="1"/>
      <c r="D6737" s="1"/>
      <c r="E6737" s="1"/>
      <c r="F6737" s="1"/>
      <c r="G6737" s="1"/>
      <c r="H6737" s="1"/>
      <c r="I6737" s="172"/>
    </row>
    <row r="6738" spans="2:11" ht="14" x14ac:dyDescent="0.15">
      <c r="B6738" s="102"/>
      <c r="D6738" s="1"/>
      <c r="E6738" s="15"/>
      <c r="F6738" s="16"/>
      <c r="G6738" s="16"/>
      <c r="H6738" s="16"/>
      <c r="I6738" s="192"/>
    </row>
    <row r="6739" spans="2:11" ht="14" x14ac:dyDescent="0.15">
      <c r="B6739" s="83"/>
      <c r="C6739" s="11"/>
      <c r="D6739" s="1"/>
      <c r="E6739" s="155"/>
      <c r="F6739" s="155"/>
      <c r="G6739" s="155"/>
      <c r="H6739" s="155"/>
      <c r="I6739" s="171"/>
    </row>
    <row r="6740" spans="2:11" ht="14" x14ac:dyDescent="0.15">
      <c r="B6740" s="83"/>
      <c r="C6740" s="11"/>
      <c r="D6740" s="1"/>
      <c r="E6740" s="155"/>
      <c r="F6740" s="155"/>
      <c r="G6740" s="155"/>
      <c r="H6740" s="155"/>
      <c r="I6740" s="171"/>
    </row>
    <row r="6741" spans="2:11" ht="14" x14ac:dyDescent="0.15">
      <c r="B6741" s="83"/>
      <c r="C6741" s="11"/>
      <c r="D6741" s="1"/>
      <c r="E6741" s="155"/>
      <c r="F6741" s="155"/>
      <c r="G6741" s="155"/>
      <c r="H6741" s="155"/>
      <c r="I6741" s="171"/>
    </row>
    <row r="6742" spans="2:11" ht="14" x14ac:dyDescent="0.15">
      <c r="B6742" s="83"/>
      <c r="C6742" s="11"/>
      <c r="D6742" s="1"/>
      <c r="E6742" s="155"/>
      <c r="F6742" s="155"/>
      <c r="G6742" s="155"/>
      <c r="H6742" s="155"/>
      <c r="I6742" s="171"/>
    </row>
    <row r="6743" spans="2:11" ht="14" x14ac:dyDescent="0.15">
      <c r="B6743" s="83"/>
      <c r="C6743" s="11"/>
      <c r="D6743" s="1"/>
      <c r="E6743" s="155"/>
      <c r="F6743" s="155"/>
      <c r="G6743" s="155"/>
      <c r="H6743" s="155"/>
      <c r="I6743" s="171"/>
    </row>
    <row r="6744" spans="2:11" ht="14" x14ac:dyDescent="0.15">
      <c r="B6744" s="83"/>
      <c r="C6744" s="11"/>
      <c r="D6744" s="1"/>
      <c r="E6744" s="155"/>
      <c r="F6744" s="155"/>
      <c r="G6744" s="155"/>
      <c r="H6744" s="155"/>
      <c r="I6744" s="171"/>
    </row>
    <row r="6745" spans="2:11" ht="21" customHeight="1" x14ac:dyDescent="0.15">
      <c r="B6745" s="83"/>
      <c r="C6745" s="11"/>
      <c r="D6745" s="1"/>
      <c r="E6745" s="155"/>
      <c r="F6745" s="155"/>
      <c r="G6745" s="155"/>
      <c r="H6745" s="155"/>
      <c r="I6745" s="171"/>
    </row>
    <row r="6746" spans="2:11" ht="15" thickBot="1" x14ac:dyDescent="0.2">
      <c r="B6746" s="83"/>
      <c r="C6746" s="11"/>
      <c r="D6746" s="1"/>
      <c r="E6746" s="155"/>
      <c r="F6746" s="155"/>
      <c r="G6746" s="155"/>
      <c r="H6746" s="155"/>
      <c r="I6746" s="171"/>
    </row>
    <row r="6747" spans="2:11" ht="21" customHeight="1" x14ac:dyDescent="0.15">
      <c r="B6747" s="885" t="s">
        <v>874</v>
      </c>
      <c r="C6747" s="886"/>
      <c r="D6747" s="886"/>
      <c r="E6747" s="886"/>
      <c r="F6747" s="887"/>
      <c r="G6747" s="1"/>
      <c r="H6747" s="879" t="s">
        <v>20</v>
      </c>
      <c r="I6747" s="880"/>
    </row>
    <row r="6748" spans="2:11" ht="16.5" customHeight="1" x14ac:dyDescent="0.15">
      <c r="B6748" s="888" t="s">
        <v>875</v>
      </c>
      <c r="C6748" s="889"/>
      <c r="D6748" s="889"/>
      <c r="E6748" s="889"/>
      <c r="F6748" s="890"/>
      <c r="G6748" s="63"/>
      <c r="H6748" s="881"/>
      <c r="I6748" s="882"/>
    </row>
    <row r="6749" spans="2:11" ht="12.75" customHeight="1" x14ac:dyDescent="0.15">
      <c r="B6749" s="906" t="s">
        <v>876</v>
      </c>
      <c r="C6749" s="907"/>
      <c r="D6749" s="907"/>
      <c r="E6749" s="907"/>
      <c r="F6749" s="908"/>
      <c r="G6749" s="63"/>
      <c r="H6749" s="883"/>
      <c r="I6749" s="884"/>
    </row>
    <row r="6750" spans="2:11" ht="16.5" customHeight="1" thickBot="1" x14ac:dyDescent="0.2">
      <c r="B6750" s="909"/>
      <c r="C6750" s="910"/>
      <c r="D6750" s="910"/>
      <c r="E6750" s="910"/>
      <c r="F6750" s="911"/>
      <c r="G6750" s="1"/>
      <c r="H6750" s="873" t="s">
        <v>961</v>
      </c>
      <c r="I6750" s="874"/>
    </row>
    <row r="6751" spans="2:11" ht="14" thickBot="1" x14ac:dyDescent="0.2">
      <c r="B6751" s="37"/>
      <c r="C6751" s="61"/>
      <c r="D6751" s="1"/>
      <c r="E6751" s="1"/>
      <c r="F6751" s="1"/>
      <c r="G6751" s="1"/>
      <c r="H6751" s="875"/>
      <c r="I6751" s="876"/>
    </row>
    <row r="6752" spans="2:11" ht="12.75" customHeight="1" x14ac:dyDescent="0.15">
      <c r="B6752" s="947" t="s">
        <v>836</v>
      </c>
      <c r="C6752" s="948"/>
      <c r="D6752" s="948"/>
      <c r="E6752" s="948"/>
      <c r="F6752" s="949"/>
      <c r="G6752" s="1"/>
      <c r="H6752" s="875"/>
      <c r="I6752" s="876"/>
      <c r="K6752" s="1"/>
    </row>
    <row r="6753" spans="2:11" ht="12.75" customHeight="1" x14ac:dyDescent="0.15">
      <c r="B6753" s="950"/>
      <c r="C6753" s="951"/>
      <c r="D6753" s="951"/>
      <c r="E6753" s="951"/>
      <c r="F6753" s="952"/>
      <c r="G6753" s="1"/>
      <c r="H6753" s="875"/>
      <c r="I6753" s="876"/>
      <c r="K6753" s="1"/>
    </row>
    <row r="6754" spans="2:11" ht="13.5" customHeight="1" x14ac:dyDescent="0.15">
      <c r="B6754" s="950"/>
      <c r="C6754" s="951"/>
      <c r="D6754" s="951"/>
      <c r="E6754" s="951"/>
      <c r="F6754" s="952"/>
      <c r="G6754" s="11"/>
      <c r="H6754" s="877"/>
      <c r="I6754" s="878"/>
    </row>
    <row r="6755" spans="2:11" ht="21.75" customHeight="1" thickBot="1" x14ac:dyDescent="0.2">
      <c r="B6755" s="950"/>
      <c r="C6755" s="951"/>
      <c r="D6755" s="951"/>
      <c r="E6755" s="951"/>
      <c r="F6755" s="952"/>
      <c r="H6755" s="64" t="s">
        <v>45</v>
      </c>
      <c r="I6755" s="17" t="s">
        <v>19</v>
      </c>
    </row>
    <row r="6756" spans="2:11" ht="13.5" customHeight="1" thickBot="1" x14ac:dyDescent="0.2">
      <c r="B6756" s="953"/>
      <c r="C6756" s="954"/>
      <c r="D6756" s="954"/>
      <c r="E6756" s="954"/>
      <c r="F6756" s="955"/>
      <c r="G6756" s="18"/>
      <c r="H6756" s="18"/>
      <c r="I6756" s="1"/>
    </row>
    <row r="6757" spans="2:11" ht="13.5" customHeight="1" x14ac:dyDescent="0.15">
      <c r="B6757" s="379"/>
      <c r="C6757" s="379"/>
      <c r="D6757" s="379"/>
      <c r="E6757" s="379"/>
      <c r="F6757" s="379"/>
      <c r="G6757" s="18"/>
      <c r="H6757" s="18"/>
      <c r="I6757" s="1"/>
    </row>
    <row r="6758" spans="2:11" ht="13.5" customHeight="1" thickBot="1" x14ac:dyDescent="0.2">
      <c r="B6758" s="12" t="s">
        <v>21</v>
      </c>
      <c r="C6758" s="12"/>
      <c r="D6758" s="1"/>
      <c r="E6758" s="1"/>
      <c r="F6758" s="1"/>
      <c r="G6758" s="1"/>
      <c r="H6758" s="1"/>
      <c r="I6758" s="1"/>
    </row>
    <row r="6759" spans="2:11" x14ac:dyDescent="0.15">
      <c r="B6759" s="903" t="s">
        <v>22</v>
      </c>
      <c r="C6759" s="904"/>
      <c r="D6759" s="905"/>
      <c r="E6759" s="209" t="s">
        <v>23</v>
      </c>
      <c r="F6759" s="19" t="s">
        <v>47</v>
      </c>
      <c r="G6759" s="209" t="s">
        <v>24</v>
      </c>
      <c r="H6759" s="208" t="s">
        <v>25</v>
      </c>
      <c r="I6759" s="43"/>
    </row>
    <row r="6760" spans="2:11" x14ac:dyDescent="0.15">
      <c r="B6760" s="897" t="s">
        <v>56</v>
      </c>
      <c r="C6760" s="898"/>
      <c r="D6760" s="899"/>
      <c r="E6760" s="5"/>
      <c r="F6760" s="162"/>
      <c r="G6760" s="58"/>
      <c r="H6760" s="162">
        <f>I6779*0.05</f>
        <v>29322.183333333334</v>
      </c>
      <c r="I6760" s="44"/>
    </row>
    <row r="6761" spans="2:11" ht="14" thickBot="1" x14ac:dyDescent="0.2">
      <c r="B6761" s="900"/>
      <c r="C6761" s="901"/>
      <c r="D6761" s="902"/>
      <c r="E6761" s="21"/>
      <c r="F6761" s="22"/>
      <c r="G6761" s="23"/>
      <c r="H6761" s="47"/>
      <c r="I6761" s="48"/>
    </row>
    <row r="6762" spans="2:11" ht="14" thickBot="1" x14ac:dyDescent="0.2">
      <c r="B6762" s="1"/>
      <c r="C6762" s="1"/>
      <c r="D6762" s="1"/>
      <c r="E6762" s="1"/>
      <c r="F6762" s="1"/>
      <c r="G6762" s="1"/>
      <c r="H6762" s="37" t="s">
        <v>26</v>
      </c>
      <c r="I6762" s="163">
        <f>SUM(H6760:H6761)</f>
        <v>29322.183333333334</v>
      </c>
    </row>
    <row r="6763" spans="2:11" ht="14" thickBot="1" x14ac:dyDescent="0.2">
      <c r="B6763" s="12" t="s">
        <v>27</v>
      </c>
      <c r="C6763" s="12"/>
      <c r="D6763" s="1"/>
      <c r="E6763" s="1"/>
      <c r="F6763" s="1"/>
      <c r="G6763" s="1"/>
      <c r="H6763" s="1"/>
      <c r="I6763" s="1"/>
    </row>
    <row r="6764" spans="2:11" x14ac:dyDescent="0.15">
      <c r="B6764" s="903" t="s">
        <v>22</v>
      </c>
      <c r="C6764" s="904"/>
      <c r="D6764" s="905"/>
      <c r="E6764" s="209" t="s">
        <v>28</v>
      </c>
      <c r="F6764" s="209" t="s">
        <v>29</v>
      </c>
      <c r="G6764" s="209" t="s">
        <v>30</v>
      </c>
      <c r="H6764" s="208" t="s">
        <v>25</v>
      </c>
      <c r="I6764" s="43"/>
    </row>
    <row r="6765" spans="2:11" x14ac:dyDescent="0.15">
      <c r="B6765" s="4" t="s">
        <v>962</v>
      </c>
      <c r="C6765" s="24"/>
      <c r="D6765" s="6"/>
      <c r="E6765" s="3" t="s">
        <v>58</v>
      </c>
      <c r="F6765" s="164">
        <f>MATERIALES!C181</f>
        <v>12825</v>
      </c>
      <c r="G6765" s="65">
        <v>3</v>
      </c>
      <c r="H6765" s="165">
        <f>F6765*G6765</f>
        <v>38475</v>
      </c>
      <c r="I6765" s="44"/>
    </row>
    <row r="6766" spans="2:11" x14ac:dyDescent="0.15">
      <c r="B6766" s="4" t="s">
        <v>963</v>
      </c>
      <c r="C6766" s="24"/>
      <c r="D6766" s="6"/>
      <c r="E6766" s="3" t="s">
        <v>134</v>
      </c>
      <c r="F6766" s="164">
        <f>MATERIALES!C182</f>
        <v>2500.35</v>
      </c>
      <c r="G6766" s="65">
        <v>3</v>
      </c>
      <c r="H6766" s="165">
        <f t="shared" ref="H6766" si="56">F6766*G6766</f>
        <v>7501.0499999999993</v>
      </c>
      <c r="I6766" s="44"/>
    </row>
    <row r="6767" spans="2:11" ht="14" thickBot="1" x14ac:dyDescent="0.2">
      <c r="B6767" s="25"/>
      <c r="C6767" s="26"/>
      <c r="D6767" s="27"/>
      <c r="E6767" s="21"/>
      <c r="F6767" s="22"/>
      <c r="G6767" s="167"/>
      <c r="H6767" s="47"/>
      <c r="I6767" s="48"/>
    </row>
    <row r="6768" spans="2:11" ht="14" thickBot="1" x14ac:dyDescent="0.2">
      <c r="B6768" s="1"/>
      <c r="C6768" s="1"/>
      <c r="D6768" s="1"/>
      <c r="E6768" s="1"/>
      <c r="F6768" s="1"/>
      <c r="G6768" s="1"/>
      <c r="H6768" s="37" t="s">
        <v>26</v>
      </c>
      <c r="I6768" s="163">
        <f>SUM(H6765:H6767)</f>
        <v>45976.05</v>
      </c>
    </row>
    <row r="6769" spans="2:11" ht="14" thickBot="1" x14ac:dyDescent="0.2">
      <c r="B6769" s="28" t="s">
        <v>31</v>
      </c>
      <c r="C6769" s="28"/>
      <c r="D6769" s="26"/>
      <c r="E6769" s="1"/>
      <c r="F6769" s="1"/>
      <c r="G6769" s="1"/>
      <c r="H6769" s="1"/>
      <c r="I6769" s="1"/>
    </row>
    <row r="6770" spans="2:11" x14ac:dyDescent="0.15">
      <c r="B6770" s="51" t="s">
        <v>32</v>
      </c>
      <c r="C6770" s="52"/>
      <c r="D6770" s="97" t="s">
        <v>33</v>
      </c>
      <c r="E6770" s="209" t="s">
        <v>34</v>
      </c>
      <c r="F6770" s="209" t="s">
        <v>35</v>
      </c>
      <c r="G6770" s="209" t="s">
        <v>36</v>
      </c>
      <c r="H6770" s="59" t="s">
        <v>25</v>
      </c>
      <c r="I6770" s="43"/>
    </row>
    <row r="6771" spans="2:11" x14ac:dyDescent="0.15">
      <c r="B6771" s="4" t="s">
        <v>79</v>
      </c>
      <c r="C6771" s="6"/>
      <c r="D6771" s="53">
        <v>0.25</v>
      </c>
      <c r="E6771" s="2">
        <v>15</v>
      </c>
      <c r="F6771" s="2">
        <f>E6771*D6771</f>
        <v>3.75</v>
      </c>
      <c r="G6771" s="162">
        <v>1100</v>
      </c>
      <c r="H6771" s="20">
        <f>G6771*F6771</f>
        <v>4125</v>
      </c>
      <c r="I6771" s="44"/>
    </row>
    <row r="6772" spans="2:11" ht="14" thickBot="1" x14ac:dyDescent="0.2">
      <c r="B6772" s="33"/>
      <c r="C6772" s="54"/>
      <c r="D6772" s="21"/>
      <c r="E6772" s="22"/>
      <c r="F6772" s="23"/>
      <c r="G6772" s="47"/>
      <c r="H6772" s="21"/>
      <c r="I6772" s="48"/>
    </row>
    <row r="6773" spans="2:11" ht="14" thickBot="1" x14ac:dyDescent="0.2">
      <c r="B6773" s="1"/>
      <c r="C6773" s="1"/>
      <c r="D6773" s="1"/>
      <c r="E6773" s="1"/>
      <c r="F6773" s="1"/>
      <c r="G6773" s="1"/>
      <c r="H6773" s="37" t="s">
        <v>26</v>
      </c>
      <c r="I6773" s="163">
        <f>SUM(H6771:H6772)</f>
        <v>4125</v>
      </c>
    </row>
    <row r="6774" spans="2:11" ht="14" thickBot="1" x14ac:dyDescent="0.2">
      <c r="B6774" s="28" t="s">
        <v>37</v>
      </c>
      <c r="C6774" s="28"/>
      <c r="D6774" s="1"/>
      <c r="E6774" s="1"/>
      <c r="F6774" s="1"/>
      <c r="G6774" s="1"/>
      <c r="H6774" s="1"/>
      <c r="I6774" s="1"/>
    </row>
    <row r="6775" spans="2:11" x14ac:dyDescent="0.15">
      <c r="B6775" s="51" t="s">
        <v>38</v>
      </c>
      <c r="C6775" s="86"/>
      <c r="D6775" s="31" t="s">
        <v>39</v>
      </c>
      <c r="E6775" s="209" t="s">
        <v>40</v>
      </c>
      <c r="F6775" s="19" t="s">
        <v>41</v>
      </c>
      <c r="G6775" s="31" t="s">
        <v>24</v>
      </c>
      <c r="H6775" s="59" t="s">
        <v>25</v>
      </c>
      <c r="I6775" s="43"/>
    </row>
    <row r="6776" spans="2:11" x14ac:dyDescent="0.15">
      <c r="B6776" s="4" t="s">
        <v>42</v>
      </c>
      <c r="C6776" s="24"/>
      <c r="D6776" s="32">
        <f>'MANO DE OBRA'!E15</f>
        <v>95333</v>
      </c>
      <c r="E6776" s="168">
        <v>1.75</v>
      </c>
      <c r="F6776" s="164">
        <f>+E6776*D6776</f>
        <v>166832.75</v>
      </c>
      <c r="G6776" s="20">
        <v>0.75</v>
      </c>
      <c r="H6776" s="169">
        <f>+F6776/G6776</f>
        <v>222443.66666666666</v>
      </c>
      <c r="I6776" s="44"/>
    </row>
    <row r="6777" spans="2:11" x14ac:dyDescent="0.15">
      <c r="B6777" s="4" t="s">
        <v>965</v>
      </c>
      <c r="C6777" s="24"/>
      <c r="D6777" s="32">
        <f>'MANO DE OBRA'!E14*3</f>
        <v>156000</v>
      </c>
      <c r="E6777" s="168">
        <v>1.75</v>
      </c>
      <c r="F6777" s="164">
        <f>+E6777*D6777</f>
        <v>273000</v>
      </c>
      <c r="G6777" s="20">
        <v>0.75</v>
      </c>
      <c r="H6777" s="169">
        <f>+F6777/G6777</f>
        <v>364000</v>
      </c>
      <c r="I6777" s="44"/>
    </row>
    <row r="6778" spans="2:11" ht="14" thickBot="1" x14ac:dyDescent="0.2">
      <c r="B6778" s="33"/>
      <c r="C6778" s="34"/>
      <c r="D6778" s="22"/>
      <c r="E6778" s="21"/>
      <c r="F6778" s="22"/>
      <c r="G6778" s="23"/>
      <c r="H6778" s="87"/>
      <c r="I6778" s="44"/>
    </row>
    <row r="6779" spans="2:11" ht="14" thickBot="1" x14ac:dyDescent="0.2">
      <c r="B6779" s="1"/>
      <c r="C6779" s="1"/>
      <c r="D6779" s="1"/>
      <c r="E6779" s="1"/>
      <c r="F6779" s="1"/>
      <c r="G6779" s="1"/>
      <c r="H6779" s="37" t="s">
        <v>26</v>
      </c>
      <c r="I6779" s="163">
        <f>SUM(H6776:H6778)</f>
        <v>586443.66666666663</v>
      </c>
      <c r="K6779" s="106"/>
    </row>
    <row r="6780" spans="2:11" ht="14" thickBot="1" x14ac:dyDescent="0.2">
      <c r="B6780" s="1"/>
      <c r="C6780" s="1"/>
      <c r="D6780" s="1"/>
      <c r="E6780" s="1"/>
      <c r="F6780" s="1"/>
      <c r="G6780" s="1"/>
      <c r="H6780" s="61"/>
      <c r="I6780" s="1"/>
    </row>
    <row r="6781" spans="2:11" ht="15" thickBot="1" x14ac:dyDescent="0.2">
      <c r="B6781" s="1"/>
      <c r="C6781" s="1"/>
      <c r="D6781" s="1"/>
      <c r="E6781" s="1"/>
      <c r="F6781" s="35" t="s">
        <v>43</v>
      </c>
      <c r="G6781" s="16"/>
      <c r="H6781" s="16"/>
      <c r="I6781" s="232">
        <f>I6779+I6773+I6768+I6762</f>
        <v>665866.9</v>
      </c>
    </row>
    <row r="6782" spans="2:11" x14ac:dyDescent="0.15">
      <c r="B6782" s="12"/>
      <c r="C6782" s="12"/>
      <c r="D6782" s="1"/>
      <c r="E6782" s="1"/>
      <c r="F6782" s="1"/>
      <c r="G6782" s="1"/>
      <c r="H6782" s="172"/>
      <c r="I6782" s="172"/>
    </row>
    <row r="6783" spans="2:11" x14ac:dyDescent="0.15">
      <c r="B6783" s="16"/>
      <c r="C6783" s="16"/>
      <c r="D6783" s="16"/>
      <c r="E6783" s="16"/>
      <c r="F6783" s="16"/>
      <c r="G6783" s="61"/>
      <c r="H6783" s="173"/>
      <c r="I6783" s="172"/>
    </row>
    <row r="6784" spans="2:11" x14ac:dyDescent="0.15">
      <c r="B6784" s="1"/>
      <c r="C6784" s="1"/>
      <c r="D6784" s="1"/>
      <c r="E6784" s="1"/>
      <c r="F6784" s="1"/>
      <c r="G6784" s="161"/>
      <c r="H6784" s="172"/>
      <c r="I6784" s="172"/>
    </row>
    <row r="6785" spans="2:9" x14ac:dyDescent="0.15">
      <c r="B6785" s="1"/>
      <c r="C6785" s="1"/>
      <c r="D6785" s="1"/>
      <c r="E6785" s="1"/>
      <c r="F6785" s="1"/>
      <c r="G6785" s="161"/>
      <c r="H6785" s="172"/>
      <c r="I6785" s="172"/>
    </row>
    <row r="6786" spans="2:9" x14ac:dyDescent="0.15">
      <c r="B6786" s="1"/>
      <c r="C6786" s="1"/>
      <c r="D6786" s="1"/>
      <c r="E6786" s="1"/>
      <c r="F6786" s="1"/>
      <c r="G6786" s="161"/>
      <c r="H6786" s="172"/>
      <c r="I6786" s="172"/>
    </row>
    <row r="6787" spans="2:9" x14ac:dyDescent="0.15">
      <c r="B6787" s="1"/>
      <c r="C6787" s="1"/>
      <c r="D6787" s="1"/>
      <c r="E6787" s="1"/>
      <c r="F6787" s="1"/>
      <c r="G6787" s="161"/>
      <c r="H6787" s="172"/>
      <c r="I6787" s="172"/>
    </row>
    <row r="6788" spans="2:9" x14ac:dyDescent="0.15">
      <c r="B6788" s="1"/>
      <c r="C6788" s="1"/>
      <c r="D6788" s="1"/>
      <c r="E6788" s="1"/>
      <c r="F6788" s="1"/>
      <c r="G6788" s="161"/>
      <c r="H6788" s="172"/>
      <c r="I6788" s="172"/>
    </row>
    <row r="6789" spans="2:9" ht="14" x14ac:dyDescent="0.15">
      <c r="B6789" s="102"/>
      <c r="C6789" s="1"/>
      <c r="D6789" s="1"/>
      <c r="E6789" s="1"/>
      <c r="F6789" s="1"/>
      <c r="G6789" s="1"/>
      <c r="H6789" s="37"/>
      <c r="I6789" s="172"/>
    </row>
    <row r="6790" spans="2:9" ht="14" x14ac:dyDescent="0.15">
      <c r="B6790" s="83"/>
      <c r="C6790" s="1"/>
      <c r="D6790" s="1"/>
      <c r="E6790" s="1"/>
      <c r="F6790" s="1"/>
      <c r="G6790" s="1"/>
      <c r="H6790" s="1"/>
      <c r="I6790" s="172"/>
    </row>
    <row r="6791" spans="2:9" ht="14" x14ac:dyDescent="0.15">
      <c r="B6791" s="83"/>
      <c r="C6791" s="1"/>
      <c r="D6791" s="1"/>
      <c r="E6791" s="1"/>
      <c r="F6791" s="1"/>
      <c r="G6791" s="1"/>
      <c r="H6791" s="1"/>
      <c r="I6791" s="172"/>
    </row>
    <row r="6792" spans="2:9" ht="14" x14ac:dyDescent="0.15">
      <c r="B6792" s="102"/>
      <c r="D6792" s="1"/>
      <c r="E6792" s="15"/>
      <c r="F6792" s="16"/>
      <c r="G6792" s="16"/>
      <c r="H6792" s="16"/>
      <c r="I6792" s="192"/>
    </row>
    <row r="6793" spans="2:9" ht="14" x14ac:dyDescent="0.15">
      <c r="B6793" s="83"/>
      <c r="C6793" s="11"/>
      <c r="D6793" s="1"/>
      <c r="E6793" s="155"/>
      <c r="F6793" s="155"/>
      <c r="G6793" s="155"/>
      <c r="H6793" s="155"/>
      <c r="I6793" s="171"/>
    </row>
    <row r="6794" spans="2:9" ht="14" x14ac:dyDescent="0.15">
      <c r="B6794" s="83"/>
      <c r="C6794" s="11"/>
      <c r="D6794" s="1"/>
      <c r="E6794" s="155"/>
      <c r="F6794" s="155"/>
      <c r="G6794" s="155"/>
      <c r="H6794" s="155"/>
      <c r="I6794" s="171"/>
    </row>
    <row r="6795" spans="2:9" ht="14" x14ac:dyDescent="0.15">
      <c r="B6795" s="83"/>
      <c r="C6795" s="11"/>
      <c r="D6795" s="1"/>
      <c r="E6795" s="155"/>
      <c r="F6795" s="155"/>
      <c r="G6795" s="155"/>
      <c r="H6795" s="155"/>
      <c r="I6795" s="171"/>
    </row>
    <row r="6796" spans="2:9" ht="14" x14ac:dyDescent="0.15">
      <c r="B6796" s="83"/>
      <c r="C6796" s="11"/>
      <c r="D6796" s="1"/>
      <c r="E6796" s="155"/>
      <c r="F6796" s="155"/>
      <c r="G6796" s="155"/>
      <c r="H6796" s="155"/>
      <c r="I6796" s="171"/>
    </row>
    <row r="6797" spans="2:9" ht="21" customHeight="1" x14ac:dyDescent="0.15">
      <c r="B6797" s="83"/>
      <c r="C6797" s="11"/>
      <c r="D6797" s="1"/>
      <c r="E6797" s="155"/>
      <c r="F6797" s="155"/>
      <c r="G6797" s="155"/>
      <c r="H6797" s="155"/>
      <c r="I6797" s="171"/>
    </row>
    <row r="6798" spans="2:9" ht="14" x14ac:dyDescent="0.15">
      <c r="B6798" s="83"/>
      <c r="C6798" s="11"/>
      <c r="D6798" s="1"/>
      <c r="E6798" s="155"/>
      <c r="F6798" s="155"/>
      <c r="G6798" s="155"/>
      <c r="H6798" s="155"/>
      <c r="I6798" s="171"/>
    </row>
    <row r="6799" spans="2:9" ht="14" x14ac:dyDescent="0.15">
      <c r="B6799" s="83"/>
      <c r="C6799" s="11"/>
      <c r="D6799" s="1"/>
      <c r="E6799" s="155"/>
      <c r="F6799" s="155"/>
      <c r="G6799" s="155"/>
      <c r="H6799" s="155"/>
      <c r="I6799" s="171"/>
    </row>
    <row r="6800" spans="2:9" ht="14" x14ac:dyDescent="0.15">
      <c r="B6800" s="83"/>
      <c r="C6800" s="11"/>
      <c r="D6800" s="1"/>
      <c r="E6800" s="155"/>
      <c r="F6800" s="155"/>
      <c r="G6800" s="155"/>
      <c r="H6800" s="155"/>
      <c r="I6800" s="171"/>
    </row>
  </sheetData>
  <mergeCells count="1400">
    <mergeCell ref="B3626:D3626"/>
    <mergeCell ref="B5069:F5069"/>
    <mergeCell ref="H5069:I5071"/>
    <mergeCell ref="B5070:F5070"/>
    <mergeCell ref="B5071:F5072"/>
    <mergeCell ref="H5072:I5076"/>
    <mergeCell ref="B5074:F5077"/>
    <mergeCell ref="B5080:D5080"/>
    <mergeCell ref="B5081:D5081"/>
    <mergeCell ref="B5082:D5082"/>
    <mergeCell ref="B5085:D5085"/>
    <mergeCell ref="B1761:F1761"/>
    <mergeCell ref="H1761:I1763"/>
    <mergeCell ref="B1762:F1762"/>
    <mergeCell ref="B1763:F1764"/>
    <mergeCell ref="H1764:I1768"/>
    <mergeCell ref="B1766:F1769"/>
    <mergeCell ref="B1772:D1772"/>
    <mergeCell ref="B1773:D1773"/>
    <mergeCell ref="B1774:D1774"/>
    <mergeCell ref="B1775:D1775"/>
    <mergeCell ref="B1778:D1778"/>
    <mergeCell ref="E1805:H1805"/>
    <mergeCell ref="H5016:I5020"/>
    <mergeCell ref="B5018:F5021"/>
    <mergeCell ref="B5024:D5024"/>
    <mergeCell ref="B5025:D5025"/>
    <mergeCell ref="B5026:D5026"/>
    <mergeCell ref="B5029:D5029"/>
    <mergeCell ref="F4782:I4782"/>
    <mergeCell ref="B4178:D4178"/>
    <mergeCell ref="B4179:D4179"/>
    <mergeCell ref="B1425:F1425"/>
    <mergeCell ref="H1425:I1427"/>
    <mergeCell ref="B1426:F1426"/>
    <mergeCell ref="B1427:F1428"/>
    <mergeCell ref="H1428:I1432"/>
    <mergeCell ref="B1430:F1433"/>
    <mergeCell ref="B1436:D1436"/>
    <mergeCell ref="B1437:D1437"/>
    <mergeCell ref="B1438:D1438"/>
    <mergeCell ref="B1439:D1439"/>
    <mergeCell ref="B1442:D1442"/>
    <mergeCell ref="E1473:H1473"/>
    <mergeCell ref="B985:F986"/>
    <mergeCell ref="H985:I990"/>
    <mergeCell ref="B988:F991"/>
    <mergeCell ref="B994:D994"/>
    <mergeCell ref="B995:D995"/>
    <mergeCell ref="B996:D996"/>
    <mergeCell ref="B999:D999"/>
    <mergeCell ref="E1022:H1022"/>
    <mergeCell ref="H1092:I1093"/>
    <mergeCell ref="B1093:F1093"/>
    <mergeCell ref="B1094:F1095"/>
    <mergeCell ref="H1094:I1099"/>
    <mergeCell ref="B1097:F1100"/>
    <mergeCell ref="B1103:D1103"/>
    <mergeCell ref="B1092:F1092"/>
    <mergeCell ref="B1106:D1106"/>
    <mergeCell ref="B1109:D1109"/>
    <mergeCell ref="B1148:F1148"/>
    <mergeCell ref="B1160:D1160"/>
    <mergeCell ref="B1161:D1161"/>
    <mergeCell ref="B6483:D6483"/>
    <mergeCell ref="B6033:D6033"/>
    <mergeCell ref="E6058:H6058"/>
    <mergeCell ref="B6072:F6072"/>
    <mergeCell ref="H6072:I6074"/>
    <mergeCell ref="H5572:I5577"/>
    <mergeCell ref="B5575:F5578"/>
    <mergeCell ref="B5581:D5581"/>
    <mergeCell ref="B5582:D5582"/>
    <mergeCell ref="B5583:D5583"/>
    <mergeCell ref="B5473:D5473"/>
    <mergeCell ref="B5474:D5474"/>
    <mergeCell ref="B5475:D5475"/>
    <mergeCell ref="B5478:D5478"/>
    <mergeCell ref="E5507:H5507"/>
    <mergeCell ref="B5516:F5516"/>
    <mergeCell ref="H5516:I5517"/>
    <mergeCell ref="B5517:F5517"/>
    <mergeCell ref="B5518:F5519"/>
    <mergeCell ref="H5518:I5523"/>
    <mergeCell ref="B5521:F5524"/>
    <mergeCell ref="B5527:D5527"/>
    <mergeCell ref="B5528:D5528"/>
    <mergeCell ref="B5529:D5529"/>
    <mergeCell ref="B5532:D5532"/>
    <mergeCell ref="E5561:H5561"/>
    <mergeCell ref="B5570:F5570"/>
    <mergeCell ref="H5570:I5571"/>
    <mergeCell ref="B5571:F5571"/>
    <mergeCell ref="B6021:F6024"/>
    <mergeCell ref="B6030:D6030"/>
    <mergeCell ref="B5586:D5586"/>
    <mergeCell ref="E5616:H5616"/>
    <mergeCell ref="B5572:F5573"/>
    <mergeCell ref="B6528:F6531"/>
    <mergeCell ref="B6534:D6534"/>
    <mergeCell ref="B6535:D6535"/>
    <mergeCell ref="B6536:D6536"/>
    <mergeCell ref="B5625:F5625"/>
    <mergeCell ref="H5625:I5626"/>
    <mergeCell ref="B5626:F5626"/>
    <mergeCell ref="B5627:F5628"/>
    <mergeCell ref="H5627:I5632"/>
    <mergeCell ref="B5630:F5633"/>
    <mergeCell ref="B5636:D5636"/>
    <mergeCell ref="B5637:D5637"/>
    <mergeCell ref="B5638:D5638"/>
    <mergeCell ref="B5641:D5641"/>
    <mergeCell ref="B6466:F6466"/>
    <mergeCell ref="H6466:I6467"/>
    <mergeCell ref="B6467:F6467"/>
    <mergeCell ref="H6298:I6304"/>
    <mergeCell ref="B6140:D6140"/>
    <mergeCell ref="B6141:D6141"/>
    <mergeCell ref="B6142:D6142"/>
    <mergeCell ref="B6145:D6145"/>
    <mergeCell ref="E6170:H6170"/>
    <mergeCell ref="B6184:F6184"/>
    <mergeCell ref="H6184:I6186"/>
    <mergeCell ref="B6479:D6479"/>
    <mergeCell ref="B6480:D6480"/>
    <mergeCell ref="H6523:I6525"/>
    <mergeCell ref="B6524:F6524"/>
    <mergeCell ref="B6525:F6526"/>
    <mergeCell ref="B5154:C5154"/>
    <mergeCell ref="B5155:C5155"/>
    <mergeCell ref="B5156:C5156"/>
    <mergeCell ref="B5157:C5157"/>
    <mergeCell ref="E5170:H5170"/>
    <mergeCell ref="B5406:F5406"/>
    <mergeCell ref="H5406:I5408"/>
    <mergeCell ref="B5407:F5407"/>
    <mergeCell ref="B5408:F5409"/>
    <mergeCell ref="H5409:I5413"/>
    <mergeCell ref="B5411:F5414"/>
    <mergeCell ref="B5417:D5417"/>
    <mergeCell ref="B5418:D5418"/>
    <mergeCell ref="B5419:D5419"/>
    <mergeCell ref="B5420:D5420"/>
    <mergeCell ref="B5423:D5423"/>
    <mergeCell ref="B6185:F6185"/>
    <mergeCell ref="B5462:F5462"/>
    <mergeCell ref="H5462:I5463"/>
    <mergeCell ref="B5463:F5463"/>
    <mergeCell ref="B5464:F5465"/>
    <mergeCell ref="H5464:I5469"/>
    <mergeCell ref="B5467:F5470"/>
    <mergeCell ref="B6139:D6139"/>
    <mergeCell ref="B5973:D5973"/>
    <mergeCell ref="B5974:D5974"/>
    <mergeCell ref="B5977:D5977"/>
    <mergeCell ref="B6016:F6016"/>
    <mergeCell ref="H6016:I6018"/>
    <mergeCell ref="B6017:F6017"/>
    <mergeCell ref="B6018:F6019"/>
    <mergeCell ref="H6019:I6023"/>
    <mergeCell ref="B5125:F5125"/>
    <mergeCell ref="H5125:I5127"/>
    <mergeCell ref="B5126:F5126"/>
    <mergeCell ref="B5127:F5128"/>
    <mergeCell ref="H5128:I5132"/>
    <mergeCell ref="B5130:F5133"/>
    <mergeCell ref="B5136:D5136"/>
    <mergeCell ref="B5137:D5137"/>
    <mergeCell ref="B5138:D5138"/>
    <mergeCell ref="B5139:D5139"/>
    <mergeCell ref="B5142:D5142"/>
    <mergeCell ref="B4725:F4725"/>
    <mergeCell ref="H4725:I4727"/>
    <mergeCell ref="B4726:F4726"/>
    <mergeCell ref="B4727:F4728"/>
    <mergeCell ref="H4728:I4732"/>
    <mergeCell ref="B4730:F4733"/>
    <mergeCell ref="E4882:H4882"/>
    <mergeCell ref="F4897:I4897"/>
    <mergeCell ref="B4841:F4841"/>
    <mergeCell ref="H4841:I4843"/>
    <mergeCell ref="B4842:F4842"/>
    <mergeCell ref="B4843:F4844"/>
    <mergeCell ref="H4844:I4848"/>
    <mergeCell ref="B4846:F4849"/>
    <mergeCell ref="B4795:D4795"/>
    <mergeCell ref="B4796:D4796"/>
    <mergeCell ref="B4799:D4799"/>
    <mergeCell ref="E4831:H4831"/>
    <mergeCell ref="B4736:D4736"/>
    <mergeCell ref="B4737:D4737"/>
    <mergeCell ref="B4794:D4794"/>
    <mergeCell ref="B4180:D4180"/>
    <mergeCell ref="B4183:D4183"/>
    <mergeCell ref="H4449:I4453"/>
    <mergeCell ref="B4224:F4224"/>
    <mergeCell ref="H4224:I4226"/>
    <mergeCell ref="B4225:F4225"/>
    <mergeCell ref="B4226:F4227"/>
    <mergeCell ref="H4227:I4231"/>
    <mergeCell ref="B4229:F4232"/>
    <mergeCell ref="B4235:D4235"/>
    <mergeCell ref="B4236:D4236"/>
    <mergeCell ref="B4237:D4237"/>
    <mergeCell ref="B4238:D4238"/>
    <mergeCell ref="B4241:D4241"/>
    <mergeCell ref="B4253:C4253"/>
    <mergeCell ref="B4254:C4254"/>
    <mergeCell ref="B4255:C4255"/>
    <mergeCell ref="B4256:C4256"/>
    <mergeCell ref="E4269:H4269"/>
    <mergeCell ref="B4348:D4348"/>
    <mergeCell ref="B4349:D4349"/>
    <mergeCell ref="B4352:D4352"/>
    <mergeCell ref="B4396:F4399"/>
    <mergeCell ref="B4347:D4347"/>
    <mergeCell ref="B4336:F4336"/>
    <mergeCell ref="B4337:F4337"/>
    <mergeCell ref="B4338:F4339"/>
    <mergeCell ref="H4336:I4336"/>
    <mergeCell ref="F4054:I4054"/>
    <mergeCell ref="B4056:F4056"/>
    <mergeCell ref="H4056:I4058"/>
    <mergeCell ref="B4057:F4057"/>
    <mergeCell ref="B4058:F4059"/>
    <mergeCell ref="H4059:I4063"/>
    <mergeCell ref="B4067:D4067"/>
    <mergeCell ref="B4068:D4068"/>
    <mergeCell ref="B4069:D4069"/>
    <mergeCell ref="B4072:D4072"/>
    <mergeCell ref="E4103:H4103"/>
    <mergeCell ref="B4061:F4064"/>
    <mergeCell ref="F4165:I4165"/>
    <mergeCell ref="B4167:F4167"/>
    <mergeCell ref="H4167:I4169"/>
    <mergeCell ref="B4168:F4168"/>
    <mergeCell ref="B4169:F4170"/>
    <mergeCell ref="H4170:I4174"/>
    <mergeCell ref="B4172:F4175"/>
    <mergeCell ref="B3453:D3453"/>
    <mergeCell ref="B3454:D3454"/>
    <mergeCell ref="B3455:D3455"/>
    <mergeCell ref="B3458:D3458"/>
    <mergeCell ref="E3485:H3485"/>
    <mergeCell ref="B3776:F3776"/>
    <mergeCell ref="H3776:I3778"/>
    <mergeCell ref="B3777:F3777"/>
    <mergeCell ref="B3778:F3779"/>
    <mergeCell ref="H3779:I3783"/>
    <mergeCell ref="B3781:F3784"/>
    <mergeCell ref="B3787:D3787"/>
    <mergeCell ref="B3788:D3788"/>
    <mergeCell ref="B3789:D3789"/>
    <mergeCell ref="B3792:D3792"/>
    <mergeCell ref="E3824:H3824"/>
    <mergeCell ref="F3830:I3830"/>
    <mergeCell ref="B3614:F3617"/>
    <mergeCell ref="B3620:D3620"/>
    <mergeCell ref="B3621:D3621"/>
    <mergeCell ref="B3622:D3622"/>
    <mergeCell ref="B3625:D3625"/>
    <mergeCell ref="B3609:F3609"/>
    <mergeCell ref="H3609:I3611"/>
    <mergeCell ref="B3557:F3560"/>
    <mergeCell ref="H3720:I3722"/>
    <mergeCell ref="B3721:F3721"/>
    <mergeCell ref="B3722:F3723"/>
    <mergeCell ref="B3511:D3511"/>
    <mergeCell ref="B3720:F3720"/>
    <mergeCell ref="B3725:F3728"/>
    <mergeCell ref="B3731:D3731"/>
    <mergeCell ref="B3341:D3341"/>
    <mergeCell ref="B3342:D3342"/>
    <mergeCell ref="B3343:D3343"/>
    <mergeCell ref="B3346:D3346"/>
    <mergeCell ref="E3374:H3374"/>
    <mergeCell ref="B3386:F3386"/>
    <mergeCell ref="H3386:I3388"/>
    <mergeCell ref="B3387:F3387"/>
    <mergeCell ref="B3388:F3389"/>
    <mergeCell ref="H3389:I3393"/>
    <mergeCell ref="B3391:F3394"/>
    <mergeCell ref="B3397:D3397"/>
    <mergeCell ref="B3398:D3398"/>
    <mergeCell ref="B3399:D3399"/>
    <mergeCell ref="B3402:D3402"/>
    <mergeCell ref="E3429:H3429"/>
    <mergeCell ref="B3442:F3442"/>
    <mergeCell ref="H3442:I3444"/>
    <mergeCell ref="B3443:F3443"/>
    <mergeCell ref="B3444:F3445"/>
    <mergeCell ref="H3445:I3449"/>
    <mergeCell ref="B3447:F3450"/>
    <mergeCell ref="B3166:F3169"/>
    <mergeCell ref="B3172:D3172"/>
    <mergeCell ref="B3173:D3173"/>
    <mergeCell ref="B3174:D3174"/>
    <mergeCell ref="B3175:D3175"/>
    <mergeCell ref="B3178:D3178"/>
    <mergeCell ref="B3330:F3330"/>
    <mergeCell ref="H3330:I3332"/>
    <mergeCell ref="B3331:F3331"/>
    <mergeCell ref="B3332:F3333"/>
    <mergeCell ref="H3333:I3337"/>
    <mergeCell ref="B3335:F3338"/>
    <mergeCell ref="B3218:F3218"/>
    <mergeCell ref="H3218:I3220"/>
    <mergeCell ref="H3221:I3225"/>
    <mergeCell ref="B3274:F3274"/>
    <mergeCell ref="H3274:I3276"/>
    <mergeCell ref="B3275:F3275"/>
    <mergeCell ref="B3287:D3287"/>
    <mergeCell ref="B3286:D3286"/>
    <mergeCell ref="E3321:H3321"/>
    <mergeCell ref="H6526:I6530"/>
    <mergeCell ref="H2432:I2437"/>
    <mergeCell ref="B2435:F2438"/>
    <mergeCell ref="B2441:D2441"/>
    <mergeCell ref="B2375:F2375"/>
    <mergeCell ref="H2375:I2377"/>
    <mergeCell ref="B2376:F2376"/>
    <mergeCell ref="B2377:F2378"/>
    <mergeCell ref="H2378:I2382"/>
    <mergeCell ref="B2380:F2383"/>
    <mergeCell ref="B2386:D2386"/>
    <mergeCell ref="B2387:D2387"/>
    <mergeCell ref="B2388:D2388"/>
    <mergeCell ref="B3116:D3116"/>
    <mergeCell ref="B3103:F3103"/>
    <mergeCell ref="H3103:I3105"/>
    <mergeCell ref="B3104:F3104"/>
    <mergeCell ref="B3105:F3106"/>
    <mergeCell ref="H3106:I3110"/>
    <mergeCell ref="B3108:F3111"/>
    <mergeCell ref="B3114:D3114"/>
    <mergeCell ref="B3115:D3115"/>
    <mergeCell ref="B2712:F2713"/>
    <mergeCell ref="H2712:I2717"/>
    <mergeCell ref="B2442:D2442"/>
    <mergeCell ref="B2443:D2443"/>
    <mergeCell ref="B2444:D2444"/>
    <mergeCell ref="B2447:D2447"/>
    <mergeCell ref="E2473:H2473"/>
    <mergeCell ref="B6310:D6310"/>
    <mergeCell ref="B6313:D6313"/>
    <mergeCell ref="B6353:F6353"/>
    <mergeCell ref="H6353:I6355"/>
    <mergeCell ref="B6354:F6354"/>
    <mergeCell ref="B6355:F6356"/>
    <mergeCell ref="H6356:I6360"/>
    <mergeCell ref="B6358:F6361"/>
    <mergeCell ref="B6195:D6195"/>
    <mergeCell ref="B6196:D6196"/>
    <mergeCell ref="B6197:D6197"/>
    <mergeCell ref="B6198:D6198"/>
    <mergeCell ref="B6201:D6201"/>
    <mergeCell ref="E6226:H6226"/>
    <mergeCell ref="B6240:F6240"/>
    <mergeCell ref="H6240:I6242"/>
    <mergeCell ref="B6241:F6241"/>
    <mergeCell ref="B6242:F6243"/>
    <mergeCell ref="H6243:I6247"/>
    <mergeCell ref="B6245:F6248"/>
    <mergeCell ref="B6073:F6073"/>
    <mergeCell ref="B6074:F6075"/>
    <mergeCell ref="H6075:I6079"/>
    <mergeCell ref="B6077:F6080"/>
    <mergeCell ref="B6579:F6579"/>
    <mergeCell ref="B6580:F6580"/>
    <mergeCell ref="H6579:I6581"/>
    <mergeCell ref="B6423:D6423"/>
    <mergeCell ref="B6426:D6426"/>
    <mergeCell ref="B6251:D6251"/>
    <mergeCell ref="B6252:D6252"/>
    <mergeCell ref="B6253:D6253"/>
    <mergeCell ref="B6254:D6254"/>
    <mergeCell ref="B6257:D6257"/>
    <mergeCell ref="E6282:H6282"/>
    <mergeCell ref="B6296:F6296"/>
    <mergeCell ref="H6296:I6297"/>
    <mergeCell ref="B6297:F6297"/>
    <mergeCell ref="B6364:D6364"/>
    <mergeCell ref="B6365:D6365"/>
    <mergeCell ref="B6366:D6366"/>
    <mergeCell ref="B6367:D6367"/>
    <mergeCell ref="B6370:D6370"/>
    <mergeCell ref="E6395:H6395"/>
    <mergeCell ref="B6298:F6299"/>
    <mergeCell ref="H6468:I6474"/>
    <mergeCell ref="B6471:F6475"/>
    <mergeCell ref="B6478:D6478"/>
    <mergeCell ref="B6539:D6539"/>
    <mergeCell ref="B6301:F6305"/>
    <mergeCell ref="B6308:D6308"/>
    <mergeCell ref="B6309:D6309"/>
    <mergeCell ref="B5368:D5368"/>
    <mergeCell ref="E5395:H5395"/>
    <mergeCell ref="B4448:F4449"/>
    <mergeCell ref="B4613:F4613"/>
    <mergeCell ref="B4562:F4565"/>
    <mergeCell ref="H4560:I4564"/>
    <mergeCell ref="B4503:F4504"/>
    <mergeCell ref="B5239:F5240"/>
    <mergeCell ref="H5240:I5244"/>
    <mergeCell ref="B6186:F6187"/>
    <mergeCell ref="H6187:I6191"/>
    <mergeCell ref="B6189:F6192"/>
    <mergeCell ref="H5350:I5352"/>
    <mergeCell ref="B5351:F5351"/>
    <mergeCell ref="B5352:F5353"/>
    <mergeCell ref="F5403:I5403"/>
    <mergeCell ref="H5353:I5358"/>
    <mergeCell ref="B6083:D6083"/>
    <mergeCell ref="B6084:D6084"/>
    <mergeCell ref="B6085:D6085"/>
    <mergeCell ref="B6086:D6086"/>
    <mergeCell ref="B6089:D6089"/>
    <mergeCell ref="E6114:H6114"/>
    <mergeCell ref="B6128:F6128"/>
    <mergeCell ref="H6128:I6130"/>
    <mergeCell ref="B6129:F6129"/>
    <mergeCell ref="B6130:F6131"/>
    <mergeCell ref="H6131:I6135"/>
    <mergeCell ref="B6133:F6136"/>
    <mergeCell ref="B6027:D6027"/>
    <mergeCell ref="B6028:D6028"/>
    <mergeCell ref="B6029:D6029"/>
    <mergeCell ref="B5364:D5364"/>
    <mergeCell ref="B5365:D5365"/>
    <mergeCell ref="B4783:F4783"/>
    <mergeCell ref="H4783:I4785"/>
    <mergeCell ref="B4784:F4784"/>
    <mergeCell ref="B5249:D5249"/>
    <mergeCell ref="B5250:D5250"/>
    <mergeCell ref="B5183:F5184"/>
    <mergeCell ref="B4852:D4852"/>
    <mergeCell ref="B4853:D4853"/>
    <mergeCell ref="B4854:D4854"/>
    <mergeCell ref="B4857:D4857"/>
    <mergeCell ref="F4839:I4839"/>
    <mergeCell ref="E4940:H4940"/>
    <mergeCell ref="B4785:F4786"/>
    <mergeCell ref="H4786:I4790"/>
    <mergeCell ref="B4788:F4791"/>
    <mergeCell ref="B4969:D4969"/>
    <mergeCell ref="B4972:D4972"/>
    <mergeCell ref="F4953:I4953"/>
    <mergeCell ref="B4956:F4956"/>
    <mergeCell ref="H4956:I4958"/>
    <mergeCell ref="B4957:F4957"/>
    <mergeCell ref="B4958:F4959"/>
    <mergeCell ref="H4959:I4963"/>
    <mergeCell ref="B4961:F4964"/>
    <mergeCell ref="B4967:D4967"/>
    <mergeCell ref="B4968:D4968"/>
    <mergeCell ref="B5013:F5013"/>
    <mergeCell ref="H5013:I5015"/>
    <mergeCell ref="B5014:F5014"/>
    <mergeCell ref="B5015:F5016"/>
    <mergeCell ref="B4899:F4899"/>
    <mergeCell ref="H4899:I4901"/>
    <mergeCell ref="B4900:F4900"/>
    <mergeCell ref="B4901:F4902"/>
    <mergeCell ref="H4902:I4906"/>
    <mergeCell ref="B4904:F4907"/>
    <mergeCell ref="B4910:D4910"/>
    <mergeCell ref="B4911:D4911"/>
    <mergeCell ref="B4912:D4912"/>
    <mergeCell ref="B4915:D4915"/>
    <mergeCell ref="B670:D670"/>
    <mergeCell ref="B671:D671"/>
    <mergeCell ref="B674:D674"/>
    <mergeCell ref="E698:H698"/>
    <mergeCell ref="B3509:D3509"/>
    <mergeCell ref="B3510:D3510"/>
    <mergeCell ref="H3498:I3500"/>
    <mergeCell ref="B3499:F3499"/>
    <mergeCell ref="B3500:F3501"/>
    <mergeCell ref="H3501:I3505"/>
    <mergeCell ref="B3503:F3506"/>
    <mergeCell ref="B3229:D3229"/>
    <mergeCell ref="B3230:D3230"/>
    <mergeCell ref="B3231:D3231"/>
    <mergeCell ref="B2831:D2831"/>
    <mergeCell ref="B2832:D2832"/>
    <mergeCell ref="B3000:D3000"/>
    <mergeCell ref="B3234:D3234"/>
    <mergeCell ref="E3262:H3262"/>
    <mergeCell ref="B767:F767"/>
    <mergeCell ref="B2432:F2433"/>
    <mergeCell ref="E3539:H3539"/>
    <mergeCell ref="H3723:I3727"/>
    <mergeCell ref="B4462:D4462"/>
    <mergeCell ref="B4393:F4394"/>
    <mergeCell ref="B4402:D4402"/>
    <mergeCell ref="B4451:F4454"/>
    <mergeCell ref="B4341:F4344"/>
    <mergeCell ref="B3552:F3552"/>
    <mergeCell ref="B3564:D3564"/>
    <mergeCell ref="H4504:I4508"/>
    <mergeCell ref="B3955:D3955"/>
    <mergeCell ref="B3956:D3956"/>
    <mergeCell ref="B3957:D3957"/>
    <mergeCell ref="F4109:I4109"/>
    <mergeCell ref="B4111:F4111"/>
    <mergeCell ref="H4111:I4113"/>
    <mergeCell ref="B4112:F4112"/>
    <mergeCell ref="B4113:F4114"/>
    <mergeCell ref="H4114:I4118"/>
    <mergeCell ref="B4116:F4119"/>
    <mergeCell ref="B3888:F3888"/>
    <mergeCell ref="H3888:I3890"/>
    <mergeCell ref="B3889:F3889"/>
    <mergeCell ref="B3890:F3891"/>
    <mergeCell ref="E3651:H3651"/>
    <mergeCell ref="B4127:D4127"/>
    <mergeCell ref="E4158:H4158"/>
    <mergeCell ref="B3960:D3960"/>
    <mergeCell ref="E3990:H3990"/>
    <mergeCell ref="F3999:I3999"/>
    <mergeCell ref="B4000:F4000"/>
    <mergeCell ref="H4000:I4002"/>
    <mergeCell ref="B4001:F4001"/>
    <mergeCell ref="F3660:I3660"/>
    <mergeCell ref="B3664:F3664"/>
    <mergeCell ref="H4337:I4343"/>
    <mergeCell ref="B3568:D3568"/>
    <mergeCell ref="H4446:I4448"/>
    <mergeCell ref="B3736:D3736"/>
    <mergeCell ref="B6705:D6705"/>
    <mergeCell ref="B6706:D6706"/>
    <mergeCell ref="B2778:D2778"/>
    <mergeCell ref="B2166:D2166"/>
    <mergeCell ref="B2167:D2167"/>
    <mergeCell ref="B2168:D2168"/>
    <mergeCell ref="B2171:D2171"/>
    <mergeCell ref="F4500:I4500"/>
    <mergeCell ref="B4458:D4458"/>
    <mergeCell ref="B5193:D5193"/>
    <mergeCell ref="B5195:D5195"/>
    <mergeCell ref="B5198:D5198"/>
    <mergeCell ref="B5311:D5311"/>
    <mergeCell ref="B5312:D5312"/>
    <mergeCell ref="B2767:F2767"/>
    <mergeCell ref="B2671:D2671"/>
    <mergeCell ref="E2696:H2696"/>
    <mergeCell ref="B2654:F2654"/>
    <mergeCell ref="H2654:I2655"/>
    <mergeCell ref="B3049:F3050"/>
    <mergeCell ref="B2554:D2554"/>
    <mergeCell ref="B2555:D2555"/>
    <mergeCell ref="B2710:F2710"/>
    <mergeCell ref="B2430:F2430"/>
    <mergeCell ref="H2430:I2431"/>
    <mergeCell ref="B3610:F3610"/>
    <mergeCell ref="B3611:F3612"/>
    <mergeCell ref="B2559:D2559"/>
    <mergeCell ref="E2583:H2583"/>
    <mergeCell ref="B2659:F2662"/>
    <mergeCell ref="H2542:I2543"/>
    <mergeCell ref="B2665:D2665"/>
    <mergeCell ref="B2666:D2666"/>
    <mergeCell ref="B2667:D2667"/>
    <mergeCell ref="B2553:D2553"/>
    <mergeCell ref="B1819:F1820"/>
    <mergeCell ref="B1822:F1825"/>
    <mergeCell ref="B1828:D1828"/>
    <mergeCell ref="B1829:D1829"/>
    <mergeCell ref="B1710:F1713"/>
    <mergeCell ref="B1718:D1718"/>
    <mergeCell ref="B1719:D1719"/>
    <mergeCell ref="B1722:D1722"/>
    <mergeCell ref="B2156:F2157"/>
    <mergeCell ref="B2274:D2274"/>
    <mergeCell ref="B2001:D2001"/>
    <mergeCell ref="E2028:H2028"/>
    <mergeCell ref="B1998:D1998"/>
    <mergeCell ref="B1873:F1873"/>
    <mergeCell ref="H1873:I1875"/>
    <mergeCell ref="B1878:F1881"/>
    <mergeCell ref="H1876:I1880"/>
    <mergeCell ref="B1884:D1884"/>
    <mergeCell ref="B1885:D1885"/>
    <mergeCell ref="B1886:D1886"/>
    <mergeCell ref="B3565:D3565"/>
    <mergeCell ref="B3554:F3555"/>
    <mergeCell ref="B2155:F2155"/>
    <mergeCell ref="B1263:F1266"/>
    <mergeCell ref="H3552:I3554"/>
    <mergeCell ref="B3553:F3553"/>
    <mergeCell ref="B2889:D2889"/>
    <mergeCell ref="H2486:I2488"/>
    <mergeCell ref="H2489:I2493"/>
    <mergeCell ref="B2655:F2655"/>
    <mergeCell ref="H2544:I2549"/>
    <mergeCell ref="B2668:D2668"/>
    <mergeCell ref="B2727:D2727"/>
    <mergeCell ref="E2752:H2752"/>
    <mergeCell ref="B2936:F2939"/>
    <mergeCell ref="B2942:D2942"/>
    <mergeCell ref="B2943:D2943"/>
    <mergeCell ref="B2944:D2944"/>
    <mergeCell ref="B2945:D2945"/>
    <mergeCell ref="B1550:D1550"/>
    <mergeCell ref="H3049:I3054"/>
    <mergeCell ref="B3052:F3055"/>
    <mergeCell ref="B2431:F2431"/>
    <mergeCell ref="B3514:D3514"/>
    <mergeCell ref="B3515:D3515"/>
    <mergeCell ref="B3516:D3516"/>
    <mergeCell ref="B2543:F2543"/>
    <mergeCell ref="B2391:D2391"/>
    <mergeCell ref="E2417:H2417"/>
    <mergeCell ref="B2931:F2931"/>
    <mergeCell ref="B2542:F2542"/>
    <mergeCell ref="B3117:D3117"/>
    <mergeCell ref="B3120:D3120"/>
    <mergeCell ref="B3161:F3161"/>
    <mergeCell ref="H3161:I3163"/>
    <mergeCell ref="H1203:I1204"/>
    <mergeCell ref="B1258:F1258"/>
    <mergeCell ref="B1203:F1203"/>
    <mergeCell ref="B1220:D1220"/>
    <mergeCell ref="B1204:F1204"/>
    <mergeCell ref="H1258:I1259"/>
    <mergeCell ref="B1259:F1259"/>
    <mergeCell ref="H1371:I1375"/>
    <mergeCell ref="E1416:H1416"/>
    <mergeCell ref="B1382:D1382"/>
    <mergeCell ref="B1385:D1385"/>
    <mergeCell ref="B1325:D1325"/>
    <mergeCell ref="B1326:D1326"/>
    <mergeCell ref="B1269:D1269"/>
    <mergeCell ref="B1270:D1270"/>
    <mergeCell ref="B2819:F2819"/>
    <mergeCell ref="H2156:I2161"/>
    <mergeCell ref="B2159:F2162"/>
    <mergeCell ref="B2165:D2165"/>
    <mergeCell ref="B2111:D2111"/>
    <mergeCell ref="B2099:F2100"/>
    <mergeCell ref="H2100:I2104"/>
    <mergeCell ref="B2715:F2718"/>
    <mergeCell ref="B2721:D2721"/>
    <mergeCell ref="B2055:D2055"/>
    <mergeCell ref="B2058:D2058"/>
    <mergeCell ref="B1930:F1930"/>
    <mergeCell ref="B1931:F1932"/>
    <mergeCell ref="H1932:I1936"/>
    <mergeCell ref="B1373:F1376"/>
    <mergeCell ref="H1260:I1265"/>
    <mergeCell ref="B1260:F1261"/>
    <mergeCell ref="B1162:D1162"/>
    <mergeCell ref="B1165:D1165"/>
    <mergeCell ref="B1104:D1104"/>
    <mergeCell ref="B1105:D1105"/>
    <mergeCell ref="B1275:D1275"/>
    <mergeCell ref="B1368:F1368"/>
    <mergeCell ref="H1368:I1370"/>
    <mergeCell ref="B1369:F1369"/>
    <mergeCell ref="B1370:F1371"/>
    <mergeCell ref="B111:F111"/>
    <mergeCell ref="B165:F165"/>
    <mergeCell ref="B560:D560"/>
    <mergeCell ref="B561:D561"/>
    <mergeCell ref="B564:D564"/>
    <mergeCell ref="B112:F113"/>
    <mergeCell ref="H112:I117"/>
    <mergeCell ref="B115:F118"/>
    <mergeCell ref="B121:D121"/>
    <mergeCell ref="B122:D122"/>
    <mergeCell ref="B123:D123"/>
    <mergeCell ref="B126:D126"/>
    <mergeCell ref="E150:H150"/>
    <mergeCell ref="B445:F448"/>
    <mergeCell ref="B451:D451"/>
    <mergeCell ref="B452:D452"/>
    <mergeCell ref="B453:D453"/>
    <mergeCell ref="B456:D456"/>
    <mergeCell ref="E480:H480"/>
    <mergeCell ref="H550:I555"/>
    <mergeCell ref="B548:F548"/>
    <mergeCell ref="B335:F338"/>
    <mergeCell ref="H165:I166"/>
    <mergeCell ref="B440:F440"/>
    <mergeCell ref="H440:I441"/>
    <mergeCell ref="B619:D619"/>
    <mergeCell ref="E643:H643"/>
    <mergeCell ref="B550:F551"/>
    <mergeCell ref="B1037:F1037"/>
    <mergeCell ref="B1039:F1040"/>
    <mergeCell ref="B1042:F1045"/>
    <mergeCell ref="H1037:I1038"/>
    <mergeCell ref="H1039:I1044"/>
    <mergeCell ref="B441:F441"/>
    <mergeCell ref="B442:F443"/>
    <mergeCell ref="H442:I447"/>
    <mergeCell ref="H548:I549"/>
    <mergeCell ref="B549:F549"/>
    <mergeCell ref="B506:D506"/>
    <mergeCell ref="B507:D507"/>
    <mergeCell ref="B510:D510"/>
    <mergeCell ref="E534:H534"/>
    <mergeCell ref="B505:D505"/>
    <mergeCell ref="E914:H914"/>
    <mergeCell ref="B929:F929"/>
    <mergeCell ref="H929:I930"/>
    <mergeCell ref="B930:F930"/>
    <mergeCell ref="B931:F932"/>
    <mergeCell ref="H767:I768"/>
    <mergeCell ref="B768:F768"/>
    <mergeCell ref="B769:F770"/>
    <mergeCell ref="H769:I774"/>
    <mergeCell ref="B772:F775"/>
    <mergeCell ref="B778:D778"/>
    <mergeCell ref="H931:I936"/>
    <mergeCell ref="B1050:D1050"/>
    <mergeCell ref="B1048:D1048"/>
    <mergeCell ref="B1049:D1049"/>
    <mergeCell ref="B658:F658"/>
    <mergeCell ref="H658:I659"/>
    <mergeCell ref="B659:F659"/>
    <mergeCell ref="B660:F661"/>
    <mergeCell ref="B603:F603"/>
    <mergeCell ref="H603:I604"/>
    <mergeCell ref="B604:F604"/>
    <mergeCell ref="B605:F606"/>
    <mergeCell ref="H605:I610"/>
    <mergeCell ref="B608:F611"/>
    <mergeCell ref="B614:D614"/>
    <mergeCell ref="B615:D615"/>
    <mergeCell ref="B616:D616"/>
    <mergeCell ref="B553:F556"/>
    <mergeCell ref="B559:D559"/>
    <mergeCell ref="B837:D837"/>
    <mergeCell ref="E861:H861"/>
    <mergeCell ref="B713:F713"/>
    <mergeCell ref="H660:I665"/>
    <mergeCell ref="B663:F666"/>
    <mergeCell ref="B669:D669"/>
    <mergeCell ref="B876:F876"/>
    <mergeCell ref="B877:F878"/>
    <mergeCell ref="H877:I882"/>
    <mergeCell ref="B880:F883"/>
    <mergeCell ref="B886:D886"/>
    <mergeCell ref="B887:D887"/>
    <mergeCell ref="B888:D888"/>
    <mergeCell ref="B891:D891"/>
    <mergeCell ref="B55:F55"/>
    <mergeCell ref="H55:I56"/>
    <mergeCell ref="B56:F56"/>
    <mergeCell ref="B57:F58"/>
    <mergeCell ref="H57:I62"/>
    <mergeCell ref="B60:F63"/>
    <mergeCell ref="B66:D66"/>
    <mergeCell ref="B67:D67"/>
    <mergeCell ref="B68:D68"/>
    <mergeCell ref="B71:D71"/>
    <mergeCell ref="B398:D398"/>
    <mergeCell ref="B232:D232"/>
    <mergeCell ref="B233:D233"/>
    <mergeCell ref="B236:D236"/>
    <mergeCell ref="E260:H260"/>
    <mergeCell ref="B275:F275"/>
    <mergeCell ref="B332:F333"/>
    <mergeCell ref="H332:I337"/>
    <mergeCell ref="E95:H95"/>
    <mergeCell ref="B110:F110"/>
    <mergeCell ref="B181:D181"/>
    <mergeCell ref="H110:I111"/>
    <mergeCell ref="H275:I276"/>
    <mergeCell ref="B276:F276"/>
    <mergeCell ref="E205:H205"/>
    <mergeCell ref="B166:F166"/>
    <mergeCell ref="B167:F168"/>
    <mergeCell ref="H167:I172"/>
    <mergeCell ref="B170:F173"/>
    <mergeCell ref="B176:D176"/>
    <mergeCell ref="B177:D177"/>
    <mergeCell ref="B178:D178"/>
    <mergeCell ref="H1:I2"/>
    <mergeCell ref="B2:F2"/>
    <mergeCell ref="B3:F4"/>
    <mergeCell ref="H3:I8"/>
    <mergeCell ref="B6:F9"/>
    <mergeCell ref="B1:F1"/>
    <mergeCell ref="B1038:F1038"/>
    <mergeCell ref="B1153:F1156"/>
    <mergeCell ref="B1159:D1159"/>
    <mergeCell ref="H1148:I1149"/>
    <mergeCell ref="B1149:F1149"/>
    <mergeCell ref="B1150:F1151"/>
    <mergeCell ref="H1150:I1155"/>
    <mergeCell ref="B12:D12"/>
    <mergeCell ref="B13:D13"/>
    <mergeCell ref="B14:D14"/>
    <mergeCell ref="B396:D396"/>
    <mergeCell ref="B397:D397"/>
    <mergeCell ref="B15:D15"/>
    <mergeCell ref="B18:D18"/>
    <mergeCell ref="E45:H45"/>
    <mergeCell ref="H494:I495"/>
    <mergeCell ref="B495:F495"/>
    <mergeCell ref="B496:F497"/>
    <mergeCell ref="H496:I501"/>
    <mergeCell ref="B499:F502"/>
    <mergeCell ref="B783:D783"/>
    <mergeCell ref="E807:H807"/>
    <mergeCell ref="H713:I714"/>
    <mergeCell ref="B834:D834"/>
    <mergeCell ref="B875:F875"/>
    <mergeCell ref="H875:I876"/>
    <mergeCell ref="B4680:D4680"/>
    <mergeCell ref="E4710:H4710"/>
    <mergeCell ref="B4457:D4457"/>
    <mergeCell ref="B5242:F5245"/>
    <mergeCell ref="B5248:D5248"/>
    <mergeCell ref="H4672:I4676"/>
    <mergeCell ref="E2084:H2084"/>
    <mergeCell ref="B2041:F2041"/>
    <mergeCell ref="B2042:F2042"/>
    <mergeCell ref="H2041:I2042"/>
    <mergeCell ref="H2043:I2048"/>
    <mergeCell ref="B2043:F2044"/>
    <mergeCell ref="B2046:F2049"/>
    <mergeCell ref="B2052:D2052"/>
    <mergeCell ref="B1874:F1874"/>
    <mergeCell ref="B1875:F1876"/>
    <mergeCell ref="E1917:H1917"/>
    <mergeCell ref="B1996:D1996"/>
    <mergeCell ref="B1997:D1997"/>
    <mergeCell ref="B1887:D1887"/>
    <mergeCell ref="B1890:D1890"/>
    <mergeCell ref="B2053:D2053"/>
    <mergeCell ref="B2054:D2054"/>
    <mergeCell ref="H2097:I2099"/>
    <mergeCell ref="B2098:F2098"/>
    <mergeCell ref="B2989:F2989"/>
    <mergeCell ref="H2989:I2991"/>
    <mergeCell ref="B2990:F2990"/>
    <mergeCell ref="B2991:F2992"/>
    <mergeCell ref="B2766:F2766"/>
    <mergeCell ref="B2547:F2550"/>
    <mergeCell ref="B2656:F2657"/>
    <mergeCell ref="B5293:F5293"/>
    <mergeCell ref="B5294:F5294"/>
    <mergeCell ref="B6581:F6582"/>
    <mergeCell ref="H6582:I6588"/>
    <mergeCell ref="B6584:F6589"/>
    <mergeCell ref="B6592:D6592"/>
    <mergeCell ref="B6593:D6593"/>
    <mergeCell ref="B6594:D6594"/>
    <mergeCell ref="B5295:F5296"/>
    <mergeCell ref="B5194:D5194"/>
    <mergeCell ref="B5192:D5192"/>
    <mergeCell ref="B5186:F5189"/>
    <mergeCell ref="B5237:F5237"/>
    <mergeCell ref="H5237:I5239"/>
    <mergeCell ref="B5238:F5238"/>
    <mergeCell ref="B5962:F5963"/>
    <mergeCell ref="H5963:I5967"/>
    <mergeCell ref="B5965:F5968"/>
    <mergeCell ref="B5971:D5971"/>
    <mergeCell ref="B5972:D5972"/>
    <mergeCell ref="E5335:H5335"/>
    <mergeCell ref="F5348:I5348"/>
    <mergeCell ref="H5293:I5295"/>
    <mergeCell ref="H5296:I5302"/>
    <mergeCell ref="B5298:F5303"/>
    <mergeCell ref="B5306:D5306"/>
    <mergeCell ref="B5307:D5307"/>
    <mergeCell ref="B5308:D5308"/>
    <mergeCell ref="B5350:F5350"/>
    <mergeCell ref="B5355:F5359"/>
    <mergeCell ref="B5362:D5362"/>
    <mergeCell ref="B5363:D5363"/>
    <mergeCell ref="H3891:I3895"/>
    <mergeCell ref="B3893:F3896"/>
    <mergeCell ref="B3899:D3899"/>
    <mergeCell ref="B3900:D3900"/>
    <mergeCell ref="B3901:D3901"/>
    <mergeCell ref="B3904:D3904"/>
    <mergeCell ref="E3934:H3934"/>
    <mergeCell ref="F3943:I3943"/>
    <mergeCell ref="B4122:D4122"/>
    <mergeCell ref="B4123:D4123"/>
    <mergeCell ref="B4124:D4124"/>
    <mergeCell ref="B4670:F4670"/>
    <mergeCell ref="B4671:F4672"/>
    <mergeCell ref="F4666:I4666"/>
    <mergeCell ref="B4512:D4512"/>
    <mergeCell ref="B4447:F4447"/>
    <mergeCell ref="B4404:D4404"/>
    <mergeCell ref="B4407:D4407"/>
    <mergeCell ref="E4432:H4432"/>
    <mergeCell ref="B4459:D4459"/>
    <mergeCell ref="B4501:F4501"/>
    <mergeCell ref="B4403:D4403"/>
    <mergeCell ref="B4002:F4003"/>
    <mergeCell ref="H4003:I4007"/>
    <mergeCell ref="B4005:F4008"/>
    <mergeCell ref="B4011:D4011"/>
    <mergeCell ref="B4012:D4012"/>
    <mergeCell ref="B4013:D4013"/>
    <mergeCell ref="B4392:F4392"/>
    <mergeCell ref="B4391:F4391"/>
    <mergeCell ref="B4016:D4016"/>
    <mergeCell ref="E4046:H4046"/>
    <mergeCell ref="B3834:F3835"/>
    <mergeCell ref="H3835:I3839"/>
    <mergeCell ref="B3837:F3840"/>
    <mergeCell ref="B3843:D3843"/>
    <mergeCell ref="B3844:D3844"/>
    <mergeCell ref="B3845:D3845"/>
    <mergeCell ref="B3848:D3848"/>
    <mergeCell ref="H3612:I3616"/>
    <mergeCell ref="H3555:I3559"/>
    <mergeCell ref="F3608:I3608"/>
    <mergeCell ref="B2544:F2545"/>
    <mergeCell ref="H2766:I2768"/>
    <mergeCell ref="H2656:I2661"/>
    <mergeCell ref="B3563:D3563"/>
    <mergeCell ref="B2768:F2769"/>
    <mergeCell ref="B4408:D4408"/>
    <mergeCell ref="B4285:F4288"/>
    <mergeCell ref="B4291:D4291"/>
    <mergeCell ref="B4292:D4292"/>
    <mergeCell ref="B4293:D4293"/>
    <mergeCell ref="B4296:D4296"/>
    <mergeCell ref="E4321:H4321"/>
    <mergeCell ref="E3880:H3880"/>
    <mergeCell ref="F3886:I3886"/>
    <mergeCell ref="B3944:F3944"/>
    <mergeCell ref="H3944:I3946"/>
    <mergeCell ref="B3945:F3945"/>
    <mergeCell ref="B3946:F3947"/>
    <mergeCell ref="H3947:I3951"/>
    <mergeCell ref="B3949:F3952"/>
    <mergeCell ref="H4283:I4287"/>
    <mergeCell ref="F4332:I4332"/>
    <mergeCell ref="B2330:D2330"/>
    <mergeCell ref="B2319:F2319"/>
    <mergeCell ref="H2992:I2996"/>
    <mergeCell ref="B2994:F2997"/>
    <mergeCell ref="B2948:D2948"/>
    <mergeCell ref="B3001:D3001"/>
    <mergeCell ref="B3223:F3226"/>
    <mergeCell ref="B3219:F3219"/>
    <mergeCell ref="B3220:F3221"/>
    <mergeCell ref="B2723:D2723"/>
    <mergeCell ref="B2779:D2779"/>
    <mergeCell ref="B2503:D2503"/>
    <mergeCell ref="B2486:F2486"/>
    <mergeCell ref="B2487:F2487"/>
    <mergeCell ref="B2488:F2489"/>
    <mergeCell ref="B2491:F2494"/>
    <mergeCell ref="B2497:D2497"/>
    <mergeCell ref="B2498:D2498"/>
    <mergeCell ref="B2499:D2499"/>
    <mergeCell ref="B2556:D2556"/>
    <mergeCell ref="B2833:D2833"/>
    <mergeCell ref="H2710:I2711"/>
    <mergeCell ref="B2711:F2711"/>
    <mergeCell ref="B3003:D3003"/>
    <mergeCell ref="B3006:D3006"/>
    <mergeCell ref="H2931:I2933"/>
    <mergeCell ref="B2932:F2932"/>
    <mergeCell ref="B2933:F2934"/>
    <mergeCell ref="H2934:I2938"/>
    <mergeCell ref="B3162:F3162"/>
    <mergeCell ref="B3163:F3164"/>
    <mergeCell ref="H3164:I3168"/>
    <mergeCell ref="B2264:F2264"/>
    <mergeCell ref="B2265:F2266"/>
    <mergeCell ref="H2266:I2270"/>
    <mergeCell ref="B2268:F2271"/>
    <mergeCell ref="E2307:H2307"/>
    <mergeCell ref="B2275:D2275"/>
    <mergeCell ref="B2276:D2276"/>
    <mergeCell ref="B2277:D2277"/>
    <mergeCell ref="B3290:D3290"/>
    <mergeCell ref="B4615:F4616"/>
    <mergeCell ref="B4618:F4621"/>
    <mergeCell ref="B4506:F4509"/>
    <mergeCell ref="E4492:H4492"/>
    <mergeCell ref="H4501:I4503"/>
    <mergeCell ref="B4502:F4502"/>
    <mergeCell ref="B4568:D4568"/>
    <mergeCell ref="B4569:D4569"/>
    <mergeCell ref="B4570:D4570"/>
    <mergeCell ref="F4611:I4611"/>
    <mergeCell ref="B4517:D4517"/>
    <mergeCell ref="F4553:I4553"/>
    <mergeCell ref="B3733:D3733"/>
    <mergeCell ref="B2280:D2280"/>
    <mergeCell ref="B2598:F2598"/>
    <mergeCell ref="H2598:I2599"/>
    <mergeCell ref="B2599:F2599"/>
    <mergeCell ref="B2600:F2601"/>
    <mergeCell ref="H2600:I2605"/>
    <mergeCell ref="B2603:F2606"/>
    <mergeCell ref="B2321:F2322"/>
    <mergeCell ref="H2319:I2321"/>
    <mergeCell ref="H2322:I2326"/>
    <mergeCell ref="B3498:F3498"/>
    <mergeCell ref="B3276:F3277"/>
    <mergeCell ref="H3277:I3281"/>
    <mergeCell ref="B3279:F3282"/>
    <mergeCell ref="B3285:D3285"/>
    <mergeCell ref="B2821:F2822"/>
    <mergeCell ref="B2836:D2836"/>
    <mergeCell ref="E2639:H2639"/>
    <mergeCell ref="B2888:D2888"/>
    <mergeCell ref="B3002:D3002"/>
    <mergeCell ref="B2830:D2830"/>
    <mergeCell ref="B2320:F2320"/>
    <mergeCell ref="B1551:D1551"/>
    <mergeCell ref="B1554:D1554"/>
    <mergeCell ref="B1491:D1491"/>
    <mergeCell ref="B1654:F1657"/>
    <mergeCell ref="B1660:D1660"/>
    <mergeCell ref="B1661:D1661"/>
    <mergeCell ref="B1663:D1663"/>
    <mergeCell ref="B1651:F1652"/>
    <mergeCell ref="B2324:F2327"/>
    <mergeCell ref="B1934:F1937"/>
    <mergeCell ref="B2331:D2331"/>
    <mergeCell ref="B2263:F2263"/>
    <mergeCell ref="H2769:I2773"/>
    <mergeCell ref="B2771:F2774"/>
    <mergeCell ref="B2777:D2777"/>
    <mergeCell ref="E2861:H2861"/>
    <mergeCell ref="H2875:I2877"/>
    <mergeCell ref="H2878:I2882"/>
    <mergeCell ref="B1834:D1834"/>
    <mergeCell ref="E1861:H1861"/>
    <mergeCell ref="B1706:F1706"/>
    <mergeCell ref="B1707:F1708"/>
    <mergeCell ref="H1708:I1712"/>
    <mergeCell ref="B1549:D1549"/>
    <mergeCell ref="B1537:F1537"/>
    <mergeCell ref="H1537:I1539"/>
    <mergeCell ref="B1538:F1538"/>
    <mergeCell ref="B1539:F1540"/>
    <mergeCell ref="H1540:I1544"/>
    <mergeCell ref="B1542:F1545"/>
    <mergeCell ref="B1548:D1548"/>
    <mergeCell ref="B1605:D1605"/>
    <mergeCell ref="B1606:D1606"/>
    <mergeCell ref="E1581:H1581"/>
    <mergeCell ref="B1593:F1593"/>
    <mergeCell ref="H1593:I1595"/>
    <mergeCell ref="B1594:F1594"/>
    <mergeCell ref="B331:F331"/>
    <mergeCell ref="B1324:D1324"/>
    <mergeCell ref="B1327:D1327"/>
    <mergeCell ref="B1330:D1330"/>
    <mergeCell ref="B1272:D1272"/>
    <mergeCell ref="B1595:F1596"/>
    <mergeCell ref="H1596:I1600"/>
    <mergeCell ref="B1598:F1601"/>
    <mergeCell ref="B1604:D1604"/>
    <mergeCell ref="B1650:F1650"/>
    <mergeCell ref="B1649:F1649"/>
    <mergeCell ref="H2263:I2265"/>
    <mergeCell ref="B2114:D2114"/>
    <mergeCell ref="B2218:D2218"/>
    <mergeCell ref="B2219:D2219"/>
    <mergeCell ref="B2220:D2220"/>
    <mergeCell ref="B2221:D2221"/>
    <mergeCell ref="B2224:D2224"/>
    <mergeCell ref="E2250:H2250"/>
    <mergeCell ref="B1662:D1662"/>
    <mergeCell ref="B1716:D1716"/>
    <mergeCell ref="B1666:D1666"/>
    <mergeCell ref="E1749:H1749"/>
    <mergeCell ref="B2102:F2105"/>
    <mergeCell ref="B2108:D2108"/>
    <mergeCell ref="H1820:I1824"/>
    <mergeCell ref="H2154:I2155"/>
    <mergeCell ref="E2144:H2144"/>
    <mergeCell ref="B2109:D2109"/>
    <mergeCell ref="B2110:D2110"/>
    <mergeCell ref="B2097:F2097"/>
    <mergeCell ref="H1705:I1707"/>
    <mergeCell ref="B6707:D6707"/>
    <mergeCell ref="B6710:D6710"/>
    <mergeCell ref="B6698:F6702"/>
    <mergeCell ref="B2336:D2336"/>
    <mergeCell ref="B6759:D6759"/>
    <mergeCell ref="B6760:D6760"/>
    <mergeCell ref="B6761:D6761"/>
    <mergeCell ref="B5848:F5848"/>
    <mergeCell ref="H5848:I5850"/>
    <mergeCell ref="B1379:D1379"/>
    <mergeCell ref="B1380:D1380"/>
    <mergeCell ref="B1381:D1381"/>
    <mergeCell ref="B220:F220"/>
    <mergeCell ref="H220:I221"/>
    <mergeCell ref="B221:F221"/>
    <mergeCell ref="B222:F223"/>
    <mergeCell ref="H222:I227"/>
    <mergeCell ref="B225:F228"/>
    <mergeCell ref="B231:D231"/>
    <mergeCell ref="B387:F388"/>
    <mergeCell ref="H387:I392"/>
    <mergeCell ref="B390:F393"/>
    <mergeCell ref="B277:F278"/>
    <mergeCell ref="H277:I282"/>
    <mergeCell ref="B280:F283"/>
    <mergeCell ref="B286:D286"/>
    <mergeCell ref="B287:D287"/>
    <mergeCell ref="B288:D288"/>
    <mergeCell ref="B291:D291"/>
    <mergeCell ref="E315:H315"/>
    <mergeCell ref="B330:F330"/>
    <mergeCell ref="H330:I331"/>
    <mergeCell ref="E425:H425"/>
    <mergeCell ref="B494:F494"/>
    <mergeCell ref="H2821:I2826"/>
    <mergeCell ref="B2824:F2827"/>
    <mergeCell ref="B6764:D6764"/>
    <mergeCell ref="B2332:D2332"/>
    <mergeCell ref="B2333:D2333"/>
    <mergeCell ref="E2363:H2363"/>
    <mergeCell ref="B1985:F1985"/>
    <mergeCell ref="H1985:I1987"/>
    <mergeCell ref="B1986:F1986"/>
    <mergeCell ref="B1987:F1988"/>
    <mergeCell ref="H1988:I1992"/>
    <mergeCell ref="B1990:F1993"/>
    <mergeCell ref="B1940:D1940"/>
    <mergeCell ref="B1941:D1941"/>
    <mergeCell ref="B1942:D1942"/>
    <mergeCell ref="B1943:D1943"/>
    <mergeCell ref="B1946:D1946"/>
    <mergeCell ref="E1973:H1973"/>
    <mergeCell ref="B5748:D5748"/>
    <mergeCell ref="B4513:D4513"/>
    <mergeCell ref="B4514:D4514"/>
    <mergeCell ref="E4543:H4543"/>
    <mergeCell ref="B4573:D4573"/>
    <mergeCell ref="E4598:H4598"/>
    <mergeCell ref="B6747:F6747"/>
    <mergeCell ref="H6747:I6749"/>
    <mergeCell ref="B6748:F6748"/>
    <mergeCell ref="B6749:F6750"/>
    <mergeCell ref="H6750:I6754"/>
    <mergeCell ref="B6752:F6756"/>
    <mergeCell ref="B3832:F3832"/>
    <mergeCell ref="H3832:I3834"/>
    <mergeCell ref="B3833:F3833"/>
    <mergeCell ref="B5747:D5747"/>
    <mergeCell ref="H5683:I5687"/>
    <mergeCell ref="B5685:F5688"/>
    <mergeCell ref="B5691:D5691"/>
    <mergeCell ref="H1652:I1656"/>
    <mergeCell ref="B1313:F1313"/>
    <mergeCell ref="B2500:D2500"/>
    <mergeCell ref="E2528:H2528"/>
    <mergeCell ref="B1318:F1321"/>
    <mergeCell ref="B341:D341"/>
    <mergeCell ref="B342:D342"/>
    <mergeCell ref="B343:D343"/>
    <mergeCell ref="B346:D346"/>
    <mergeCell ref="E370:H370"/>
    <mergeCell ref="B385:F385"/>
    <mergeCell ref="H385:I386"/>
    <mergeCell ref="B386:F386"/>
    <mergeCell ref="B401:D401"/>
    <mergeCell ref="B5693:D5693"/>
    <mergeCell ref="B5694:D5694"/>
    <mergeCell ref="B5697:D5697"/>
    <mergeCell ref="B5736:F5736"/>
    <mergeCell ref="H5736:I5738"/>
    <mergeCell ref="B5737:F5737"/>
    <mergeCell ref="B5738:F5739"/>
    <mergeCell ref="H5739:I5743"/>
    <mergeCell ref="B5741:F5744"/>
    <mergeCell ref="B2875:F2875"/>
    <mergeCell ref="B5692:D5692"/>
    <mergeCell ref="B6598:D6598"/>
    <mergeCell ref="E6621:H6621"/>
    <mergeCell ref="F6635:I6635"/>
    <mergeCell ref="B6523:F6523"/>
    <mergeCell ref="B3669:F3672"/>
    <mergeCell ref="B3675:D3675"/>
    <mergeCell ref="B3676:D3676"/>
    <mergeCell ref="B3677:D3677"/>
    <mergeCell ref="B3680:D3680"/>
    <mergeCell ref="B5251:D5251"/>
    <mergeCell ref="B5254:D5254"/>
    <mergeCell ref="E5279:H5279"/>
    <mergeCell ref="B5680:F5680"/>
    <mergeCell ref="H5680:I5682"/>
    <mergeCell ref="B5681:F5681"/>
    <mergeCell ref="B5682:F5683"/>
    <mergeCell ref="B4738:D4738"/>
    <mergeCell ref="B4741:D4741"/>
    <mergeCell ref="E4773:H4773"/>
    <mergeCell ref="H4557:I4559"/>
    <mergeCell ref="B4558:F4558"/>
    <mergeCell ref="B4559:F4560"/>
    <mergeCell ref="E4654:H4654"/>
    <mergeCell ref="B4625:D4625"/>
    <mergeCell ref="B4614:F4614"/>
    <mergeCell ref="B4624:D4624"/>
    <mergeCell ref="B4626:D4626"/>
    <mergeCell ref="B4629:D4629"/>
    <mergeCell ref="H4616:I4620"/>
    <mergeCell ref="H4394:I4398"/>
    <mergeCell ref="H4391:I4393"/>
    <mergeCell ref="E3761:H3761"/>
    <mergeCell ref="H5907:I5911"/>
    <mergeCell ref="B5909:F5912"/>
    <mergeCell ref="B5915:D5915"/>
    <mergeCell ref="B5916:D5916"/>
    <mergeCell ref="H6693:I6695"/>
    <mergeCell ref="H6696:I6700"/>
    <mergeCell ref="B6409:F6409"/>
    <mergeCell ref="H6409:I6410"/>
    <mergeCell ref="B6410:F6410"/>
    <mergeCell ref="B6411:F6412"/>
    <mergeCell ref="H6411:I6417"/>
    <mergeCell ref="B6414:F6418"/>
    <mergeCell ref="B6421:D6421"/>
    <mergeCell ref="B6422:D6422"/>
    <mergeCell ref="B6649:D6649"/>
    <mergeCell ref="B6650:D6650"/>
    <mergeCell ref="B6651:D6651"/>
    <mergeCell ref="B6654:D6654"/>
    <mergeCell ref="B6655:D6655"/>
    <mergeCell ref="E6678:H6678"/>
    <mergeCell ref="F6692:I6692"/>
    <mergeCell ref="B6636:F6636"/>
    <mergeCell ref="H6636:I6638"/>
    <mergeCell ref="B6637:F6637"/>
    <mergeCell ref="B6638:F6639"/>
    <mergeCell ref="H6639:I6645"/>
    <mergeCell ref="B6641:F6646"/>
    <mergeCell ref="B6468:F6469"/>
    <mergeCell ref="B6693:F6693"/>
    <mergeCell ref="B6694:F6694"/>
    <mergeCell ref="B6695:F6696"/>
    <mergeCell ref="B6597:D6597"/>
    <mergeCell ref="B2877:F2878"/>
    <mergeCell ref="B4282:F4283"/>
    <mergeCell ref="B2880:F2883"/>
    <mergeCell ref="B2886:D2886"/>
    <mergeCell ref="B3732:D3732"/>
    <mergeCell ref="B5917:D5917"/>
    <mergeCell ref="B5920:D5920"/>
    <mergeCell ref="B5960:F5960"/>
    <mergeCell ref="H5960:I5962"/>
    <mergeCell ref="B5961:F5961"/>
    <mergeCell ref="B5849:F5849"/>
    <mergeCell ref="B5850:F5851"/>
    <mergeCell ref="H5851:I5855"/>
    <mergeCell ref="B5853:F5856"/>
    <mergeCell ref="B5859:D5859"/>
    <mergeCell ref="B5860:D5860"/>
    <mergeCell ref="B5861:D5861"/>
    <mergeCell ref="B5864:D5864"/>
    <mergeCell ref="B5792:F5792"/>
    <mergeCell ref="H5792:I5794"/>
    <mergeCell ref="B5793:F5793"/>
    <mergeCell ref="B5794:F5795"/>
    <mergeCell ref="H5795:I5799"/>
    <mergeCell ref="B5803:D5803"/>
    <mergeCell ref="B5804:D5804"/>
    <mergeCell ref="B5805:D5805"/>
    <mergeCell ref="B5808:D5808"/>
    <mergeCell ref="B5904:F5904"/>
    <mergeCell ref="H5904:I5906"/>
    <mergeCell ref="B5905:F5905"/>
    <mergeCell ref="B4681:D4681"/>
    <mergeCell ref="B5906:F5907"/>
    <mergeCell ref="B1205:F1206"/>
    <mergeCell ref="H1205:I1210"/>
    <mergeCell ref="B1208:F1211"/>
    <mergeCell ref="B1214:D1214"/>
    <mergeCell ref="B1215:D1215"/>
    <mergeCell ref="B1217:D1217"/>
    <mergeCell ref="B1051:D1051"/>
    <mergeCell ref="B1054:D1054"/>
    <mergeCell ref="B1216:D1216"/>
    <mergeCell ref="B1271:D1271"/>
    <mergeCell ref="B2207:F2207"/>
    <mergeCell ref="H2207:I2209"/>
    <mergeCell ref="B2208:F2208"/>
    <mergeCell ref="B2209:F2210"/>
    <mergeCell ref="H2210:I2214"/>
    <mergeCell ref="B2212:F2215"/>
    <mergeCell ref="B1830:D1830"/>
    <mergeCell ref="B1831:D1831"/>
    <mergeCell ref="B1492:D1492"/>
    <mergeCell ref="B1493:D1493"/>
    <mergeCell ref="B1494:D1494"/>
    <mergeCell ref="B1497:D1497"/>
    <mergeCell ref="E1528:H1528"/>
    <mergeCell ref="B1705:F1705"/>
    <mergeCell ref="B2154:F2154"/>
    <mergeCell ref="B1480:F1480"/>
    <mergeCell ref="H1480:I1482"/>
    <mergeCell ref="B1929:F1929"/>
    <mergeCell ref="H1929:I1931"/>
    <mergeCell ref="B1481:F1481"/>
    <mergeCell ref="B1482:F1483"/>
    <mergeCell ref="E1693:H1693"/>
    <mergeCell ref="B983:F983"/>
    <mergeCell ref="H983:I984"/>
    <mergeCell ref="B984:F984"/>
    <mergeCell ref="B714:F714"/>
    <mergeCell ref="B715:F716"/>
    <mergeCell ref="H715:I720"/>
    <mergeCell ref="B718:F721"/>
    <mergeCell ref="B724:D724"/>
    <mergeCell ref="B725:D725"/>
    <mergeCell ref="B726:D726"/>
    <mergeCell ref="B729:D729"/>
    <mergeCell ref="E753:H753"/>
    <mergeCell ref="B821:F821"/>
    <mergeCell ref="H821:I822"/>
    <mergeCell ref="B822:F822"/>
    <mergeCell ref="B823:F824"/>
    <mergeCell ref="H823:I828"/>
    <mergeCell ref="B826:F829"/>
    <mergeCell ref="B832:D832"/>
    <mergeCell ref="B833:D833"/>
    <mergeCell ref="B779:D779"/>
    <mergeCell ref="B780:D780"/>
    <mergeCell ref="B934:F937"/>
    <mergeCell ref="B940:D940"/>
    <mergeCell ref="B941:D941"/>
    <mergeCell ref="B942:D942"/>
    <mergeCell ref="B945:D945"/>
    <mergeCell ref="E968:H968"/>
    <mergeCell ref="H1483:I1487"/>
    <mergeCell ref="B1485:F1488"/>
    <mergeCell ref="H1649:I1651"/>
    <mergeCell ref="H1313:I1314"/>
    <mergeCell ref="B1314:F1314"/>
    <mergeCell ref="B1315:F1316"/>
    <mergeCell ref="H1315:I1320"/>
    <mergeCell ref="B5797:F5800"/>
    <mergeCell ref="F3772:I3772"/>
    <mergeCell ref="B3058:D3058"/>
    <mergeCell ref="B3059:D3059"/>
    <mergeCell ref="B3060:D3060"/>
    <mergeCell ref="B3061:D3061"/>
    <mergeCell ref="B3064:D3064"/>
    <mergeCell ref="E3090:H3090"/>
    <mergeCell ref="B2609:D2609"/>
    <mergeCell ref="B2610:D2610"/>
    <mergeCell ref="B2611:D2611"/>
    <mergeCell ref="B2612:D2612"/>
    <mergeCell ref="B2615:D2615"/>
    <mergeCell ref="B4446:F4446"/>
    <mergeCell ref="B2724:D2724"/>
    <mergeCell ref="B2722:D2722"/>
    <mergeCell ref="B4674:F4677"/>
    <mergeCell ref="B4682:D4682"/>
    <mergeCell ref="B4685:D4685"/>
    <mergeCell ref="B5182:F5182"/>
    <mergeCell ref="B5749:D5749"/>
    <mergeCell ref="B5750:D5750"/>
    <mergeCell ref="B5753:D5753"/>
    <mergeCell ref="E5778:H5778"/>
    <mergeCell ref="H3664:I3666"/>
    <mergeCell ref="H5184:I5188"/>
    <mergeCell ref="H5181:I5183"/>
    <mergeCell ref="B4557:F4557"/>
    <mergeCell ref="H4613:I4615"/>
    <mergeCell ref="B4669:F4669"/>
    <mergeCell ref="H4669:I4671"/>
    <mergeCell ref="B5181:F5181"/>
    <mergeCell ref="B4280:F4280"/>
    <mergeCell ref="H4280:I4282"/>
    <mergeCell ref="B4281:F4281"/>
    <mergeCell ref="H3667:I3671"/>
    <mergeCell ref="B1817:F1817"/>
    <mergeCell ref="H1817:I1819"/>
    <mergeCell ref="B1818:F1818"/>
    <mergeCell ref="B1717:D1717"/>
    <mergeCell ref="B1607:D1607"/>
    <mergeCell ref="B1610:D1610"/>
    <mergeCell ref="B3665:F3665"/>
    <mergeCell ref="B3666:F3667"/>
    <mergeCell ref="B3047:F3047"/>
    <mergeCell ref="H3047:I3048"/>
    <mergeCell ref="B3048:F3048"/>
    <mergeCell ref="B2782:D2782"/>
    <mergeCell ref="E2809:H2809"/>
    <mergeCell ref="B2785:D2785"/>
    <mergeCell ref="B2786:D2786"/>
    <mergeCell ref="B2787:D2787"/>
    <mergeCell ref="H2819:I2820"/>
    <mergeCell ref="B2820:F2820"/>
    <mergeCell ref="B2887:D2887"/>
    <mergeCell ref="B2892:D2892"/>
    <mergeCell ref="B2876:F2876"/>
  </mergeCells>
  <pageMargins left="0.7" right="0.7" top="0.75" bottom="0.75" header="0.3" footer="0.3"/>
  <pageSetup scale="87" orientation="portrait" horizontalDpi="4294967292" r:id="rId1"/>
  <colBreaks count="1" manualBreakCount="1">
    <brk id="9" max="1048575" man="1"/>
  </colBreaks>
  <ignoredErrors>
    <ignoredError sqref="H5748" evalError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81"/>
  <sheetViews>
    <sheetView view="pageBreakPreview" topLeftCell="A10" zoomScale="115" zoomScaleNormal="100" zoomScaleSheetLayoutView="115" workbookViewId="0">
      <selection activeCell="M12" sqref="M12"/>
    </sheetView>
  </sheetViews>
  <sheetFormatPr baseColWidth="10" defaultRowHeight="13" x14ac:dyDescent="0.15"/>
  <cols>
    <col min="1" max="1" width="6.1640625" style="348" customWidth="1"/>
    <col min="2" max="2" width="45" customWidth="1"/>
    <col min="3" max="4" width="13.1640625" customWidth="1"/>
    <col min="5" max="5" width="10.5" customWidth="1"/>
    <col min="6" max="6" width="7.5" customWidth="1"/>
    <col min="7" max="7" width="18.33203125" style="14" customWidth="1"/>
    <col min="8" max="8" width="15.5" style="9" customWidth="1"/>
    <col min="9" max="9" width="16.5" style="9" customWidth="1"/>
    <col min="10" max="10" width="11.83203125" customWidth="1"/>
    <col min="11" max="11" width="18.5" customWidth="1"/>
    <col min="12" max="12" width="12.5" customWidth="1"/>
    <col min="13" max="13" width="45.1640625" style="95" customWidth="1"/>
    <col min="15" max="15" width="36.5" customWidth="1"/>
  </cols>
  <sheetData>
    <row r="1" spans="1:13" ht="21" customHeight="1" x14ac:dyDescent="0.15">
      <c r="A1" s="1034"/>
      <c r="B1" s="1034"/>
      <c r="C1" s="1034"/>
      <c r="D1" s="1034"/>
      <c r="E1" s="1034"/>
      <c r="F1" s="1034"/>
      <c r="G1" s="1034"/>
      <c r="H1" s="1034"/>
      <c r="I1" s="1034"/>
      <c r="J1" s="1034"/>
      <c r="K1" s="1034"/>
      <c r="M1"/>
    </row>
    <row r="2" spans="1:13" ht="68.25" customHeight="1" x14ac:dyDescent="0.15">
      <c r="A2" s="1034"/>
      <c r="B2" s="1034"/>
      <c r="C2" s="1034"/>
      <c r="D2" s="1034"/>
      <c r="E2" s="1034"/>
      <c r="F2" s="1034"/>
      <c r="G2" s="1034"/>
      <c r="H2" s="1034"/>
      <c r="I2" s="1034"/>
      <c r="J2" s="1034"/>
      <c r="K2" s="1034"/>
      <c r="M2"/>
    </row>
    <row r="3" spans="1:13" ht="30.75" customHeight="1" x14ac:dyDescent="0.15">
      <c r="A3" s="768" t="s">
        <v>836</v>
      </c>
      <c r="B3" s="768"/>
      <c r="C3" s="768"/>
      <c r="D3" s="768"/>
      <c r="E3" s="768"/>
      <c r="F3" s="768"/>
      <c r="G3" s="768"/>
      <c r="H3" s="768"/>
      <c r="I3" s="768"/>
      <c r="J3" s="768"/>
      <c r="K3" s="768"/>
      <c r="M3"/>
    </row>
    <row r="4" spans="1:13" ht="20.25" customHeight="1" x14ac:dyDescent="0.15">
      <c r="A4" s="1035" t="s">
        <v>787</v>
      </c>
      <c r="B4" s="1036"/>
      <c r="C4" s="1036"/>
      <c r="D4" s="1036"/>
      <c r="E4" s="1036"/>
      <c r="F4" s="1036"/>
      <c r="G4" s="1036"/>
      <c r="H4" s="1036"/>
      <c r="I4" s="1036"/>
      <c r="J4" s="1036"/>
      <c r="K4" s="1036"/>
    </row>
    <row r="5" spans="1:13" ht="11.25" customHeight="1" x14ac:dyDescent="0.15">
      <c r="A5" s="729"/>
      <c r="B5" s="729"/>
      <c r="C5" s="729"/>
      <c r="D5" s="729"/>
      <c r="E5" s="729"/>
      <c r="F5" s="729"/>
      <c r="G5" s="729"/>
      <c r="H5" s="729"/>
      <c r="I5" s="729"/>
      <c r="J5" s="729"/>
      <c r="K5" s="729"/>
    </row>
    <row r="6" spans="1:13" s="116" customFormat="1" ht="19.5" customHeight="1" x14ac:dyDescent="0.15">
      <c r="A6" s="723" t="s">
        <v>788</v>
      </c>
      <c r="B6" s="723"/>
      <c r="C6" s="723"/>
      <c r="D6" s="723"/>
      <c r="E6" s="723"/>
      <c r="F6" s="723"/>
      <c r="G6" s="723"/>
      <c r="H6" s="723"/>
      <c r="I6" s="723"/>
      <c r="J6" s="723"/>
      <c r="K6" s="639">
        <f>'PRESUPUESTO OBRA'!$G$671</f>
        <v>0</v>
      </c>
      <c r="M6" s="640"/>
    </row>
    <row r="7" spans="1:13" x14ac:dyDescent="0.15">
      <c r="A7" s="713"/>
      <c r="B7" s="713"/>
      <c r="C7" s="713"/>
      <c r="D7" s="713"/>
      <c r="E7" s="713"/>
      <c r="F7" s="713"/>
      <c r="G7" s="713"/>
      <c r="H7" s="713"/>
      <c r="I7" s="713"/>
      <c r="J7" s="713"/>
      <c r="K7" s="713"/>
    </row>
    <row r="8" spans="1:13" x14ac:dyDescent="0.15">
      <c r="A8" s="319">
        <v>1</v>
      </c>
      <c r="B8" s="726" t="s">
        <v>420</v>
      </c>
      <c r="C8" s="726"/>
      <c r="D8" s="726"/>
      <c r="E8" s="726"/>
      <c r="F8" s="726"/>
      <c r="G8" s="726"/>
      <c r="H8" s="726"/>
      <c r="I8" s="726"/>
      <c r="J8" s="726"/>
      <c r="K8" s="641">
        <f>I43+I35+I22</f>
        <v>346521000</v>
      </c>
    </row>
    <row r="9" spans="1:13" s="270" customFormat="1" ht="12" x14ac:dyDescent="0.15">
      <c r="A9" s="642" t="s">
        <v>185</v>
      </c>
      <c r="B9" s="1032" t="s">
        <v>421</v>
      </c>
      <c r="C9" s="1032"/>
      <c r="D9" s="1032"/>
      <c r="E9" s="1032"/>
      <c r="F9" s="1032"/>
      <c r="G9" s="1032"/>
      <c r="H9" s="1032"/>
      <c r="I9" s="1032"/>
      <c r="J9" s="1020" t="e">
        <f>K8/K6</f>
        <v>#DIV/0!</v>
      </c>
      <c r="K9" s="1022"/>
    </row>
    <row r="10" spans="1:13" s="270" customFormat="1" ht="12" x14ac:dyDescent="0.15">
      <c r="A10" s="324" t="s">
        <v>351</v>
      </c>
      <c r="B10" s="324" t="s">
        <v>352</v>
      </c>
      <c r="C10" s="324" t="s">
        <v>185</v>
      </c>
      <c r="D10" s="324" t="s">
        <v>247</v>
      </c>
      <c r="E10" s="324" t="s">
        <v>270</v>
      </c>
      <c r="F10" s="324" t="s">
        <v>271</v>
      </c>
      <c r="G10" s="324" t="s">
        <v>353</v>
      </c>
      <c r="H10" s="324" t="s">
        <v>354</v>
      </c>
      <c r="I10" s="324" t="s">
        <v>355</v>
      </c>
      <c r="J10" s="1020"/>
      <c r="K10" s="1022"/>
    </row>
    <row r="11" spans="1:13" s="270" customFormat="1" ht="11.25" customHeight="1" x14ac:dyDescent="0.15">
      <c r="A11" s="1033"/>
      <c r="B11" s="1030" t="s">
        <v>421</v>
      </c>
      <c r="C11" s="1030" t="s">
        <v>356</v>
      </c>
      <c r="D11" s="1030" t="s">
        <v>357</v>
      </c>
      <c r="E11" s="1030" t="s">
        <v>358</v>
      </c>
      <c r="F11" s="1030" t="s">
        <v>359</v>
      </c>
      <c r="G11" s="1030" t="s">
        <v>360</v>
      </c>
      <c r="H11" s="1030" t="s">
        <v>361</v>
      </c>
      <c r="I11" s="1030" t="s">
        <v>362</v>
      </c>
      <c r="J11" s="1020"/>
      <c r="K11" s="1022"/>
    </row>
    <row r="12" spans="1:13" s="270" customFormat="1" ht="24" customHeight="1" x14ac:dyDescent="0.15">
      <c r="A12" s="1033"/>
      <c r="B12" s="1030"/>
      <c r="C12" s="1030"/>
      <c r="D12" s="1030"/>
      <c r="E12" s="1030"/>
      <c r="F12" s="1030"/>
      <c r="G12" s="1030"/>
      <c r="H12" s="1030"/>
      <c r="I12" s="1030"/>
      <c r="J12" s="1020"/>
      <c r="K12" s="1022"/>
      <c r="M12" s="643"/>
    </row>
    <row r="13" spans="1:13" s="270" customFormat="1" x14ac:dyDescent="0.15">
      <c r="A13" s="325">
        <v>1</v>
      </c>
      <c r="B13" s="326" t="s">
        <v>789</v>
      </c>
      <c r="C13" s="644">
        <f>1160000*6</f>
        <v>6960000</v>
      </c>
      <c r="D13" s="644">
        <f t="shared" ref="D13:D20" si="0">C13*A13</f>
        <v>6960000</v>
      </c>
      <c r="E13" s="325">
        <v>100</v>
      </c>
      <c r="F13" s="325">
        <v>1.75</v>
      </c>
      <c r="G13" s="644">
        <f t="shared" ref="G13:G14" si="1">+D13*E13*F13/100</f>
        <v>12180000</v>
      </c>
      <c r="H13" s="325">
        <v>6</v>
      </c>
      <c r="I13" s="644">
        <f t="shared" ref="I13:I20" si="2">+G13*H13</f>
        <v>73080000</v>
      </c>
      <c r="J13" s="1020"/>
      <c r="K13" s="1022"/>
    </row>
    <row r="14" spans="1:13" s="270" customFormat="1" x14ac:dyDescent="0.15">
      <c r="A14" s="325">
        <v>1</v>
      </c>
      <c r="B14" s="326" t="s">
        <v>790</v>
      </c>
      <c r="C14" s="644">
        <f>1160000*2.7</f>
        <v>3132000</v>
      </c>
      <c r="D14" s="644">
        <f t="shared" si="0"/>
        <v>3132000</v>
      </c>
      <c r="E14" s="325">
        <v>100</v>
      </c>
      <c r="F14" s="325">
        <v>1.75</v>
      </c>
      <c r="G14" s="644">
        <f t="shared" si="1"/>
        <v>5481000</v>
      </c>
      <c r="H14" s="325">
        <v>6</v>
      </c>
      <c r="I14" s="644">
        <f t="shared" si="2"/>
        <v>32886000</v>
      </c>
      <c r="J14" s="1020"/>
      <c r="K14" s="1022"/>
    </row>
    <row r="15" spans="1:13" s="270" customFormat="1" x14ac:dyDescent="0.15">
      <c r="A15" s="325">
        <v>1</v>
      </c>
      <c r="B15" s="326" t="s">
        <v>791</v>
      </c>
      <c r="C15" s="644">
        <f>1160000*3</f>
        <v>3480000</v>
      </c>
      <c r="D15" s="644">
        <f t="shared" si="0"/>
        <v>3480000</v>
      </c>
      <c r="E15" s="325">
        <v>50</v>
      </c>
      <c r="F15" s="325">
        <v>1.75</v>
      </c>
      <c r="G15" s="644">
        <f>+D15*E15*F15/100</f>
        <v>3045000</v>
      </c>
      <c r="H15" s="325">
        <v>6</v>
      </c>
      <c r="I15" s="644">
        <f t="shared" si="2"/>
        <v>18270000</v>
      </c>
      <c r="J15" s="1020"/>
      <c r="K15" s="1022"/>
    </row>
    <row r="16" spans="1:13" s="270" customFormat="1" x14ac:dyDescent="0.15">
      <c r="A16" s="325">
        <v>1</v>
      </c>
      <c r="B16" s="326" t="s">
        <v>792</v>
      </c>
      <c r="C16" s="644">
        <f>1160000*3</f>
        <v>3480000</v>
      </c>
      <c r="D16" s="644">
        <f t="shared" si="0"/>
        <v>3480000</v>
      </c>
      <c r="E16" s="325">
        <v>50</v>
      </c>
      <c r="F16" s="325">
        <v>1.75</v>
      </c>
      <c r="G16" s="644">
        <f>+D16*E16*F16/100</f>
        <v>3045000</v>
      </c>
      <c r="H16" s="325">
        <v>6</v>
      </c>
      <c r="I16" s="644">
        <f t="shared" si="2"/>
        <v>18270000</v>
      </c>
      <c r="J16" s="1020"/>
      <c r="K16" s="1022"/>
    </row>
    <row r="17" spans="1:11" s="270" customFormat="1" x14ac:dyDescent="0.15">
      <c r="A17" s="325">
        <v>1</v>
      </c>
      <c r="B17" s="326" t="s">
        <v>364</v>
      </c>
      <c r="C17" s="644">
        <f>1160000*3</f>
        <v>3480000</v>
      </c>
      <c r="D17" s="644">
        <f t="shared" si="0"/>
        <v>3480000</v>
      </c>
      <c r="E17" s="325">
        <v>25</v>
      </c>
      <c r="F17" s="325">
        <v>1.75</v>
      </c>
      <c r="G17" s="644">
        <f>+D17*E17*F17/100</f>
        <v>1522500</v>
      </c>
      <c r="H17" s="325">
        <v>6</v>
      </c>
      <c r="I17" s="644">
        <f t="shared" si="2"/>
        <v>9135000</v>
      </c>
      <c r="J17" s="1020"/>
      <c r="K17" s="1022"/>
    </row>
    <row r="18" spans="1:11" s="270" customFormat="1" x14ac:dyDescent="0.15">
      <c r="A18" s="325">
        <v>1</v>
      </c>
      <c r="B18" s="326" t="s">
        <v>793</v>
      </c>
      <c r="C18" s="644">
        <f>1160000*2.5</f>
        <v>2900000</v>
      </c>
      <c r="D18" s="644">
        <f t="shared" si="0"/>
        <v>2900000</v>
      </c>
      <c r="E18" s="325">
        <v>25</v>
      </c>
      <c r="F18" s="325">
        <v>1.75</v>
      </c>
      <c r="G18" s="644">
        <f t="shared" ref="G18:G20" si="3">+D18*E18*F18/100</f>
        <v>1268750</v>
      </c>
      <c r="H18" s="325">
        <v>6</v>
      </c>
      <c r="I18" s="644">
        <f t="shared" si="2"/>
        <v>7612500</v>
      </c>
      <c r="J18" s="1020"/>
      <c r="K18" s="1022"/>
    </row>
    <row r="19" spans="1:11" s="270" customFormat="1" x14ac:dyDescent="0.15">
      <c r="A19" s="325">
        <v>1</v>
      </c>
      <c r="B19" s="326" t="s">
        <v>794</v>
      </c>
      <c r="C19" s="644">
        <f>1160000*2.5</f>
        <v>2900000</v>
      </c>
      <c r="D19" s="644">
        <f t="shared" si="0"/>
        <v>2900000</v>
      </c>
      <c r="E19" s="325">
        <v>25</v>
      </c>
      <c r="F19" s="325">
        <v>1.75</v>
      </c>
      <c r="G19" s="644">
        <f t="shared" si="3"/>
        <v>1268750</v>
      </c>
      <c r="H19" s="325">
        <v>6</v>
      </c>
      <c r="I19" s="644">
        <f t="shared" si="2"/>
        <v>7612500</v>
      </c>
      <c r="J19" s="1020"/>
      <c r="K19" s="1022"/>
    </row>
    <row r="20" spans="1:11" s="270" customFormat="1" x14ac:dyDescent="0.15">
      <c r="A20" s="325">
        <v>1</v>
      </c>
      <c r="B20" s="326" t="s">
        <v>417</v>
      </c>
      <c r="C20" s="644">
        <f>1160000*2</f>
        <v>2320000</v>
      </c>
      <c r="D20" s="644">
        <f t="shared" si="0"/>
        <v>2320000</v>
      </c>
      <c r="E20" s="325">
        <v>100</v>
      </c>
      <c r="F20" s="325">
        <v>1.75</v>
      </c>
      <c r="G20" s="644">
        <f t="shared" si="3"/>
        <v>4060000</v>
      </c>
      <c r="H20" s="325">
        <v>6</v>
      </c>
      <c r="I20" s="644">
        <f t="shared" si="2"/>
        <v>24360000</v>
      </c>
      <c r="J20" s="1020"/>
      <c r="K20" s="1022"/>
    </row>
    <row r="21" spans="1:11" s="270" customFormat="1" ht="12" x14ac:dyDescent="0.15">
      <c r="A21" s="1031"/>
      <c r="B21" s="1031"/>
      <c r="C21" s="1031"/>
      <c r="D21" s="1031"/>
      <c r="E21" s="1031"/>
      <c r="F21" s="1031"/>
      <c r="G21" s="1031"/>
      <c r="H21" s="1031"/>
      <c r="I21" s="1031"/>
      <c r="J21" s="1020"/>
      <c r="K21" s="1022"/>
    </row>
    <row r="22" spans="1:11" s="270" customFormat="1" ht="12" x14ac:dyDescent="0.15">
      <c r="A22" s="325"/>
      <c r="B22" s="1029" t="s">
        <v>424</v>
      </c>
      <c r="C22" s="1029"/>
      <c r="D22" s="1029"/>
      <c r="E22" s="1029"/>
      <c r="F22" s="1029"/>
      <c r="G22" s="1029"/>
      <c r="H22" s="1029"/>
      <c r="I22" s="329">
        <f>SUM(I13:I20)</f>
        <v>191226000</v>
      </c>
      <c r="J22" s="1020"/>
      <c r="K22" s="1022"/>
    </row>
    <row r="23" spans="1:11" s="270" customFormat="1" ht="12" x14ac:dyDescent="0.15">
      <c r="A23" s="1031"/>
      <c r="B23" s="1031"/>
      <c r="C23" s="1031"/>
      <c r="D23" s="1031"/>
      <c r="E23" s="1031"/>
      <c r="F23" s="1031"/>
      <c r="G23" s="1031"/>
      <c r="H23" s="1031"/>
      <c r="I23" s="1031"/>
      <c r="J23" s="1020"/>
      <c r="K23" s="1022"/>
    </row>
    <row r="24" spans="1:11" s="270" customFormat="1" ht="12" x14ac:dyDescent="0.15">
      <c r="A24" s="642" t="s">
        <v>247</v>
      </c>
      <c r="B24" s="1032" t="s">
        <v>425</v>
      </c>
      <c r="C24" s="1032"/>
      <c r="D24" s="1032"/>
      <c r="E24" s="1032"/>
      <c r="F24" s="1032"/>
      <c r="G24" s="1032"/>
      <c r="H24" s="1032"/>
      <c r="I24" s="1032"/>
      <c r="J24" s="1020"/>
      <c r="K24" s="1022"/>
    </row>
    <row r="25" spans="1:11" s="270" customFormat="1" ht="12" x14ac:dyDescent="0.15">
      <c r="A25" s="325"/>
      <c r="B25" s="324" t="s">
        <v>352</v>
      </c>
      <c r="C25" s="324" t="s">
        <v>185</v>
      </c>
      <c r="D25" s="324" t="s">
        <v>247</v>
      </c>
      <c r="E25" s="324" t="s">
        <v>270</v>
      </c>
      <c r="F25" s="324" t="s">
        <v>271</v>
      </c>
      <c r="G25" s="324" t="s">
        <v>353</v>
      </c>
      <c r="H25" s="324" t="s">
        <v>354</v>
      </c>
      <c r="I25" s="324" t="s">
        <v>355</v>
      </c>
      <c r="J25" s="1020"/>
      <c r="K25" s="1022"/>
    </row>
    <row r="26" spans="1:11" s="270" customFormat="1" ht="12" x14ac:dyDescent="0.15">
      <c r="A26" s="1033"/>
      <c r="B26" s="1030" t="s">
        <v>350</v>
      </c>
      <c r="C26" s="1030" t="s">
        <v>356</v>
      </c>
      <c r="D26" s="1030" t="s">
        <v>357</v>
      </c>
      <c r="E26" s="1030" t="s">
        <v>358</v>
      </c>
      <c r="F26" s="1030" t="s">
        <v>359</v>
      </c>
      <c r="G26" s="1030" t="s">
        <v>360</v>
      </c>
      <c r="H26" s="1030" t="s">
        <v>361</v>
      </c>
      <c r="I26" s="1030" t="s">
        <v>362</v>
      </c>
      <c r="J26" s="1020"/>
      <c r="K26" s="1022"/>
    </row>
    <row r="27" spans="1:11" s="270" customFormat="1" ht="12" x14ac:dyDescent="0.15">
      <c r="A27" s="1033"/>
      <c r="B27" s="1030"/>
      <c r="C27" s="1030"/>
      <c r="D27" s="1030"/>
      <c r="E27" s="1030"/>
      <c r="F27" s="1030"/>
      <c r="G27" s="1030"/>
      <c r="H27" s="1030"/>
      <c r="I27" s="1030"/>
      <c r="J27" s="1020"/>
      <c r="K27" s="1022"/>
    </row>
    <row r="28" spans="1:11" s="270" customFormat="1" ht="12" x14ac:dyDescent="0.15">
      <c r="A28" s="325">
        <v>1</v>
      </c>
      <c r="B28" s="330" t="s">
        <v>795</v>
      </c>
      <c r="C28" s="644">
        <f>1160000*1.25</f>
        <v>1450000</v>
      </c>
      <c r="D28" s="644">
        <f t="shared" ref="D28:D33" si="4">C28*A28</f>
        <v>1450000</v>
      </c>
      <c r="E28" s="325">
        <v>100</v>
      </c>
      <c r="F28" s="325">
        <v>1.75</v>
      </c>
      <c r="G28" s="644">
        <f t="shared" ref="G28:G33" si="5">+D28*E28*F28/100</f>
        <v>2537500</v>
      </c>
      <c r="H28" s="325">
        <v>6</v>
      </c>
      <c r="I28" s="644">
        <f t="shared" ref="I28:I33" si="6">+G28*H28</f>
        <v>15225000</v>
      </c>
      <c r="J28" s="1020"/>
      <c r="K28" s="1022"/>
    </row>
    <row r="29" spans="1:11" s="270" customFormat="1" ht="12" x14ac:dyDescent="0.15">
      <c r="A29" s="325">
        <v>1</v>
      </c>
      <c r="B29" s="330" t="s">
        <v>796</v>
      </c>
      <c r="C29" s="644">
        <f>1160000*1.25</f>
        <v>1450000</v>
      </c>
      <c r="D29" s="644">
        <f t="shared" si="4"/>
        <v>1450000</v>
      </c>
      <c r="E29" s="325">
        <v>100</v>
      </c>
      <c r="F29" s="325">
        <v>1.75</v>
      </c>
      <c r="G29" s="644">
        <f t="shared" si="5"/>
        <v>2537500</v>
      </c>
      <c r="H29" s="325">
        <v>6</v>
      </c>
      <c r="I29" s="644">
        <f t="shared" si="6"/>
        <v>15225000</v>
      </c>
      <c r="J29" s="1020"/>
      <c r="K29" s="1022"/>
    </row>
    <row r="30" spans="1:11" s="270" customFormat="1" ht="12" x14ac:dyDescent="0.15">
      <c r="A30" s="325">
        <v>1</v>
      </c>
      <c r="B30" s="330" t="s">
        <v>797</v>
      </c>
      <c r="C30" s="644">
        <f>1160000*1.25</f>
        <v>1450000</v>
      </c>
      <c r="D30" s="644">
        <f t="shared" si="4"/>
        <v>1450000</v>
      </c>
      <c r="E30" s="325">
        <v>100</v>
      </c>
      <c r="F30" s="325">
        <v>1.75</v>
      </c>
      <c r="G30" s="644">
        <f t="shared" si="5"/>
        <v>2537500</v>
      </c>
      <c r="H30" s="325">
        <v>6</v>
      </c>
      <c r="I30" s="644">
        <f t="shared" si="6"/>
        <v>15225000</v>
      </c>
      <c r="J30" s="1020"/>
      <c r="K30" s="1022"/>
    </row>
    <row r="31" spans="1:11" s="270" customFormat="1" ht="12" x14ac:dyDescent="0.15">
      <c r="A31" s="325">
        <v>1</v>
      </c>
      <c r="B31" s="330" t="s">
        <v>798</v>
      </c>
      <c r="C31" s="644">
        <f>1160000*1</f>
        <v>1160000</v>
      </c>
      <c r="D31" s="644">
        <f t="shared" si="4"/>
        <v>1160000</v>
      </c>
      <c r="E31" s="325">
        <v>100</v>
      </c>
      <c r="F31" s="325">
        <v>1.75</v>
      </c>
      <c r="G31" s="644">
        <f t="shared" si="5"/>
        <v>2030000</v>
      </c>
      <c r="H31" s="325">
        <v>6</v>
      </c>
      <c r="I31" s="644">
        <f t="shared" si="6"/>
        <v>12180000</v>
      </c>
      <c r="J31" s="1020"/>
      <c r="K31" s="1022"/>
    </row>
    <row r="32" spans="1:11" s="270" customFormat="1" ht="12" x14ac:dyDescent="0.15">
      <c r="A32" s="325">
        <v>1</v>
      </c>
      <c r="B32" s="330" t="s">
        <v>799</v>
      </c>
      <c r="C32" s="644">
        <f>1160000*1.5</f>
        <v>1740000</v>
      </c>
      <c r="D32" s="644">
        <f t="shared" si="4"/>
        <v>1740000</v>
      </c>
      <c r="E32" s="325">
        <v>100</v>
      </c>
      <c r="F32" s="325">
        <v>1.75</v>
      </c>
      <c r="G32" s="644">
        <f t="shared" si="5"/>
        <v>3045000</v>
      </c>
      <c r="H32" s="325">
        <v>6</v>
      </c>
      <c r="I32" s="644">
        <f t="shared" si="6"/>
        <v>18270000</v>
      </c>
      <c r="J32" s="1020"/>
      <c r="K32" s="1022"/>
    </row>
    <row r="33" spans="1:13" s="270" customFormat="1" ht="12" x14ac:dyDescent="0.15">
      <c r="A33" s="325">
        <v>1</v>
      </c>
      <c r="B33" s="330" t="s">
        <v>800</v>
      </c>
      <c r="C33" s="644">
        <f>1160000*1.5</f>
        <v>1740000</v>
      </c>
      <c r="D33" s="644">
        <f t="shared" si="4"/>
        <v>1740000</v>
      </c>
      <c r="E33" s="325">
        <v>100</v>
      </c>
      <c r="F33" s="325">
        <v>1.75</v>
      </c>
      <c r="G33" s="644">
        <f t="shared" si="5"/>
        <v>3045000</v>
      </c>
      <c r="H33" s="325">
        <v>6</v>
      </c>
      <c r="I33" s="644">
        <f t="shared" si="6"/>
        <v>18270000</v>
      </c>
      <c r="J33" s="1020"/>
      <c r="K33" s="1022"/>
    </row>
    <row r="34" spans="1:13" s="270" customFormat="1" ht="12" x14ac:dyDescent="0.15">
      <c r="A34" s="1031"/>
      <c r="B34" s="1031"/>
      <c r="C34" s="1031"/>
      <c r="D34" s="1031"/>
      <c r="E34" s="1031"/>
      <c r="F34" s="1031"/>
      <c r="G34" s="1031"/>
      <c r="H34" s="1031"/>
      <c r="I34" s="1031"/>
      <c r="J34" s="1020"/>
      <c r="K34" s="1022"/>
    </row>
    <row r="35" spans="1:13" s="270" customFormat="1" ht="12" x14ac:dyDescent="0.15">
      <c r="A35" s="325"/>
      <c r="B35" s="1029" t="s">
        <v>427</v>
      </c>
      <c r="C35" s="1029"/>
      <c r="D35" s="1029"/>
      <c r="E35" s="1029"/>
      <c r="F35" s="1029"/>
      <c r="G35" s="1029"/>
      <c r="H35" s="1029"/>
      <c r="I35" s="329">
        <f>SUM(I28:I33)</f>
        <v>94395000</v>
      </c>
      <c r="J35" s="1020"/>
      <c r="K35" s="1022"/>
    </row>
    <row r="36" spans="1:13" s="270" customFormat="1" ht="12" x14ac:dyDescent="0.15">
      <c r="A36" s="1031"/>
      <c r="B36" s="1031"/>
      <c r="C36" s="1031"/>
      <c r="D36" s="1031"/>
      <c r="E36" s="1031"/>
      <c r="F36" s="1031"/>
      <c r="G36" s="1031"/>
      <c r="H36" s="1031"/>
      <c r="I36" s="1031"/>
      <c r="J36" s="1020"/>
      <c r="K36" s="1022"/>
      <c r="M36" s="645"/>
    </row>
    <row r="37" spans="1:13" s="270" customFormat="1" ht="12" x14ac:dyDescent="0.15">
      <c r="A37" s="642" t="s">
        <v>270</v>
      </c>
      <c r="B37" s="1032" t="s">
        <v>801</v>
      </c>
      <c r="C37" s="1032"/>
      <c r="D37" s="1032"/>
      <c r="E37" s="1032"/>
      <c r="F37" s="1032"/>
      <c r="G37" s="1032"/>
      <c r="H37" s="1032"/>
      <c r="I37" s="1032"/>
      <c r="J37" s="1020"/>
      <c r="K37" s="1022"/>
    </row>
    <row r="38" spans="1:13" s="270" customFormat="1" ht="12" x14ac:dyDescent="0.15">
      <c r="A38" s="325"/>
      <c r="B38" s="324" t="s">
        <v>352</v>
      </c>
      <c r="C38" s="324" t="s">
        <v>185</v>
      </c>
      <c r="D38" s="324" t="s">
        <v>247</v>
      </c>
      <c r="E38" s="324" t="s">
        <v>270</v>
      </c>
      <c r="F38" s="324" t="s">
        <v>271</v>
      </c>
      <c r="G38" s="324" t="s">
        <v>353</v>
      </c>
      <c r="H38" s="324" t="s">
        <v>354</v>
      </c>
      <c r="I38" s="324" t="s">
        <v>355</v>
      </c>
      <c r="J38" s="1020"/>
      <c r="K38" s="1022"/>
    </row>
    <row r="39" spans="1:13" s="270" customFormat="1" ht="11.25" customHeight="1" x14ac:dyDescent="0.15">
      <c r="A39" s="1033"/>
      <c r="B39" s="1030" t="s">
        <v>350</v>
      </c>
      <c r="C39" s="1030" t="s">
        <v>356</v>
      </c>
      <c r="D39" s="1030" t="s">
        <v>357</v>
      </c>
      <c r="E39" s="1030" t="s">
        <v>358</v>
      </c>
      <c r="F39" s="1030" t="s">
        <v>359</v>
      </c>
      <c r="G39" s="1030" t="s">
        <v>360</v>
      </c>
      <c r="H39" s="1030" t="s">
        <v>361</v>
      </c>
      <c r="I39" s="1030" t="s">
        <v>362</v>
      </c>
      <c r="J39" s="1020"/>
      <c r="K39" s="1022"/>
    </row>
    <row r="40" spans="1:13" s="270" customFormat="1" ht="24" customHeight="1" x14ac:dyDescent="0.15">
      <c r="A40" s="1033"/>
      <c r="B40" s="1030"/>
      <c r="C40" s="1030"/>
      <c r="D40" s="1030"/>
      <c r="E40" s="1030"/>
      <c r="F40" s="1030"/>
      <c r="G40" s="1030"/>
      <c r="H40" s="1030"/>
      <c r="I40" s="1030"/>
      <c r="J40" s="1020"/>
      <c r="K40" s="1022"/>
    </row>
    <row r="41" spans="1:13" s="270" customFormat="1" ht="12" x14ac:dyDescent="0.15">
      <c r="A41" s="325">
        <v>4</v>
      </c>
      <c r="B41" s="330" t="s">
        <v>802</v>
      </c>
      <c r="C41" s="644">
        <f>1160000*1.25</f>
        <v>1450000</v>
      </c>
      <c r="D41" s="644">
        <f>C41*A41</f>
        <v>5800000</v>
      </c>
      <c r="E41" s="325">
        <v>100</v>
      </c>
      <c r="F41" s="325">
        <v>1.75</v>
      </c>
      <c r="G41" s="644">
        <f>+D41*E41*F41/100</f>
        <v>10150000</v>
      </c>
      <c r="H41" s="325">
        <v>6</v>
      </c>
      <c r="I41" s="644">
        <f>+G41*H41</f>
        <v>60900000</v>
      </c>
      <c r="J41" s="1020"/>
      <c r="K41" s="1022"/>
    </row>
    <row r="42" spans="1:13" s="270" customFormat="1" ht="12" x14ac:dyDescent="0.15">
      <c r="A42" s="1033"/>
      <c r="B42" s="1033"/>
      <c r="C42" s="1033"/>
      <c r="D42" s="1033"/>
      <c r="E42" s="1033"/>
      <c r="F42" s="1033"/>
      <c r="G42" s="1033"/>
      <c r="H42" s="1033"/>
      <c r="I42" s="1033"/>
      <c r="J42" s="1020"/>
      <c r="K42" s="1022"/>
    </row>
    <row r="43" spans="1:13" s="270" customFormat="1" ht="12" x14ac:dyDescent="0.15">
      <c r="A43" s="325"/>
      <c r="B43" s="1029" t="s">
        <v>803</v>
      </c>
      <c r="C43" s="1029"/>
      <c r="D43" s="1029"/>
      <c r="E43" s="1029"/>
      <c r="F43" s="1029"/>
      <c r="G43" s="1029"/>
      <c r="H43" s="1029"/>
      <c r="I43" s="329">
        <f>SUM(I41:I41)</f>
        <v>60900000</v>
      </c>
      <c r="J43" s="1020"/>
      <c r="K43" s="1022"/>
    </row>
    <row r="44" spans="1:13" s="270" customFormat="1" ht="14.25" customHeight="1" x14ac:dyDescent="0.15">
      <c r="A44" s="1022"/>
      <c r="B44" s="1022"/>
      <c r="C44" s="1022"/>
      <c r="D44" s="1022"/>
      <c r="E44" s="1022"/>
      <c r="F44" s="1022"/>
      <c r="G44" s="1022"/>
      <c r="H44" s="1022"/>
      <c r="I44" s="1022"/>
      <c r="J44" s="1020"/>
      <c r="K44" s="1022"/>
    </row>
    <row r="45" spans="1:13" x14ac:dyDescent="0.15">
      <c r="A45" s="319">
        <v>2</v>
      </c>
      <c r="B45" s="1019" t="s">
        <v>428</v>
      </c>
      <c r="C45" s="1019"/>
      <c r="D45" s="1019"/>
      <c r="E45" s="1019"/>
      <c r="F45" s="1019"/>
      <c r="G45" s="1019"/>
      <c r="H45" s="1019"/>
      <c r="I45" s="1019"/>
      <c r="J45" s="1019"/>
      <c r="K45" s="641">
        <f>SUM(I46:I56)</f>
        <v>133898669.434</v>
      </c>
    </row>
    <row r="46" spans="1:13" ht="13.5" customHeight="1" x14ac:dyDescent="0.15">
      <c r="A46" s="319" t="s">
        <v>216</v>
      </c>
      <c r="B46" s="1017" t="s">
        <v>804</v>
      </c>
      <c r="C46" s="1017"/>
      <c r="D46" s="1017"/>
      <c r="E46" s="1017"/>
      <c r="F46" s="646" t="s">
        <v>346</v>
      </c>
      <c r="G46" s="647">
        <v>6</v>
      </c>
      <c r="H46" s="648">
        <v>600000</v>
      </c>
      <c r="I46" s="8">
        <f t="shared" ref="I46:I66" si="7">H46*G46</f>
        <v>3600000</v>
      </c>
      <c r="J46" s="1023" t="e">
        <f>K45/K6</f>
        <v>#DIV/0!</v>
      </c>
      <c r="K46" s="1026"/>
      <c r="M46" s="13"/>
    </row>
    <row r="47" spans="1:13" ht="13.5" customHeight="1" x14ac:dyDescent="0.15">
      <c r="A47" s="319" t="s">
        <v>217</v>
      </c>
      <c r="B47" s="1017" t="s">
        <v>805</v>
      </c>
      <c r="C47" s="1017"/>
      <c r="D47" s="1017"/>
      <c r="E47" s="1017"/>
      <c r="F47" s="53" t="s">
        <v>346</v>
      </c>
      <c r="G47" s="70">
        <v>6</v>
      </c>
      <c r="H47" s="331">
        <v>3400000</v>
      </c>
      <c r="I47" s="8">
        <f t="shared" si="7"/>
        <v>20400000</v>
      </c>
      <c r="J47" s="1024"/>
      <c r="K47" s="1027"/>
    </row>
    <row r="48" spans="1:13" ht="13.5" customHeight="1" x14ac:dyDescent="0.15">
      <c r="A48" s="319" t="s">
        <v>218</v>
      </c>
      <c r="B48" s="1017" t="s">
        <v>806</v>
      </c>
      <c r="C48" s="1017"/>
      <c r="D48" s="1017"/>
      <c r="E48" s="1017"/>
      <c r="F48" s="53" t="s">
        <v>346</v>
      </c>
      <c r="G48" s="70">
        <v>6</v>
      </c>
      <c r="H48" s="331">
        <v>199778.239</v>
      </c>
      <c r="I48" s="8">
        <f t="shared" si="7"/>
        <v>1198669.4339999999</v>
      </c>
      <c r="J48" s="1024"/>
      <c r="K48" s="1027"/>
      <c r="M48" s="13"/>
    </row>
    <row r="49" spans="1:13" ht="13.5" customHeight="1" x14ac:dyDescent="0.15">
      <c r="A49" s="319" t="s">
        <v>219</v>
      </c>
      <c r="B49" s="1017" t="s">
        <v>807</v>
      </c>
      <c r="C49" s="1017"/>
      <c r="D49" s="1017"/>
      <c r="E49" s="1017"/>
      <c r="F49" s="53" t="s">
        <v>346</v>
      </c>
      <c r="G49" s="70">
        <v>6</v>
      </c>
      <c r="H49" s="331">
        <v>250000</v>
      </c>
      <c r="I49" s="8">
        <f t="shared" si="7"/>
        <v>1500000</v>
      </c>
      <c r="J49" s="1024"/>
      <c r="K49" s="1027"/>
    </row>
    <row r="50" spans="1:13" ht="13.5" customHeight="1" x14ac:dyDescent="0.15">
      <c r="A50" s="319" t="s">
        <v>563</v>
      </c>
      <c r="B50" s="1017" t="s">
        <v>808</v>
      </c>
      <c r="C50" s="1017"/>
      <c r="D50" s="1017"/>
      <c r="E50" s="1017"/>
      <c r="F50" s="53" t="s">
        <v>346</v>
      </c>
      <c r="G50" s="70">
        <v>6</v>
      </c>
      <c r="H50" s="331">
        <v>7200000</v>
      </c>
      <c r="I50" s="8">
        <f t="shared" si="7"/>
        <v>43200000</v>
      </c>
      <c r="J50" s="1024"/>
      <c r="K50" s="1027"/>
    </row>
    <row r="51" spans="1:13" ht="13.5" customHeight="1" x14ac:dyDescent="0.15">
      <c r="A51" s="319" t="s">
        <v>809</v>
      </c>
      <c r="B51" s="1017" t="s">
        <v>810</v>
      </c>
      <c r="C51" s="1017"/>
      <c r="D51" s="1017"/>
      <c r="E51" s="1017"/>
      <c r="F51" s="53" t="s">
        <v>519</v>
      </c>
      <c r="G51" s="70">
        <v>2</v>
      </c>
      <c r="H51" s="331">
        <v>800000</v>
      </c>
      <c r="I51" s="8">
        <f t="shared" si="7"/>
        <v>1600000</v>
      </c>
      <c r="J51" s="1024"/>
      <c r="K51" s="1027"/>
      <c r="M51" s="13"/>
    </row>
    <row r="52" spans="1:13" ht="13.5" customHeight="1" x14ac:dyDescent="0.15">
      <c r="A52" s="319" t="s">
        <v>811</v>
      </c>
      <c r="B52" s="1017" t="s">
        <v>812</v>
      </c>
      <c r="C52" s="1017"/>
      <c r="D52" s="1017"/>
      <c r="E52" s="1017"/>
      <c r="F52" s="53" t="s">
        <v>519</v>
      </c>
      <c r="G52" s="70">
        <v>2</v>
      </c>
      <c r="H52" s="331">
        <v>2400000</v>
      </c>
      <c r="I52" s="8">
        <f t="shared" si="7"/>
        <v>4800000</v>
      </c>
      <c r="J52" s="1024"/>
      <c r="K52" s="1027"/>
    </row>
    <row r="53" spans="1:13" ht="13.5" customHeight="1" x14ac:dyDescent="0.15">
      <c r="A53" s="319" t="s">
        <v>813</v>
      </c>
      <c r="B53" s="1017" t="s">
        <v>814</v>
      </c>
      <c r="C53" s="1017"/>
      <c r="D53" s="1017"/>
      <c r="E53" s="1017"/>
      <c r="F53" s="53" t="s">
        <v>346</v>
      </c>
      <c r="G53" s="70">
        <v>6</v>
      </c>
      <c r="H53" s="331">
        <v>5000000</v>
      </c>
      <c r="I53" s="8">
        <f t="shared" si="7"/>
        <v>30000000</v>
      </c>
      <c r="J53" s="1024"/>
      <c r="K53" s="1027"/>
    </row>
    <row r="54" spans="1:13" ht="13.5" customHeight="1" x14ac:dyDescent="0.15">
      <c r="A54" s="319" t="s">
        <v>815</v>
      </c>
      <c r="B54" s="1017" t="s">
        <v>816</v>
      </c>
      <c r="C54" s="1017"/>
      <c r="D54" s="1017"/>
      <c r="E54" s="1017"/>
      <c r="F54" s="53" t="s">
        <v>346</v>
      </c>
      <c r="G54" s="70">
        <v>6</v>
      </c>
      <c r="H54" s="331">
        <v>2500000</v>
      </c>
      <c r="I54" s="8">
        <f t="shared" si="7"/>
        <v>15000000</v>
      </c>
      <c r="J54" s="1024"/>
      <c r="K54" s="1027"/>
    </row>
    <row r="55" spans="1:13" ht="13.5" customHeight="1" x14ac:dyDescent="0.15">
      <c r="A55" s="319" t="s">
        <v>817</v>
      </c>
      <c r="B55" s="1017" t="s">
        <v>818</v>
      </c>
      <c r="C55" s="1017"/>
      <c r="D55" s="1017"/>
      <c r="E55" s="1017"/>
      <c r="F55" s="53" t="s">
        <v>519</v>
      </c>
      <c r="G55" s="70">
        <v>2</v>
      </c>
      <c r="H55" s="331">
        <v>1800000</v>
      </c>
      <c r="I55" s="8">
        <f>H55*G55</f>
        <v>3600000</v>
      </c>
      <c r="J55" s="1024"/>
      <c r="K55" s="1027"/>
    </row>
    <row r="56" spans="1:13" ht="13.5" customHeight="1" x14ac:dyDescent="0.15">
      <c r="A56" s="319" t="s">
        <v>819</v>
      </c>
      <c r="B56" s="1017" t="s">
        <v>820</v>
      </c>
      <c r="C56" s="1017"/>
      <c r="D56" s="1017"/>
      <c r="E56" s="1017"/>
      <c r="F56" s="53" t="s">
        <v>519</v>
      </c>
      <c r="G56" s="70">
        <v>2</v>
      </c>
      <c r="H56" s="331">
        <v>4500000</v>
      </c>
      <c r="I56" s="8">
        <f>H56*G56</f>
        <v>9000000</v>
      </c>
      <c r="J56" s="1025"/>
      <c r="K56" s="1028"/>
    </row>
    <row r="57" spans="1:13" x14ac:dyDescent="0.15">
      <c r="A57" s="713"/>
      <c r="B57" s="713"/>
      <c r="C57" s="713"/>
      <c r="D57" s="713"/>
      <c r="E57" s="713"/>
      <c r="F57" s="713"/>
      <c r="G57" s="713"/>
      <c r="H57" s="713"/>
      <c r="I57" s="713"/>
      <c r="J57" s="713"/>
      <c r="K57" s="713"/>
    </row>
    <row r="58" spans="1:13" ht="26" x14ac:dyDescent="0.15">
      <c r="A58" s="333" t="s">
        <v>0</v>
      </c>
      <c r="B58" s="1018" t="s">
        <v>1</v>
      </c>
      <c r="C58" s="1018"/>
      <c r="D58" s="1018"/>
      <c r="E58" s="1018"/>
      <c r="F58" s="649" t="s">
        <v>62</v>
      </c>
      <c r="G58" s="335" t="s">
        <v>431</v>
      </c>
      <c r="H58" s="336" t="s">
        <v>432</v>
      </c>
      <c r="I58" s="337" t="s">
        <v>821</v>
      </c>
      <c r="J58" s="338" t="s">
        <v>62</v>
      </c>
      <c r="K58" s="339" t="s">
        <v>4</v>
      </c>
    </row>
    <row r="59" spans="1:13" x14ac:dyDescent="0.15">
      <c r="A59" s="650">
        <v>3</v>
      </c>
      <c r="B59" s="1019" t="s">
        <v>434</v>
      </c>
      <c r="C59" s="1019"/>
      <c r="D59" s="1019"/>
      <c r="E59" s="1019"/>
      <c r="F59" s="1019"/>
      <c r="G59" s="1019"/>
      <c r="H59" s="1019"/>
      <c r="I59" s="1019"/>
      <c r="J59" s="1019"/>
      <c r="K59" s="641">
        <f>SUM(I60:I66)</f>
        <v>0</v>
      </c>
    </row>
    <row r="60" spans="1:13" x14ac:dyDescent="0.15">
      <c r="A60" s="332">
        <v>3.1</v>
      </c>
      <c r="B60" s="1017" t="s">
        <v>435</v>
      </c>
      <c r="C60" s="1017"/>
      <c r="D60" s="1017"/>
      <c r="E60" s="1017"/>
      <c r="F60" s="340">
        <v>1</v>
      </c>
      <c r="G60" s="70">
        <f>K6*F60</f>
        <v>0</v>
      </c>
      <c r="H60" s="341">
        <v>3.5000000000000003E-2</v>
      </c>
      <c r="I60" s="8">
        <f>H60*G60</f>
        <v>0</v>
      </c>
      <c r="J60" s="1020" t="e">
        <f>K59/K6</f>
        <v>#DIV/0!</v>
      </c>
      <c r="K60" s="1021"/>
    </row>
    <row r="61" spans="1:13" x14ac:dyDescent="0.15">
      <c r="A61" s="332">
        <v>3.2</v>
      </c>
      <c r="B61" s="1017" t="s">
        <v>822</v>
      </c>
      <c r="C61" s="1017"/>
      <c r="D61" s="1017"/>
      <c r="E61" s="1017"/>
      <c r="F61" s="340">
        <v>1</v>
      </c>
      <c r="G61" s="70">
        <f>K6</f>
        <v>0</v>
      </c>
      <c r="H61" s="341">
        <v>0.05</v>
      </c>
      <c r="I61" s="8">
        <f>H61*G61</f>
        <v>0</v>
      </c>
      <c r="J61" s="1020"/>
      <c r="K61" s="1021"/>
    </row>
    <row r="62" spans="1:13" x14ac:dyDescent="0.15">
      <c r="A62" s="332">
        <v>3.3</v>
      </c>
      <c r="B62" s="1017" t="s">
        <v>436</v>
      </c>
      <c r="C62" s="1017"/>
      <c r="D62" s="1017"/>
      <c r="E62" s="1017"/>
      <c r="F62" s="340">
        <v>0.4</v>
      </c>
      <c r="G62" s="70">
        <f>K6*F62</f>
        <v>0</v>
      </c>
      <c r="H62" s="341">
        <v>8.9999999999999998E-4</v>
      </c>
      <c r="I62" s="8">
        <f>H62*G62</f>
        <v>0</v>
      </c>
      <c r="J62" s="1020"/>
      <c r="K62" s="1021"/>
    </row>
    <row r="63" spans="1:13" x14ac:dyDescent="0.15">
      <c r="A63" s="332">
        <v>3.4</v>
      </c>
      <c r="B63" s="1017" t="s">
        <v>437</v>
      </c>
      <c r="C63" s="1017"/>
      <c r="D63" s="1017"/>
      <c r="E63" s="1017"/>
      <c r="F63" s="340">
        <v>0.1</v>
      </c>
      <c r="G63" s="70">
        <f>K6*F63</f>
        <v>0</v>
      </c>
      <c r="H63" s="341">
        <v>6.9999999999999999E-4</v>
      </c>
      <c r="I63" s="8">
        <f t="shared" ref="I63:I64" si="8">H63*G63</f>
        <v>0</v>
      </c>
      <c r="J63" s="1020"/>
      <c r="K63" s="1021"/>
    </row>
    <row r="64" spans="1:13" x14ac:dyDescent="0.15">
      <c r="A64" s="332">
        <v>3.5</v>
      </c>
      <c r="B64" s="1017" t="s">
        <v>438</v>
      </c>
      <c r="C64" s="1017"/>
      <c r="D64" s="1017"/>
      <c r="E64" s="1017"/>
      <c r="F64" s="340">
        <v>0.1</v>
      </c>
      <c r="G64" s="70">
        <f>K6*F64</f>
        <v>0</v>
      </c>
      <c r="H64" s="341">
        <v>3.0000000000000001E-3</v>
      </c>
      <c r="I64" s="8">
        <f t="shared" si="8"/>
        <v>0</v>
      </c>
      <c r="J64" s="1020"/>
      <c r="K64" s="1021"/>
    </row>
    <row r="65" spans="1:13" x14ac:dyDescent="0.15">
      <c r="A65" s="332">
        <v>3.6</v>
      </c>
      <c r="B65" s="1017" t="s">
        <v>439</v>
      </c>
      <c r="C65" s="1017"/>
      <c r="D65" s="1017"/>
      <c r="E65" s="1017"/>
      <c r="F65" s="340">
        <v>0.5</v>
      </c>
      <c r="G65" s="70">
        <f>K6*F65</f>
        <v>0</v>
      </c>
      <c r="H65" s="342">
        <v>1.1999999999999999E-3</v>
      </c>
      <c r="I65" s="8">
        <f t="shared" si="7"/>
        <v>0</v>
      </c>
      <c r="J65" s="1020"/>
      <c r="K65" s="1021"/>
    </row>
    <row r="66" spans="1:13" x14ac:dyDescent="0.15">
      <c r="A66" s="332">
        <v>3.7</v>
      </c>
      <c r="B66" s="1017" t="s">
        <v>440</v>
      </c>
      <c r="C66" s="1017"/>
      <c r="D66" s="1017"/>
      <c r="E66" s="1017"/>
      <c r="F66" s="340">
        <v>0.5</v>
      </c>
      <c r="G66" s="70">
        <f>K6*F66</f>
        <v>0</v>
      </c>
      <c r="H66" s="342">
        <v>8.0000000000000004E-4</v>
      </c>
      <c r="I66" s="8">
        <f t="shared" si="7"/>
        <v>0</v>
      </c>
      <c r="J66" s="1020"/>
      <c r="K66" s="1021"/>
    </row>
    <row r="67" spans="1:13" x14ac:dyDescent="0.15">
      <c r="A67" s="1016"/>
      <c r="B67" s="1016"/>
      <c r="C67" s="1016"/>
      <c r="D67" s="1016"/>
      <c r="E67" s="1016"/>
      <c r="F67" s="1016"/>
      <c r="G67" s="1016"/>
      <c r="H67" s="1016"/>
      <c r="I67" s="1016"/>
      <c r="J67" s="1016"/>
      <c r="K67" s="1016"/>
    </row>
    <row r="68" spans="1:13" x14ac:dyDescent="0.15">
      <c r="A68" s="319">
        <v>1</v>
      </c>
      <c r="B68" s="716" t="s">
        <v>823</v>
      </c>
      <c r="C68" s="716"/>
      <c r="D68" s="716"/>
      <c r="E68" s="716"/>
      <c r="F68" s="53" t="s">
        <v>62</v>
      </c>
      <c r="G68" s="70">
        <v>22</v>
      </c>
      <c r="H68" s="651"/>
      <c r="I68" s="651"/>
      <c r="J68" s="652"/>
      <c r="K68" s="652">
        <f>K59+K45+K8</f>
        <v>480419669.43400002</v>
      </c>
    </row>
    <row r="69" spans="1:13" x14ac:dyDescent="0.15">
      <c r="A69" s="319">
        <v>2</v>
      </c>
      <c r="B69" s="716" t="s">
        <v>824</v>
      </c>
      <c r="C69" s="716"/>
      <c r="D69" s="716"/>
      <c r="E69" s="716"/>
      <c r="F69" s="53" t="s">
        <v>62</v>
      </c>
      <c r="G69" s="70">
        <v>5</v>
      </c>
      <c r="H69" s="651"/>
      <c r="I69" s="651"/>
      <c r="J69" s="652"/>
      <c r="K69" s="652">
        <f>'PRESUPUESTO OBRA'!$G$673</f>
        <v>0</v>
      </c>
    </row>
    <row r="70" spans="1:13" x14ac:dyDescent="0.15">
      <c r="A70" s="319">
        <v>3</v>
      </c>
      <c r="B70" s="716" t="s">
        <v>825</v>
      </c>
      <c r="C70" s="716"/>
      <c r="D70" s="716"/>
      <c r="E70" s="716"/>
      <c r="F70" s="53" t="s">
        <v>62</v>
      </c>
      <c r="G70" s="70">
        <v>3</v>
      </c>
      <c r="H70" s="651"/>
      <c r="I70" s="651"/>
      <c r="J70" s="652"/>
      <c r="K70" s="652">
        <f>'PRESUPUESTO OBRA'!$G$674</f>
        <v>0</v>
      </c>
    </row>
    <row r="71" spans="1:13" x14ac:dyDescent="0.15">
      <c r="A71" s="1016"/>
      <c r="B71" s="1016"/>
      <c r="C71" s="1016"/>
      <c r="D71" s="1016"/>
      <c r="E71" s="1016"/>
      <c r="F71" s="1016"/>
      <c r="G71" s="1016"/>
      <c r="H71" s="1016"/>
      <c r="I71" s="1016"/>
      <c r="J71" s="1016"/>
      <c r="K71" s="1016"/>
    </row>
    <row r="72" spans="1:13" s="159" customFormat="1" ht="20.25" customHeight="1" x14ac:dyDescent="0.15">
      <c r="A72" s="344"/>
      <c r="B72" s="1015" t="s">
        <v>826</v>
      </c>
      <c r="C72" s="1015"/>
      <c r="D72" s="1015"/>
      <c r="E72" s="1015"/>
      <c r="F72" s="1015"/>
      <c r="G72" s="1015"/>
      <c r="H72" s="1015"/>
      <c r="I72" s="1015"/>
      <c r="J72" s="1015"/>
      <c r="K72" s="653">
        <f>SUM(K68:K71)</f>
        <v>480419669.43400002</v>
      </c>
      <c r="M72" s="654"/>
    </row>
    <row r="73" spans="1:13" x14ac:dyDescent="0.15">
      <c r="A73" s="1016"/>
      <c r="B73" s="1016"/>
      <c r="C73" s="1016"/>
      <c r="D73" s="1016"/>
      <c r="E73" s="1016"/>
      <c r="F73" s="1016"/>
      <c r="G73" s="1016"/>
      <c r="H73" s="1016"/>
      <c r="I73" s="1016"/>
      <c r="J73" s="1016"/>
      <c r="K73" s="1016"/>
    </row>
    <row r="74" spans="1:13" x14ac:dyDescent="0.15">
      <c r="A74" s="345"/>
      <c r="B74" s="345"/>
      <c r="C74" s="345"/>
      <c r="D74" s="345"/>
      <c r="E74" s="345"/>
      <c r="F74" s="345"/>
      <c r="G74" s="345"/>
      <c r="H74" s="345"/>
      <c r="I74" s="345"/>
      <c r="J74" s="345"/>
      <c r="K74" s="345"/>
    </row>
    <row r="75" spans="1:13" x14ac:dyDescent="0.15">
      <c r="A75" s="345"/>
      <c r="B75" s="345"/>
      <c r="C75" s="345"/>
      <c r="D75" s="345"/>
      <c r="E75" s="345"/>
      <c r="F75" s="345"/>
      <c r="G75" s="345"/>
      <c r="H75" s="345"/>
      <c r="I75" s="345"/>
      <c r="J75" s="345"/>
      <c r="K75" s="655"/>
    </row>
    <row r="76" spans="1:13" x14ac:dyDescent="0.15">
      <c r="A76" s="345"/>
      <c r="B76" s="345"/>
      <c r="C76" s="345"/>
      <c r="D76" s="345"/>
      <c r="E76" s="345"/>
      <c r="F76" s="345"/>
      <c r="G76" s="345"/>
      <c r="H76" s="345"/>
      <c r="I76" s="345"/>
      <c r="J76" s="345"/>
      <c r="K76" s="655"/>
      <c r="M76" s="13"/>
    </row>
    <row r="77" spans="1:13" x14ac:dyDescent="0.15">
      <c r="G77" s="71"/>
      <c r="H77" s="352"/>
      <c r="I77" s="352"/>
      <c r="J77" s="71"/>
      <c r="K77" s="71"/>
      <c r="M77"/>
    </row>
    <row r="78" spans="1:13" ht="14" x14ac:dyDescent="0.15">
      <c r="B78" s="102" t="s">
        <v>644</v>
      </c>
      <c r="C78" s="102"/>
      <c r="D78" s="102"/>
      <c r="E78" s="102"/>
      <c r="G78" s="71"/>
      <c r="H78" s="352"/>
      <c r="I78" s="352"/>
      <c r="J78" s="71"/>
      <c r="K78" s="71"/>
      <c r="M78"/>
    </row>
    <row r="79" spans="1:13" ht="14" x14ac:dyDescent="0.15">
      <c r="A79" s="82"/>
      <c r="B79" s="83" t="s">
        <v>531</v>
      </c>
      <c r="C79" s="83"/>
      <c r="D79" s="83"/>
      <c r="E79" s="83"/>
      <c r="F79" s="83"/>
      <c r="G79" s="84"/>
      <c r="H79" s="83"/>
      <c r="I79" s="83"/>
      <c r="J79" s="83"/>
      <c r="K79" s="83"/>
      <c r="L79" s="83"/>
      <c r="M79"/>
    </row>
    <row r="80" spans="1:13" ht="14" x14ac:dyDescent="0.15">
      <c r="A80" s="82"/>
      <c r="B80" s="83"/>
      <c r="C80" s="83"/>
      <c r="D80" s="83"/>
      <c r="E80" s="83"/>
      <c r="F80" s="83"/>
      <c r="G80" s="84"/>
      <c r="H80" s="83"/>
      <c r="I80" s="83"/>
      <c r="J80" s="83"/>
      <c r="K80" s="83"/>
      <c r="L80" s="83"/>
      <c r="M80"/>
    </row>
    <row r="81" spans="7:13" x14ac:dyDescent="0.15">
      <c r="G81" s="71"/>
      <c r="M81"/>
    </row>
  </sheetData>
  <mergeCells count="81">
    <mergeCell ref="A6:J6"/>
    <mergeCell ref="A1:K2"/>
    <mergeCell ref="A3:K3"/>
    <mergeCell ref="A4:K4"/>
    <mergeCell ref="A5:K5"/>
    <mergeCell ref="B22:H22"/>
    <mergeCell ref="A7:K7"/>
    <mergeCell ref="B8:J8"/>
    <mergeCell ref="B9:I9"/>
    <mergeCell ref="J9:J44"/>
    <mergeCell ref="K9:K4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A21:I21"/>
    <mergeCell ref="A23:I23"/>
    <mergeCell ref="B24:I24"/>
    <mergeCell ref="A26:A27"/>
    <mergeCell ref="B26:B27"/>
    <mergeCell ref="C26:C27"/>
    <mergeCell ref="D26:D27"/>
    <mergeCell ref="E26:E27"/>
    <mergeCell ref="F26:F27"/>
    <mergeCell ref="G26:G27"/>
    <mergeCell ref="H26:H27"/>
    <mergeCell ref="B43:H43"/>
    <mergeCell ref="I26:I27"/>
    <mergeCell ref="A34:I34"/>
    <mergeCell ref="B35:H35"/>
    <mergeCell ref="A36:I36"/>
    <mergeCell ref="B37:I37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A42:I42"/>
    <mergeCell ref="A57:K57"/>
    <mergeCell ref="A44:I44"/>
    <mergeCell ref="B45:J45"/>
    <mergeCell ref="B46:E46"/>
    <mergeCell ref="J46:J56"/>
    <mergeCell ref="K46:K56"/>
    <mergeCell ref="B47:E47"/>
    <mergeCell ref="B48:E48"/>
    <mergeCell ref="B49:E49"/>
    <mergeCell ref="B50:E50"/>
    <mergeCell ref="B51:E51"/>
    <mergeCell ref="B52:E52"/>
    <mergeCell ref="B53:E53"/>
    <mergeCell ref="B54:E54"/>
    <mergeCell ref="B55:E55"/>
    <mergeCell ref="B56:E56"/>
    <mergeCell ref="B58:E58"/>
    <mergeCell ref="B59:J59"/>
    <mergeCell ref="B60:E60"/>
    <mergeCell ref="J60:J66"/>
    <mergeCell ref="K60:K66"/>
    <mergeCell ref="B61:E61"/>
    <mergeCell ref="B62:E62"/>
    <mergeCell ref="B63:E63"/>
    <mergeCell ref="B64:E64"/>
    <mergeCell ref="B65:E65"/>
    <mergeCell ref="B72:J72"/>
    <mergeCell ref="A73:K73"/>
    <mergeCell ref="B66:E66"/>
    <mergeCell ref="A67:K67"/>
    <mergeCell ref="B68:E68"/>
    <mergeCell ref="B69:E69"/>
    <mergeCell ref="B70:E70"/>
    <mergeCell ref="A71:K71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0" verticalDpi="0" r:id="rId1"/>
  <rowBreaks count="1" manualBreakCount="1">
    <brk id="36" max="16383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7"/>
  <sheetViews>
    <sheetView view="pageBreakPreview" topLeftCell="A7" zoomScale="130" zoomScaleNormal="100" zoomScaleSheetLayoutView="130" workbookViewId="0">
      <selection activeCell="M12" sqref="M12"/>
    </sheetView>
  </sheetViews>
  <sheetFormatPr baseColWidth="10" defaultRowHeight="13" x14ac:dyDescent="0.15"/>
  <cols>
    <col min="1" max="1" width="12.5" customWidth="1"/>
    <col min="2" max="2" width="43.33203125" customWidth="1"/>
    <col min="3" max="3" width="9.1640625" bestFit="1" customWidth="1"/>
    <col min="4" max="4" width="16.5" customWidth="1"/>
    <col min="243" max="243" width="41.1640625" customWidth="1"/>
    <col min="244" max="244" width="25.1640625" customWidth="1"/>
    <col min="499" max="499" width="41.1640625" customWidth="1"/>
    <col min="500" max="500" width="25.1640625" customWidth="1"/>
    <col min="755" max="755" width="41.1640625" customWidth="1"/>
    <col min="756" max="756" width="25.1640625" customWidth="1"/>
    <col min="1011" max="1011" width="41.1640625" customWidth="1"/>
    <col min="1012" max="1012" width="25.1640625" customWidth="1"/>
    <col min="1267" max="1267" width="41.1640625" customWidth="1"/>
    <col min="1268" max="1268" width="25.1640625" customWidth="1"/>
    <col min="1523" max="1523" width="41.1640625" customWidth="1"/>
    <col min="1524" max="1524" width="25.1640625" customWidth="1"/>
    <col min="1779" max="1779" width="41.1640625" customWidth="1"/>
    <col min="1780" max="1780" width="25.1640625" customWidth="1"/>
    <col min="2035" max="2035" width="41.1640625" customWidth="1"/>
    <col min="2036" max="2036" width="25.1640625" customWidth="1"/>
    <col min="2291" max="2291" width="41.1640625" customWidth="1"/>
    <col min="2292" max="2292" width="25.1640625" customWidth="1"/>
    <col min="2547" max="2547" width="41.1640625" customWidth="1"/>
    <col min="2548" max="2548" width="25.1640625" customWidth="1"/>
    <col min="2803" max="2803" width="41.1640625" customWidth="1"/>
    <col min="2804" max="2804" width="25.1640625" customWidth="1"/>
    <col min="3059" max="3059" width="41.1640625" customWidth="1"/>
    <col min="3060" max="3060" width="25.1640625" customWidth="1"/>
    <col min="3315" max="3315" width="41.1640625" customWidth="1"/>
    <col min="3316" max="3316" width="25.1640625" customWidth="1"/>
    <col min="3571" max="3571" width="41.1640625" customWidth="1"/>
    <col min="3572" max="3572" width="25.1640625" customWidth="1"/>
    <col min="3827" max="3827" width="41.1640625" customWidth="1"/>
    <col min="3828" max="3828" width="25.1640625" customWidth="1"/>
    <col min="4083" max="4083" width="41.1640625" customWidth="1"/>
    <col min="4084" max="4084" width="25.1640625" customWidth="1"/>
    <col min="4339" max="4339" width="41.1640625" customWidth="1"/>
    <col min="4340" max="4340" width="25.1640625" customWidth="1"/>
    <col min="4595" max="4595" width="41.1640625" customWidth="1"/>
    <col min="4596" max="4596" width="25.1640625" customWidth="1"/>
    <col min="4851" max="4851" width="41.1640625" customWidth="1"/>
    <col min="4852" max="4852" width="25.1640625" customWidth="1"/>
    <col min="5107" max="5107" width="41.1640625" customWidth="1"/>
    <col min="5108" max="5108" width="25.1640625" customWidth="1"/>
    <col min="5363" max="5363" width="41.1640625" customWidth="1"/>
    <col min="5364" max="5364" width="25.1640625" customWidth="1"/>
    <col min="5619" max="5619" width="41.1640625" customWidth="1"/>
    <col min="5620" max="5620" width="25.1640625" customWidth="1"/>
    <col min="5875" max="5875" width="41.1640625" customWidth="1"/>
    <col min="5876" max="5876" width="25.1640625" customWidth="1"/>
    <col min="6131" max="6131" width="41.1640625" customWidth="1"/>
    <col min="6132" max="6132" width="25.1640625" customWidth="1"/>
    <col min="6387" max="6387" width="41.1640625" customWidth="1"/>
    <col min="6388" max="6388" width="25.1640625" customWidth="1"/>
    <col min="6643" max="6643" width="41.1640625" customWidth="1"/>
    <col min="6644" max="6644" width="25.1640625" customWidth="1"/>
    <col min="6899" max="6899" width="41.1640625" customWidth="1"/>
    <col min="6900" max="6900" width="25.1640625" customWidth="1"/>
    <col min="7155" max="7155" width="41.1640625" customWidth="1"/>
    <col min="7156" max="7156" width="25.1640625" customWidth="1"/>
    <col min="7411" max="7411" width="41.1640625" customWidth="1"/>
    <col min="7412" max="7412" width="25.1640625" customWidth="1"/>
    <col min="7667" max="7667" width="41.1640625" customWidth="1"/>
    <col min="7668" max="7668" width="25.1640625" customWidth="1"/>
    <col min="7923" max="7923" width="41.1640625" customWidth="1"/>
    <col min="7924" max="7924" width="25.1640625" customWidth="1"/>
    <col min="8179" max="8179" width="41.1640625" customWidth="1"/>
    <col min="8180" max="8180" width="25.1640625" customWidth="1"/>
    <col min="8435" max="8435" width="41.1640625" customWidth="1"/>
    <col min="8436" max="8436" width="25.1640625" customWidth="1"/>
    <col min="8691" max="8691" width="41.1640625" customWidth="1"/>
    <col min="8692" max="8692" width="25.1640625" customWidth="1"/>
    <col min="8947" max="8947" width="41.1640625" customWidth="1"/>
    <col min="8948" max="8948" width="25.1640625" customWidth="1"/>
    <col min="9203" max="9203" width="41.1640625" customWidth="1"/>
    <col min="9204" max="9204" width="25.1640625" customWidth="1"/>
    <col min="9459" max="9459" width="41.1640625" customWidth="1"/>
    <col min="9460" max="9460" width="25.1640625" customWidth="1"/>
    <col min="9715" max="9715" width="41.1640625" customWidth="1"/>
    <col min="9716" max="9716" width="25.1640625" customWidth="1"/>
    <col min="9971" max="9971" width="41.1640625" customWidth="1"/>
    <col min="9972" max="9972" width="25.1640625" customWidth="1"/>
    <col min="10227" max="10227" width="41.1640625" customWidth="1"/>
    <col min="10228" max="10228" width="25.1640625" customWidth="1"/>
    <col min="10483" max="10483" width="41.1640625" customWidth="1"/>
    <col min="10484" max="10484" width="25.1640625" customWidth="1"/>
    <col min="10739" max="10739" width="41.1640625" customWidth="1"/>
    <col min="10740" max="10740" width="25.1640625" customWidth="1"/>
    <col min="10995" max="10995" width="41.1640625" customWidth="1"/>
    <col min="10996" max="10996" width="25.1640625" customWidth="1"/>
    <col min="11251" max="11251" width="41.1640625" customWidth="1"/>
    <col min="11252" max="11252" width="25.1640625" customWidth="1"/>
    <col min="11507" max="11507" width="41.1640625" customWidth="1"/>
    <col min="11508" max="11508" width="25.1640625" customWidth="1"/>
    <col min="11763" max="11763" width="41.1640625" customWidth="1"/>
    <col min="11764" max="11764" width="25.1640625" customWidth="1"/>
    <col min="12019" max="12019" width="41.1640625" customWidth="1"/>
    <col min="12020" max="12020" width="25.1640625" customWidth="1"/>
    <col min="12275" max="12275" width="41.1640625" customWidth="1"/>
    <col min="12276" max="12276" width="25.1640625" customWidth="1"/>
    <col min="12531" max="12531" width="41.1640625" customWidth="1"/>
    <col min="12532" max="12532" width="25.1640625" customWidth="1"/>
    <col min="12787" max="12787" width="41.1640625" customWidth="1"/>
    <col min="12788" max="12788" width="25.1640625" customWidth="1"/>
    <col min="13043" max="13043" width="41.1640625" customWidth="1"/>
    <col min="13044" max="13044" width="25.1640625" customWidth="1"/>
    <col min="13299" max="13299" width="41.1640625" customWidth="1"/>
    <col min="13300" max="13300" width="25.1640625" customWidth="1"/>
    <col min="13555" max="13555" width="41.1640625" customWidth="1"/>
    <col min="13556" max="13556" width="25.1640625" customWidth="1"/>
    <col min="13811" max="13811" width="41.1640625" customWidth="1"/>
    <col min="13812" max="13812" width="25.1640625" customWidth="1"/>
    <col min="14067" max="14067" width="41.1640625" customWidth="1"/>
    <col min="14068" max="14068" width="25.1640625" customWidth="1"/>
    <col min="14323" max="14323" width="41.1640625" customWidth="1"/>
    <col min="14324" max="14324" width="25.1640625" customWidth="1"/>
    <col min="14579" max="14579" width="41.1640625" customWidth="1"/>
    <col min="14580" max="14580" width="25.1640625" customWidth="1"/>
    <col min="14835" max="14835" width="41.1640625" customWidth="1"/>
    <col min="14836" max="14836" width="25.1640625" customWidth="1"/>
    <col min="15091" max="15091" width="41.1640625" customWidth="1"/>
    <col min="15092" max="15092" width="25.1640625" customWidth="1"/>
    <col min="15347" max="15347" width="41.1640625" customWidth="1"/>
    <col min="15348" max="15348" width="25.1640625" customWidth="1"/>
    <col min="15603" max="15603" width="41.1640625" customWidth="1"/>
    <col min="15604" max="15604" width="25.1640625" customWidth="1"/>
    <col min="15859" max="15859" width="41.1640625" customWidth="1"/>
    <col min="15860" max="15860" width="25.1640625" customWidth="1"/>
    <col min="16115" max="16115" width="41.1640625" customWidth="1"/>
    <col min="16116" max="16116" width="25.1640625" customWidth="1"/>
  </cols>
  <sheetData>
    <row r="1" spans="1:6" ht="18" x14ac:dyDescent="0.15">
      <c r="A1" s="1042"/>
      <c r="B1" s="1042"/>
      <c r="C1" s="1042"/>
      <c r="D1" s="1042"/>
      <c r="E1" s="656"/>
      <c r="F1" s="657"/>
    </row>
    <row r="2" spans="1:6" ht="57.75" customHeight="1" x14ac:dyDescent="0.15">
      <c r="A2" s="1042"/>
      <c r="B2" s="1042"/>
      <c r="C2" s="1042"/>
      <c r="D2" s="1042"/>
      <c r="E2" s="656"/>
      <c r="F2" s="92"/>
    </row>
    <row r="3" spans="1:6" ht="48" customHeight="1" x14ac:dyDescent="0.15">
      <c r="A3" s="1043" t="s">
        <v>836</v>
      </c>
      <c r="B3" s="1043"/>
      <c r="C3" s="1043"/>
      <c r="D3" s="1043"/>
      <c r="E3" s="656"/>
      <c r="F3" s="199"/>
    </row>
    <row r="4" spans="1:6" x14ac:dyDescent="0.15">
      <c r="A4" s="797"/>
      <c r="B4" s="797"/>
      <c r="C4" s="797"/>
      <c r="D4" s="797"/>
    </row>
    <row r="5" spans="1:6" ht="16.5" customHeight="1" x14ac:dyDescent="0.15">
      <c r="A5" s="1044" t="s">
        <v>827</v>
      </c>
      <c r="B5" s="1045"/>
      <c r="C5" s="1045"/>
      <c r="D5" s="1046"/>
      <c r="E5" s="85"/>
    </row>
    <row r="6" spans="1:6" x14ac:dyDescent="0.15">
      <c r="A6" s="797"/>
      <c r="B6" s="797"/>
      <c r="C6" s="797"/>
      <c r="D6" s="797"/>
    </row>
    <row r="7" spans="1:6" ht="15" x14ac:dyDescent="0.2">
      <c r="A7" s="1037" t="s">
        <v>828</v>
      </c>
      <c r="B7" s="1037"/>
      <c r="C7" s="1037"/>
      <c r="D7" s="1037"/>
    </row>
    <row r="8" spans="1:6" x14ac:dyDescent="0.15">
      <c r="A8" s="658"/>
      <c r="B8" s="658"/>
      <c r="C8" s="658"/>
      <c r="D8" s="658"/>
    </row>
    <row r="9" spans="1:6" x14ac:dyDescent="0.15">
      <c r="A9" s="286" t="s">
        <v>476</v>
      </c>
      <c r="B9" s="286" t="s">
        <v>475</v>
      </c>
      <c r="C9" s="286" t="s">
        <v>474</v>
      </c>
      <c r="D9" s="286" t="s">
        <v>473</v>
      </c>
    </row>
    <row r="10" spans="1:6" x14ac:dyDescent="0.15">
      <c r="A10" s="286" t="s">
        <v>185</v>
      </c>
      <c r="B10" s="286" t="s">
        <v>472</v>
      </c>
      <c r="C10" s="286"/>
      <c r="D10" s="286">
        <v>1</v>
      </c>
    </row>
    <row r="11" spans="1:6" x14ac:dyDescent="0.15">
      <c r="A11" s="286"/>
      <c r="B11" s="659"/>
      <c r="C11" s="659"/>
      <c r="D11" s="660"/>
    </row>
    <row r="12" spans="1:6" x14ac:dyDescent="0.15">
      <c r="A12" s="286" t="s">
        <v>247</v>
      </c>
      <c r="B12" s="398" t="s">
        <v>471</v>
      </c>
      <c r="C12" s="659"/>
      <c r="D12" s="357"/>
    </row>
    <row r="13" spans="1:6" x14ac:dyDescent="0.15">
      <c r="A13" s="360"/>
      <c r="B13" s="362" t="s">
        <v>470</v>
      </c>
      <c r="C13" s="361" t="s">
        <v>449</v>
      </c>
      <c r="D13" s="356">
        <v>0.11</v>
      </c>
    </row>
    <row r="14" spans="1:6" x14ac:dyDescent="0.15">
      <c r="A14" s="360"/>
      <c r="B14" s="362" t="s">
        <v>469</v>
      </c>
      <c r="C14" s="361" t="s">
        <v>449</v>
      </c>
      <c r="D14" s="356">
        <v>0.01</v>
      </c>
    </row>
    <row r="15" spans="1:6" x14ac:dyDescent="0.15">
      <c r="A15" s="360"/>
      <c r="B15" s="362" t="s">
        <v>468</v>
      </c>
      <c r="C15" s="361" t="s">
        <v>449</v>
      </c>
      <c r="D15" s="356">
        <v>8.3299999999999999E-2</v>
      </c>
    </row>
    <row r="16" spans="1:6" x14ac:dyDescent="0.15">
      <c r="A16" s="360"/>
      <c r="B16" s="362" t="s">
        <v>467</v>
      </c>
      <c r="C16" s="361" t="s">
        <v>449</v>
      </c>
      <c r="D16" s="356">
        <v>4.1700000000000001E-2</v>
      </c>
    </row>
    <row r="17" spans="1:4" x14ac:dyDescent="0.15">
      <c r="A17" s="360"/>
      <c r="B17" s="362" t="s">
        <v>829</v>
      </c>
      <c r="C17" s="361" t="s">
        <v>449</v>
      </c>
      <c r="D17" s="356">
        <v>8.5000000000000006E-2</v>
      </c>
    </row>
    <row r="18" spans="1:4" x14ac:dyDescent="0.15">
      <c r="A18" s="360"/>
      <c r="B18" s="362" t="s">
        <v>465</v>
      </c>
      <c r="C18" s="361" t="s">
        <v>449</v>
      </c>
      <c r="D18" s="356">
        <v>0.12</v>
      </c>
    </row>
    <row r="19" spans="1:4" x14ac:dyDescent="0.15">
      <c r="A19" s="360"/>
      <c r="B19" s="362" t="s">
        <v>464</v>
      </c>
      <c r="C19" s="361" t="s">
        <v>449</v>
      </c>
      <c r="D19" s="356">
        <v>6.9599999999999995E-2</v>
      </c>
    </row>
    <row r="20" spans="1:4" x14ac:dyDescent="0.15">
      <c r="A20" s="360"/>
      <c r="B20" s="362" t="s">
        <v>463</v>
      </c>
      <c r="C20" s="361" t="s">
        <v>449</v>
      </c>
      <c r="D20" s="356">
        <v>0.02</v>
      </c>
    </row>
    <row r="21" spans="1:4" x14ac:dyDescent="0.15">
      <c r="A21" s="360"/>
      <c r="B21" s="362" t="s">
        <v>462</v>
      </c>
      <c r="C21" s="361" t="s">
        <v>449</v>
      </c>
      <c r="D21" s="356">
        <v>0.03</v>
      </c>
    </row>
    <row r="22" spans="1:4" x14ac:dyDescent="0.15">
      <c r="A22" s="360"/>
      <c r="B22" s="359" t="s">
        <v>461</v>
      </c>
      <c r="C22" s="361" t="s">
        <v>449</v>
      </c>
      <c r="D22" s="356">
        <v>0.03</v>
      </c>
    </row>
    <row r="23" spans="1:4" x14ac:dyDescent="0.15">
      <c r="A23" s="360"/>
      <c r="B23" s="359" t="s">
        <v>460</v>
      </c>
      <c r="C23" s="361" t="s">
        <v>449</v>
      </c>
      <c r="D23" s="356">
        <v>5.0000000000000001E-3</v>
      </c>
    </row>
    <row r="24" spans="1:4" ht="14" x14ac:dyDescent="0.15">
      <c r="A24" s="360"/>
      <c r="B24" s="358" t="s">
        <v>830</v>
      </c>
      <c r="C24" s="361" t="s">
        <v>449</v>
      </c>
      <c r="D24" s="356">
        <v>0.03</v>
      </c>
    </row>
    <row r="25" spans="1:4" ht="14" x14ac:dyDescent="0.15">
      <c r="A25" s="360"/>
      <c r="B25" s="358" t="s">
        <v>831</v>
      </c>
      <c r="C25" s="361" t="s">
        <v>449</v>
      </c>
      <c r="D25" s="356">
        <v>0.03</v>
      </c>
    </row>
    <row r="26" spans="1:4" ht="14" x14ac:dyDescent="0.15">
      <c r="A26" s="360"/>
      <c r="B26" s="358" t="s">
        <v>832</v>
      </c>
      <c r="C26" s="361" t="s">
        <v>449</v>
      </c>
      <c r="D26" s="356">
        <v>0.01</v>
      </c>
    </row>
    <row r="27" spans="1:4" x14ac:dyDescent="0.15">
      <c r="A27" s="360"/>
      <c r="B27" s="398" t="s">
        <v>454</v>
      </c>
      <c r="C27" s="398"/>
      <c r="D27" s="355">
        <f>SUM(D13:D26)</f>
        <v>0.6746000000000002</v>
      </c>
    </row>
    <row r="28" spans="1:4" x14ac:dyDescent="0.15">
      <c r="A28" s="360"/>
      <c r="B28" s="398"/>
      <c r="C28" s="398"/>
      <c r="D28" s="661"/>
    </row>
    <row r="29" spans="1:4" x14ac:dyDescent="0.15">
      <c r="A29" s="286" t="s">
        <v>270</v>
      </c>
      <c r="B29" s="398" t="s">
        <v>833</v>
      </c>
      <c r="C29" s="659"/>
      <c r="D29" s="357"/>
    </row>
    <row r="30" spans="1:4" x14ac:dyDescent="0.15">
      <c r="A30" s="360"/>
      <c r="B30" s="362" t="s">
        <v>834</v>
      </c>
      <c r="C30" s="361" t="s">
        <v>449</v>
      </c>
      <c r="D30" s="356">
        <v>4.4600000000000001E-2</v>
      </c>
    </row>
    <row r="31" spans="1:4" x14ac:dyDescent="0.15">
      <c r="A31" s="360"/>
      <c r="B31" s="362" t="s">
        <v>455</v>
      </c>
      <c r="C31" s="361" t="s">
        <v>449</v>
      </c>
      <c r="D31" s="356">
        <v>3.5700000000000003E-2</v>
      </c>
    </row>
    <row r="32" spans="1:4" x14ac:dyDescent="0.15">
      <c r="A32" s="360"/>
      <c r="B32" s="398"/>
      <c r="C32" s="398"/>
      <c r="D32" s="661"/>
    </row>
    <row r="33" spans="1:4" x14ac:dyDescent="0.15">
      <c r="A33" s="400" t="s">
        <v>453</v>
      </c>
      <c r="B33" s="398" t="s">
        <v>835</v>
      </c>
      <c r="C33" s="398"/>
      <c r="D33" s="355">
        <f>+D10+D27+D30+D31</f>
        <v>1.7549000000000003</v>
      </c>
    </row>
    <row r="34" spans="1:4" x14ac:dyDescent="0.15">
      <c r="A34" s="660"/>
      <c r="B34" s="662"/>
      <c r="C34" s="662"/>
      <c r="D34" s="397"/>
    </row>
    <row r="35" spans="1:4" x14ac:dyDescent="0.15">
      <c r="A35" s="1038"/>
      <c r="B35" s="1039" t="s">
        <v>444</v>
      </c>
      <c r="C35" s="1040"/>
      <c r="D35" s="1041">
        <f>D33/100</f>
        <v>1.7549000000000002E-2</v>
      </c>
    </row>
    <row r="36" spans="1:4" x14ac:dyDescent="0.15">
      <c r="A36" s="1038"/>
      <c r="B36" s="1039"/>
      <c r="C36" s="1040"/>
      <c r="D36" s="1041"/>
    </row>
    <row r="37" spans="1:4" x14ac:dyDescent="0.15">
      <c r="A37" s="1038"/>
      <c r="B37" s="1039"/>
      <c r="C37" s="1040"/>
      <c r="D37" s="1041"/>
    </row>
  </sheetData>
  <mergeCells count="10">
    <mergeCell ref="A6:D6"/>
    <mergeCell ref="A1:D2"/>
    <mergeCell ref="A3:D3"/>
    <mergeCell ref="A4:D4"/>
    <mergeCell ref="A5:D5"/>
    <mergeCell ref="A7:D7"/>
    <mergeCell ref="A35:A37"/>
    <mergeCell ref="B35:B37"/>
    <mergeCell ref="C35:C37"/>
    <mergeCell ref="D35:D37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P168"/>
  <sheetViews>
    <sheetView view="pageBreakPreview" zoomScaleNormal="100" zoomScaleSheetLayoutView="100" workbookViewId="0">
      <selection activeCell="M12" sqref="M12"/>
    </sheetView>
  </sheetViews>
  <sheetFormatPr baseColWidth="10" defaultRowHeight="13" x14ac:dyDescent="0.15"/>
  <cols>
    <col min="1" max="1" width="10.5" style="539" customWidth="1"/>
    <col min="2" max="2" width="56.5" style="540" customWidth="1"/>
    <col min="3" max="3" width="1.1640625" customWidth="1"/>
    <col min="4" max="5" width="1.33203125" customWidth="1"/>
    <col min="6" max="6" width="1.1640625" customWidth="1"/>
    <col min="7" max="8" width="1.33203125" customWidth="1"/>
    <col min="9" max="9" width="1.1640625" customWidth="1"/>
    <col min="10" max="11" width="1.33203125" customWidth="1"/>
    <col min="12" max="12" width="1.1640625" customWidth="1"/>
    <col min="13" max="14" width="1.33203125" customWidth="1"/>
    <col min="15" max="15" width="1.1640625" customWidth="1"/>
    <col min="16" max="17" width="1.33203125" customWidth="1"/>
    <col min="18" max="18" width="1.1640625" customWidth="1"/>
    <col min="19" max="20" width="1.33203125" customWidth="1"/>
    <col min="21" max="21" width="1.1640625" customWidth="1"/>
    <col min="22" max="23" width="1.33203125" customWidth="1"/>
    <col min="24" max="24" width="1.1640625" customWidth="1"/>
    <col min="25" max="27" width="1.33203125" customWidth="1"/>
    <col min="28" max="28" width="1.1640625" customWidth="1"/>
    <col min="29" max="30" width="1.33203125" customWidth="1"/>
    <col min="31" max="31" width="1.1640625" customWidth="1"/>
    <col min="32" max="33" width="1.33203125" customWidth="1"/>
    <col min="34" max="34" width="1.1640625" customWidth="1"/>
    <col min="35" max="36" width="1.33203125" customWidth="1"/>
    <col min="37" max="37" width="1.1640625" customWidth="1"/>
    <col min="38" max="39" width="1.33203125" customWidth="1"/>
    <col min="40" max="40" width="1.1640625" customWidth="1"/>
    <col min="41" max="42" width="1.33203125" customWidth="1"/>
    <col min="43" max="43" width="1.1640625" customWidth="1"/>
    <col min="44" max="45" width="1.33203125" customWidth="1"/>
    <col min="46" max="46" width="1.1640625" customWidth="1"/>
    <col min="47" max="48" width="1.33203125" customWidth="1"/>
    <col min="49" max="49" width="1.1640625" customWidth="1"/>
    <col min="50" max="51" width="1.33203125" customWidth="1"/>
    <col min="52" max="52" width="1.1640625" customWidth="1"/>
    <col min="53" max="54" width="1.33203125" customWidth="1"/>
    <col min="55" max="55" width="1.1640625" customWidth="1"/>
    <col min="56" max="57" width="1.33203125" customWidth="1"/>
    <col min="58" max="58" width="1.1640625" customWidth="1"/>
    <col min="59" max="60" width="1.33203125" customWidth="1"/>
    <col min="61" max="61" width="1.1640625" customWidth="1"/>
    <col min="62" max="63" width="1.33203125" customWidth="1"/>
    <col min="64" max="64" width="1.1640625" customWidth="1"/>
    <col min="65" max="66" width="1.33203125" customWidth="1"/>
    <col min="67" max="67" width="1.1640625" customWidth="1"/>
    <col min="68" max="69" width="1.33203125" customWidth="1"/>
    <col min="70" max="70" width="1.1640625" customWidth="1"/>
    <col min="71" max="72" width="1.33203125" customWidth="1"/>
    <col min="73" max="73" width="1.1640625" customWidth="1"/>
    <col min="74" max="74" width="1.33203125" customWidth="1"/>
    <col min="75" max="75" width="1.1640625" customWidth="1"/>
    <col min="76" max="77" width="1.33203125" customWidth="1"/>
    <col min="78" max="78" width="1.1640625" customWidth="1"/>
    <col min="79" max="80" width="1.33203125" customWidth="1"/>
    <col min="81" max="81" width="1.1640625" customWidth="1"/>
    <col min="82" max="83" width="1.33203125" customWidth="1"/>
    <col min="84" max="84" width="1.1640625" customWidth="1"/>
    <col min="85" max="86" width="1.33203125" customWidth="1"/>
    <col min="87" max="87" width="1.1640625" customWidth="1"/>
    <col min="88" max="89" width="1.33203125" customWidth="1"/>
    <col min="90" max="90" width="1.1640625" customWidth="1"/>
    <col min="91" max="92" width="1.33203125" customWidth="1"/>
    <col min="93" max="93" width="1.1640625" customWidth="1"/>
    <col min="94" max="95" width="1.33203125" customWidth="1"/>
    <col min="96" max="96" width="1.1640625" customWidth="1"/>
    <col min="97" max="99" width="1.33203125" customWidth="1"/>
    <col min="100" max="100" width="1.1640625" customWidth="1"/>
    <col min="101" max="102" width="1.33203125" customWidth="1"/>
    <col min="103" max="103" width="1.1640625" customWidth="1"/>
    <col min="104" max="105" width="1.33203125" customWidth="1"/>
    <col min="106" max="106" width="1.1640625" customWidth="1"/>
    <col min="107" max="108" width="1.33203125" customWidth="1"/>
    <col min="109" max="109" width="1.1640625" customWidth="1"/>
    <col min="110" max="111" width="1.33203125" customWidth="1"/>
    <col min="112" max="112" width="1.1640625" customWidth="1"/>
    <col min="113" max="114" width="1.33203125" customWidth="1"/>
    <col min="115" max="115" width="1.1640625" customWidth="1"/>
    <col min="116" max="117" width="1.33203125" customWidth="1"/>
    <col min="118" max="118" width="1.1640625" customWidth="1"/>
    <col min="119" max="120" width="1.33203125" customWidth="1"/>
    <col min="121" max="121" width="1.1640625" customWidth="1"/>
    <col min="122" max="123" width="1.33203125" customWidth="1"/>
    <col min="124" max="124" width="1.1640625" customWidth="1"/>
    <col min="125" max="126" width="1.33203125" customWidth="1"/>
    <col min="127" max="127" width="1.1640625" customWidth="1"/>
    <col min="128" max="129" width="1.33203125" customWidth="1"/>
    <col min="130" max="130" width="1.1640625" customWidth="1"/>
    <col min="131" max="132" width="1.33203125" customWidth="1"/>
    <col min="133" max="133" width="1.1640625" customWidth="1"/>
    <col min="134" max="135" width="1.33203125" customWidth="1"/>
    <col min="136" max="136" width="1.1640625" customWidth="1"/>
    <col min="137" max="138" width="1.33203125" customWidth="1"/>
    <col min="139" max="139" width="1.1640625" customWidth="1"/>
    <col min="140" max="141" width="1.33203125" customWidth="1"/>
    <col min="142" max="142" width="1.1640625" customWidth="1"/>
    <col min="143" max="144" width="1.33203125" customWidth="1"/>
    <col min="145" max="145" width="1.1640625" customWidth="1"/>
    <col min="146" max="146" width="1.33203125" customWidth="1"/>
  </cols>
  <sheetData>
    <row r="1" spans="1:146" ht="82.5" customHeight="1" x14ac:dyDescent="0.15">
      <c r="A1" s="1062"/>
      <c r="B1" s="1063"/>
      <c r="C1" s="1063"/>
      <c r="D1" s="1063"/>
      <c r="E1" s="1063"/>
      <c r="F1" s="1063"/>
      <c r="G1" s="1063"/>
      <c r="H1" s="1063"/>
      <c r="I1" s="1063"/>
      <c r="J1" s="1063"/>
      <c r="K1" s="1063"/>
      <c r="L1" s="1063"/>
      <c r="M1" s="1063"/>
      <c r="N1" s="1063"/>
      <c r="O1" s="1063"/>
      <c r="P1" s="1063"/>
      <c r="Q1" s="1063"/>
      <c r="R1" s="1063"/>
      <c r="S1" s="1063"/>
      <c r="T1" s="1063"/>
      <c r="U1" s="1063"/>
      <c r="V1" s="1063"/>
      <c r="W1" s="1063"/>
      <c r="X1" s="1063"/>
      <c r="Y1" s="1063"/>
      <c r="Z1" s="1063"/>
      <c r="AA1" s="1063"/>
      <c r="AB1" s="1063"/>
      <c r="AC1" s="1063"/>
      <c r="AD1" s="1063"/>
      <c r="AE1" s="1063"/>
      <c r="AF1" s="1063"/>
      <c r="AG1" s="1063"/>
      <c r="AH1" s="1063"/>
      <c r="AI1" s="1063"/>
      <c r="AJ1" s="1063"/>
      <c r="AK1" s="1063"/>
      <c r="AL1" s="1063"/>
      <c r="AM1" s="1063"/>
      <c r="AN1" s="1063"/>
      <c r="AO1" s="1063"/>
      <c r="AP1" s="1063"/>
      <c r="AQ1" s="1063"/>
      <c r="AR1" s="1063"/>
      <c r="AS1" s="1063"/>
      <c r="AT1" s="1063"/>
      <c r="AU1" s="1063"/>
      <c r="AV1" s="1063"/>
      <c r="AW1" s="1063"/>
      <c r="AX1" s="1063"/>
      <c r="AY1" s="1063"/>
      <c r="AZ1" s="1063"/>
      <c r="BA1" s="1063"/>
      <c r="BB1" s="1063"/>
      <c r="BC1" s="1063"/>
      <c r="BD1" s="1063"/>
      <c r="BE1" s="1063"/>
      <c r="BF1" s="1063"/>
      <c r="BG1" s="1063"/>
      <c r="BH1" s="1063"/>
      <c r="BI1" s="1063"/>
      <c r="BJ1" s="1063"/>
      <c r="BK1" s="1063"/>
      <c r="BL1" s="1063"/>
      <c r="BM1" s="1063"/>
      <c r="BN1" s="1063"/>
      <c r="BO1" s="1063"/>
      <c r="BP1" s="1063"/>
      <c r="BQ1" s="1063"/>
      <c r="BR1" s="1063"/>
      <c r="BS1" s="1063"/>
      <c r="BT1" s="1063"/>
      <c r="BU1" s="1063"/>
      <c r="BV1" s="1063"/>
      <c r="BW1" s="1063"/>
      <c r="BX1" s="1063"/>
      <c r="BY1" s="1063"/>
      <c r="BZ1" s="1063"/>
      <c r="CA1" s="1063"/>
      <c r="CB1" s="1063"/>
      <c r="CC1" s="1063"/>
      <c r="CD1" s="1063"/>
      <c r="CE1" s="1063"/>
      <c r="CF1" s="1063"/>
      <c r="CG1" s="1063"/>
      <c r="CH1" s="1063"/>
      <c r="CI1" s="1063"/>
      <c r="CJ1" s="1063"/>
      <c r="CK1" s="1063"/>
      <c r="CL1" s="1063"/>
      <c r="CM1" s="1063"/>
      <c r="CN1" s="1063"/>
      <c r="CO1" s="1063"/>
      <c r="CP1" s="1063"/>
      <c r="CQ1" s="1063"/>
      <c r="CR1" s="1063"/>
      <c r="CS1" s="1063"/>
      <c r="CT1" s="1063"/>
      <c r="CU1" s="1063"/>
      <c r="CV1" s="1063"/>
      <c r="CW1" s="1063"/>
      <c r="CX1" s="1063"/>
      <c r="CY1" s="1063"/>
      <c r="CZ1" s="1063"/>
      <c r="DA1" s="1063"/>
      <c r="DB1" s="1063"/>
      <c r="DC1" s="1063"/>
      <c r="DD1" s="1063"/>
      <c r="DE1" s="1063"/>
      <c r="DF1" s="1063"/>
      <c r="DG1" s="1063"/>
      <c r="DH1" s="1063"/>
      <c r="DI1" s="1063"/>
      <c r="DJ1" s="1063"/>
      <c r="DK1" s="1063"/>
      <c r="DL1" s="1063"/>
      <c r="DM1" s="1063"/>
      <c r="DN1" s="1063"/>
      <c r="DO1" s="1063"/>
      <c r="DP1" s="1063"/>
      <c r="DQ1" s="1063"/>
      <c r="DR1" s="1063"/>
      <c r="DS1" s="1063"/>
      <c r="DT1" s="1063"/>
      <c r="DU1" s="1063"/>
      <c r="DV1" s="1063"/>
      <c r="DW1" s="1063"/>
      <c r="DX1" s="1063"/>
      <c r="DY1" s="1063"/>
      <c r="DZ1" s="1063"/>
      <c r="EA1" s="1063"/>
      <c r="EB1" s="1063"/>
      <c r="EC1" s="1063"/>
      <c r="ED1" s="1063"/>
      <c r="EE1" s="1063"/>
      <c r="EF1" s="1063"/>
      <c r="EG1" s="1063"/>
      <c r="EH1" s="1063"/>
      <c r="EI1" s="1063"/>
      <c r="EJ1" s="1063"/>
      <c r="EK1" s="1063"/>
      <c r="EL1" s="1063"/>
      <c r="EM1" s="1063"/>
      <c r="EN1" s="1063"/>
      <c r="EO1" s="1063"/>
      <c r="EP1" s="1064"/>
    </row>
    <row r="2" spans="1:146" ht="24" customHeight="1" x14ac:dyDescent="0.15">
      <c r="A2" s="1065" t="s">
        <v>529</v>
      </c>
      <c r="B2" s="1066"/>
      <c r="C2" s="1066"/>
      <c r="D2" s="1066"/>
      <c r="E2" s="1066"/>
      <c r="F2" s="1066"/>
      <c r="G2" s="1066"/>
      <c r="H2" s="1066"/>
      <c r="I2" s="1066"/>
      <c r="J2" s="1066"/>
      <c r="K2" s="1066"/>
      <c r="L2" s="1066"/>
      <c r="M2" s="1066"/>
      <c r="N2" s="1066"/>
      <c r="O2" s="1066"/>
      <c r="P2" s="1066"/>
      <c r="Q2" s="1066"/>
      <c r="R2" s="1066"/>
      <c r="S2" s="1066"/>
      <c r="T2" s="1066"/>
      <c r="U2" s="1066"/>
      <c r="V2" s="1066"/>
      <c r="W2" s="1066"/>
      <c r="X2" s="1066"/>
      <c r="Y2" s="1066"/>
      <c r="Z2" s="1066"/>
      <c r="AA2" s="1066"/>
      <c r="AB2" s="1066"/>
      <c r="AC2" s="1066"/>
      <c r="AD2" s="1066"/>
      <c r="AE2" s="1066"/>
      <c r="AF2" s="1066"/>
      <c r="AG2" s="1066"/>
      <c r="AH2" s="1066"/>
      <c r="AI2" s="1066"/>
      <c r="AJ2" s="1066"/>
      <c r="AK2" s="1066"/>
      <c r="AL2" s="1066"/>
      <c r="AM2" s="1066"/>
      <c r="AN2" s="1066"/>
      <c r="AO2" s="1066"/>
      <c r="AP2" s="1066"/>
      <c r="AQ2" s="1066"/>
      <c r="AR2" s="1066"/>
      <c r="AS2" s="1066"/>
      <c r="AT2" s="1066"/>
      <c r="AU2" s="1066"/>
      <c r="AV2" s="1066"/>
      <c r="AW2" s="1066"/>
      <c r="AX2" s="1066"/>
      <c r="AY2" s="1066"/>
      <c r="AZ2" s="1066"/>
      <c r="BA2" s="1066"/>
      <c r="BB2" s="1066"/>
      <c r="BC2" s="1066"/>
      <c r="BD2" s="1066"/>
      <c r="BE2" s="1066"/>
      <c r="BF2" s="1066"/>
      <c r="BG2" s="1066"/>
      <c r="BH2" s="1066"/>
      <c r="BI2" s="1066"/>
      <c r="BJ2" s="1066"/>
      <c r="BK2" s="1066"/>
      <c r="BL2" s="1066"/>
      <c r="BM2" s="1066"/>
      <c r="BN2" s="1066"/>
      <c r="BO2" s="1066"/>
      <c r="BP2" s="1066"/>
      <c r="BQ2" s="1066"/>
      <c r="BR2" s="1066"/>
      <c r="BS2" s="1066"/>
      <c r="BT2" s="1066"/>
      <c r="BU2" s="1066"/>
      <c r="BV2" s="1066"/>
      <c r="BW2" s="1066"/>
      <c r="BX2" s="1066"/>
      <c r="BY2" s="1066"/>
      <c r="BZ2" s="1066"/>
      <c r="CA2" s="1066"/>
      <c r="CB2" s="1066"/>
      <c r="CC2" s="1066"/>
      <c r="CD2" s="1066"/>
      <c r="CE2" s="1066"/>
      <c r="CF2" s="1066"/>
      <c r="CG2" s="1066"/>
      <c r="CH2" s="1066"/>
      <c r="CI2" s="1066"/>
      <c r="CJ2" s="1066"/>
      <c r="CK2" s="1066"/>
      <c r="CL2" s="1066"/>
      <c r="CM2" s="1066"/>
      <c r="CN2" s="1066"/>
      <c r="CO2" s="1066"/>
      <c r="CP2" s="1066"/>
      <c r="CQ2" s="1066"/>
      <c r="CR2" s="1066"/>
      <c r="CS2" s="1066"/>
      <c r="CT2" s="1066"/>
      <c r="CU2" s="1066"/>
      <c r="CV2" s="1066"/>
      <c r="CW2" s="1066"/>
      <c r="CX2" s="1066"/>
      <c r="CY2" s="1066"/>
      <c r="CZ2" s="1066"/>
      <c r="DA2" s="1066"/>
      <c r="DB2" s="1066"/>
      <c r="DC2" s="1066"/>
      <c r="DD2" s="1066"/>
      <c r="DE2" s="1066"/>
      <c r="DF2" s="1066"/>
      <c r="DG2" s="1066"/>
      <c r="DH2" s="1066"/>
      <c r="DI2" s="1066"/>
      <c r="DJ2" s="1066"/>
      <c r="DK2" s="1066"/>
      <c r="DL2" s="1066"/>
      <c r="DM2" s="1066"/>
      <c r="DN2" s="1066"/>
      <c r="DO2" s="1066"/>
      <c r="DP2" s="1066"/>
      <c r="DQ2" s="1066"/>
      <c r="DR2" s="1066"/>
      <c r="DS2" s="1066"/>
      <c r="DT2" s="1066"/>
      <c r="DU2" s="1066"/>
      <c r="DV2" s="1066"/>
      <c r="DW2" s="1066"/>
      <c r="DX2" s="1066"/>
      <c r="DY2" s="1066"/>
      <c r="DZ2" s="1066"/>
      <c r="EA2" s="1066"/>
      <c r="EB2" s="1066"/>
      <c r="EC2" s="1066"/>
      <c r="ED2" s="1066"/>
      <c r="EE2" s="1066"/>
      <c r="EF2" s="1066"/>
      <c r="EG2" s="1066"/>
      <c r="EH2" s="1066"/>
      <c r="EI2" s="1066"/>
      <c r="EJ2" s="1066"/>
      <c r="EK2" s="1066"/>
      <c r="EL2" s="1066"/>
      <c r="EM2" s="1066"/>
      <c r="EN2" s="1066"/>
      <c r="EO2" s="1066"/>
      <c r="EP2" s="1067"/>
    </row>
    <row r="3" spans="1:146" ht="39.75" customHeight="1" x14ac:dyDescent="0.15">
      <c r="A3" s="970" t="s">
        <v>660</v>
      </c>
      <c r="B3" s="1068"/>
      <c r="C3" s="1068"/>
      <c r="D3" s="1068"/>
      <c r="E3" s="1068"/>
      <c r="F3" s="1068"/>
      <c r="G3" s="1068"/>
      <c r="H3" s="1068"/>
      <c r="I3" s="1068"/>
      <c r="J3" s="1068"/>
      <c r="K3" s="1068"/>
      <c r="L3" s="1068"/>
      <c r="M3" s="1068"/>
      <c r="N3" s="1068"/>
      <c r="O3" s="1068"/>
      <c r="P3" s="1068"/>
      <c r="Q3" s="1068"/>
      <c r="R3" s="1068"/>
      <c r="S3" s="1068"/>
      <c r="T3" s="1068"/>
      <c r="U3" s="1068"/>
      <c r="V3" s="1068"/>
      <c r="W3" s="1068"/>
      <c r="X3" s="1068"/>
      <c r="Y3" s="1068"/>
      <c r="Z3" s="1068"/>
      <c r="AA3" s="1068"/>
      <c r="AB3" s="1068"/>
      <c r="AC3" s="1068"/>
      <c r="AD3" s="1068"/>
      <c r="AE3" s="1068"/>
      <c r="AF3" s="1068"/>
      <c r="AG3" s="1068"/>
      <c r="AH3" s="1068"/>
      <c r="AI3" s="1068"/>
      <c r="AJ3" s="1068"/>
      <c r="AK3" s="1068"/>
      <c r="AL3" s="1068"/>
      <c r="AM3" s="1068"/>
      <c r="AN3" s="1068"/>
      <c r="AO3" s="1068"/>
      <c r="AP3" s="1068"/>
      <c r="AQ3" s="1068"/>
      <c r="AR3" s="1068"/>
      <c r="AS3" s="1068"/>
      <c r="AT3" s="1068"/>
      <c r="AU3" s="1068"/>
      <c r="AV3" s="1068"/>
      <c r="AW3" s="1068"/>
      <c r="AX3" s="1068"/>
      <c r="AY3" s="1068"/>
      <c r="AZ3" s="1068"/>
      <c r="BA3" s="1068"/>
      <c r="BB3" s="1068"/>
      <c r="BC3" s="1068"/>
      <c r="BD3" s="1068"/>
      <c r="BE3" s="1068"/>
      <c r="BF3" s="1068"/>
      <c r="BG3" s="1068"/>
      <c r="BH3" s="1068"/>
      <c r="BI3" s="1068"/>
      <c r="BJ3" s="1068"/>
      <c r="BK3" s="1068"/>
      <c r="BL3" s="1068"/>
      <c r="BM3" s="1068"/>
      <c r="BN3" s="1068"/>
      <c r="BO3" s="1068"/>
      <c r="BP3" s="1068"/>
      <c r="BQ3" s="1068"/>
      <c r="BR3" s="1068"/>
      <c r="BS3" s="1068"/>
      <c r="BT3" s="1068"/>
      <c r="BU3" s="1068"/>
      <c r="BV3" s="1068"/>
      <c r="BW3" s="1068"/>
      <c r="BX3" s="1068"/>
      <c r="BY3" s="1068"/>
      <c r="BZ3" s="1068"/>
      <c r="CA3" s="1068"/>
      <c r="CB3" s="1068"/>
      <c r="CC3" s="1068"/>
      <c r="CD3" s="1068"/>
      <c r="CE3" s="1068"/>
      <c r="CF3" s="1068"/>
      <c r="CG3" s="1068"/>
      <c r="CH3" s="1068"/>
      <c r="CI3" s="1068"/>
      <c r="CJ3" s="1068"/>
      <c r="CK3" s="1068"/>
      <c r="CL3" s="1068"/>
      <c r="CM3" s="1068"/>
      <c r="CN3" s="1068"/>
      <c r="CO3" s="1068"/>
      <c r="CP3" s="1068"/>
      <c r="CQ3" s="1068"/>
      <c r="CR3" s="1068"/>
      <c r="CS3" s="1068"/>
      <c r="CT3" s="1068"/>
      <c r="CU3" s="1068"/>
      <c r="CV3" s="1068"/>
      <c r="CW3" s="1068"/>
      <c r="CX3" s="1068"/>
      <c r="CY3" s="1068"/>
      <c r="CZ3" s="1068"/>
      <c r="DA3" s="1068"/>
      <c r="DB3" s="1068"/>
      <c r="DC3" s="1068"/>
      <c r="DD3" s="1068"/>
      <c r="DE3" s="1068"/>
      <c r="DF3" s="1068"/>
      <c r="DG3" s="1068"/>
      <c r="DH3" s="1068"/>
      <c r="DI3" s="1068"/>
      <c r="DJ3" s="1068"/>
      <c r="DK3" s="1068"/>
      <c r="DL3" s="1068"/>
      <c r="DM3" s="1068"/>
      <c r="DN3" s="1068"/>
      <c r="DO3" s="1068"/>
      <c r="DP3" s="1068"/>
      <c r="DQ3" s="1068"/>
      <c r="DR3" s="1068"/>
      <c r="DS3" s="1068"/>
      <c r="DT3" s="1068"/>
      <c r="DU3" s="1068"/>
      <c r="DV3" s="1068"/>
      <c r="DW3" s="1068"/>
      <c r="DX3" s="1068"/>
      <c r="DY3" s="1068"/>
      <c r="DZ3" s="1068"/>
      <c r="EA3" s="1068"/>
      <c r="EB3" s="1068"/>
      <c r="EC3" s="1068"/>
      <c r="ED3" s="1068"/>
      <c r="EE3" s="1068"/>
      <c r="EF3" s="1068"/>
      <c r="EG3" s="1068"/>
      <c r="EH3" s="1068"/>
      <c r="EI3" s="1068"/>
      <c r="EJ3" s="1068"/>
      <c r="EK3" s="1068"/>
      <c r="EL3" s="1068"/>
      <c r="EM3" s="1068"/>
      <c r="EN3" s="1068"/>
      <c r="EO3" s="1068"/>
      <c r="EP3" s="971"/>
    </row>
    <row r="4" spans="1:146" ht="18" customHeight="1" thickBot="1" x14ac:dyDescent="0.2">
      <c r="A4" s="1069" t="s">
        <v>742</v>
      </c>
      <c r="B4" s="1070"/>
      <c r="C4" s="1070"/>
      <c r="D4" s="1070"/>
      <c r="E4" s="1070"/>
      <c r="F4" s="1070"/>
      <c r="G4" s="1070"/>
      <c r="H4" s="1070"/>
      <c r="I4" s="1070"/>
      <c r="J4" s="1070"/>
      <c r="K4" s="1070"/>
      <c r="L4" s="1070"/>
      <c r="M4" s="1070"/>
      <c r="N4" s="1070"/>
      <c r="O4" s="1070"/>
      <c r="P4" s="1070"/>
      <c r="Q4" s="1070"/>
      <c r="R4" s="1070"/>
      <c r="S4" s="1070"/>
      <c r="T4" s="1070"/>
      <c r="U4" s="1070"/>
      <c r="V4" s="1070"/>
      <c r="W4" s="1070"/>
      <c r="X4" s="1070"/>
      <c r="Y4" s="1070"/>
      <c r="Z4" s="1070"/>
      <c r="AA4" s="1070"/>
      <c r="AB4" s="1070"/>
      <c r="AC4" s="1070"/>
      <c r="AD4" s="1070"/>
      <c r="AE4" s="1070"/>
      <c r="AF4" s="1070"/>
      <c r="AG4" s="1070"/>
      <c r="AH4" s="1070"/>
      <c r="AI4" s="1070"/>
      <c r="AJ4" s="1070"/>
      <c r="AK4" s="1070"/>
      <c r="AL4" s="1070"/>
      <c r="AM4" s="1070"/>
      <c r="AN4" s="1070"/>
      <c r="AO4" s="1070"/>
      <c r="AP4" s="1070"/>
      <c r="AQ4" s="1070"/>
      <c r="AR4" s="1070"/>
      <c r="AS4" s="1070"/>
      <c r="AT4" s="1070"/>
      <c r="AU4" s="1070"/>
      <c r="AV4" s="1070"/>
      <c r="AW4" s="1070"/>
      <c r="AX4" s="1070"/>
      <c r="AY4" s="1070"/>
      <c r="AZ4" s="1070"/>
      <c r="BA4" s="1070"/>
      <c r="BB4" s="1070"/>
      <c r="BC4" s="1070"/>
      <c r="BD4" s="1070"/>
      <c r="BE4" s="1070"/>
      <c r="BF4" s="1070"/>
      <c r="BG4" s="1070"/>
      <c r="BH4" s="1070"/>
      <c r="BI4" s="1070"/>
      <c r="BJ4" s="1070"/>
      <c r="BK4" s="1070"/>
      <c r="BL4" s="1070"/>
      <c r="BM4" s="1070"/>
      <c r="BN4" s="1070"/>
      <c r="BO4" s="1070"/>
      <c r="BP4" s="1070"/>
      <c r="BQ4" s="1070"/>
      <c r="BR4" s="1070"/>
      <c r="BS4" s="1070"/>
      <c r="BT4" s="1070"/>
      <c r="BU4" s="1070"/>
      <c r="BV4" s="1070"/>
      <c r="BW4" s="1070"/>
      <c r="BX4" s="1070"/>
      <c r="BY4" s="1070"/>
      <c r="BZ4" s="1070"/>
      <c r="CA4" s="1070"/>
      <c r="CB4" s="1070"/>
      <c r="CC4" s="1070"/>
      <c r="CD4" s="1070"/>
      <c r="CE4" s="1070"/>
      <c r="CF4" s="1070"/>
      <c r="CG4" s="1070"/>
      <c r="CH4" s="1070"/>
      <c r="CI4" s="1070"/>
      <c r="CJ4" s="1070"/>
      <c r="CK4" s="1070"/>
      <c r="CL4" s="1070"/>
      <c r="CM4" s="1070"/>
      <c r="CN4" s="1070"/>
      <c r="CO4" s="1070"/>
      <c r="CP4" s="1070"/>
      <c r="CQ4" s="1070"/>
      <c r="CR4" s="1070"/>
      <c r="CS4" s="1070"/>
      <c r="CT4" s="1070"/>
      <c r="CU4" s="1070"/>
      <c r="CV4" s="1070"/>
      <c r="CW4" s="1070"/>
      <c r="CX4" s="1070"/>
      <c r="CY4" s="1070"/>
      <c r="CZ4" s="1070"/>
      <c r="DA4" s="1070"/>
      <c r="DB4" s="1070"/>
      <c r="DC4" s="1070"/>
      <c r="DD4" s="1070"/>
      <c r="DE4" s="1070"/>
      <c r="DF4" s="1070"/>
      <c r="DG4" s="1070"/>
      <c r="DH4" s="1070"/>
      <c r="DI4" s="1070"/>
      <c r="DJ4" s="1070"/>
      <c r="DK4" s="1070"/>
      <c r="DL4" s="1070"/>
      <c r="DM4" s="1070"/>
      <c r="DN4" s="1070"/>
      <c r="DO4" s="1070"/>
      <c r="DP4" s="1070"/>
      <c r="DQ4" s="1070"/>
      <c r="DR4" s="1070"/>
      <c r="DS4" s="1070"/>
      <c r="DT4" s="1070"/>
      <c r="DU4" s="1070"/>
      <c r="DV4" s="1070"/>
      <c r="DW4" s="1070"/>
      <c r="DX4" s="1070"/>
      <c r="DY4" s="1070"/>
      <c r="DZ4" s="1070"/>
      <c r="EA4" s="1070"/>
      <c r="EB4" s="1070"/>
      <c r="EC4" s="1070"/>
      <c r="ED4" s="1070"/>
      <c r="EE4" s="1070"/>
      <c r="EF4" s="1070"/>
      <c r="EG4" s="1070"/>
      <c r="EH4" s="1070"/>
      <c r="EI4" s="1070"/>
      <c r="EJ4" s="1070"/>
      <c r="EK4" s="1070"/>
      <c r="EL4" s="1070"/>
      <c r="EM4" s="1070"/>
      <c r="EN4" s="1070"/>
      <c r="EO4" s="1070"/>
      <c r="EP4" s="1071"/>
    </row>
    <row r="5" spans="1:146" ht="9" customHeight="1" x14ac:dyDescent="0.15">
      <c r="A5" s="1072"/>
      <c r="B5" s="1073"/>
      <c r="C5" s="1074"/>
      <c r="D5" s="1074"/>
      <c r="E5" s="1074"/>
      <c r="F5" s="1074"/>
      <c r="G5" s="1074"/>
      <c r="H5" s="1074"/>
      <c r="I5" s="1074"/>
      <c r="J5" s="1074"/>
      <c r="K5" s="1074"/>
      <c r="L5" s="1074"/>
      <c r="M5" s="1074"/>
      <c r="N5" s="1074"/>
      <c r="O5" s="1074"/>
      <c r="P5" s="1074"/>
      <c r="Q5" s="1074"/>
      <c r="R5" s="1074"/>
      <c r="S5" s="1074"/>
      <c r="T5" s="1074"/>
      <c r="U5" s="1074"/>
      <c r="V5" s="1074"/>
      <c r="W5" s="1074"/>
      <c r="X5" s="1074"/>
      <c r="Y5" s="1074"/>
      <c r="Z5" s="1074"/>
      <c r="AA5" s="1074"/>
      <c r="AB5" s="1074"/>
      <c r="AC5" s="1074"/>
      <c r="AD5" s="1074"/>
      <c r="AE5" s="1074"/>
      <c r="AF5" s="1074"/>
      <c r="AG5" s="1074"/>
      <c r="AH5" s="1074"/>
      <c r="AI5" s="1074"/>
      <c r="AJ5" s="1074"/>
      <c r="AK5" s="1074"/>
      <c r="AL5" s="1074"/>
      <c r="AM5" s="1074"/>
      <c r="AN5" s="1074"/>
      <c r="AO5" s="1074"/>
      <c r="AP5" s="1074"/>
      <c r="AQ5" s="1074"/>
      <c r="AR5" s="1074"/>
      <c r="AS5" s="1074"/>
      <c r="AT5" s="1074"/>
      <c r="AU5" s="1074"/>
      <c r="AV5" s="1074"/>
      <c r="AW5" s="1074"/>
      <c r="AX5" s="1074"/>
      <c r="AY5" s="1074"/>
      <c r="AZ5" s="1074"/>
      <c r="BA5" s="1074"/>
      <c r="BB5" s="1074"/>
      <c r="BC5" s="1074"/>
      <c r="BD5" s="1074"/>
      <c r="BE5" s="1074"/>
      <c r="BF5" s="1074"/>
      <c r="BG5" s="1074"/>
      <c r="BH5" s="1074"/>
      <c r="BI5" s="1074"/>
      <c r="BJ5" s="1074"/>
      <c r="BK5" s="1074"/>
      <c r="BL5" s="1074"/>
      <c r="BM5" s="1074"/>
      <c r="BN5" s="1074"/>
      <c r="BO5" s="1074"/>
      <c r="BP5" s="1074"/>
      <c r="BQ5" s="1074"/>
      <c r="BR5" s="1074"/>
      <c r="BS5" s="1074"/>
      <c r="BT5" s="1074"/>
      <c r="BU5" s="1074"/>
      <c r="BV5" s="1074"/>
      <c r="BW5" s="1074"/>
      <c r="BX5" s="1074"/>
      <c r="BY5" s="1074"/>
      <c r="BZ5" s="1074"/>
      <c r="CA5" s="1074"/>
      <c r="CB5" s="1074"/>
      <c r="CC5" s="1074"/>
      <c r="CD5" s="1074"/>
      <c r="CE5" s="1074"/>
      <c r="CF5" s="1074"/>
      <c r="CG5" s="1074"/>
      <c r="CH5" s="1074"/>
      <c r="CI5" s="1074"/>
      <c r="CJ5" s="1074"/>
      <c r="CK5" s="1074"/>
      <c r="CL5" s="1074"/>
      <c r="CM5" s="1074"/>
      <c r="CN5" s="1074"/>
      <c r="CO5" s="1074"/>
      <c r="CP5" s="1074"/>
      <c r="CQ5" s="1074"/>
      <c r="CR5" s="1074"/>
      <c r="CS5" s="1074"/>
      <c r="CT5" s="1074"/>
      <c r="CU5" s="1074"/>
      <c r="CV5" s="1074"/>
      <c r="CW5" s="1074"/>
      <c r="CX5" s="1074"/>
      <c r="CY5" s="1074"/>
      <c r="CZ5" s="1074"/>
      <c r="DA5" s="1074"/>
      <c r="DB5" s="1074"/>
      <c r="DC5" s="1074"/>
      <c r="DD5" s="1074"/>
      <c r="DE5" s="1074"/>
      <c r="DF5" s="1074"/>
      <c r="DG5" s="1074"/>
      <c r="DH5" s="1074"/>
      <c r="DI5" s="1074"/>
      <c r="DJ5" s="1074"/>
      <c r="DK5" s="1074"/>
      <c r="DL5" s="1074"/>
      <c r="DM5" s="1074"/>
      <c r="DN5" s="1074"/>
      <c r="DO5" s="1074"/>
      <c r="DP5" s="1074"/>
      <c r="DQ5" s="1074"/>
      <c r="DR5" s="1074"/>
      <c r="DS5" s="1074"/>
      <c r="DT5" s="1074"/>
      <c r="DU5" s="1074"/>
      <c r="DV5" s="1074"/>
      <c r="DW5" s="1074"/>
      <c r="DX5" s="1074"/>
      <c r="DY5" s="1074"/>
      <c r="DZ5" s="1074"/>
      <c r="EA5" s="1074"/>
      <c r="EB5" s="1074"/>
      <c r="EC5" s="1074"/>
      <c r="ED5" s="1074"/>
      <c r="EE5" s="1074"/>
      <c r="EF5" s="1074"/>
      <c r="EG5" s="1074"/>
      <c r="EH5" s="1074"/>
      <c r="EI5" s="1074"/>
      <c r="EJ5" s="1074"/>
      <c r="EK5" s="1074"/>
      <c r="EL5" s="1074"/>
      <c r="EM5" s="1074"/>
      <c r="EN5" s="1074"/>
      <c r="EO5" s="1074"/>
      <c r="EP5" s="1075"/>
    </row>
    <row r="6" spans="1:146" s="12" customFormat="1" ht="21.75" customHeight="1" thickBot="1" x14ac:dyDescent="0.2">
      <c r="A6" s="488">
        <v>1</v>
      </c>
      <c r="B6" s="1058" t="s">
        <v>12</v>
      </c>
      <c r="C6" s="1058"/>
      <c r="D6" s="1058"/>
      <c r="E6" s="1058"/>
      <c r="F6" s="1058"/>
      <c r="G6" s="1058"/>
      <c r="H6" s="1058"/>
      <c r="I6" s="1058"/>
      <c r="J6" s="1058"/>
      <c r="K6" s="1058"/>
      <c r="L6" s="1058"/>
      <c r="M6" s="1058"/>
      <c r="N6" s="1058"/>
      <c r="O6" s="1058"/>
      <c r="P6" s="1058"/>
      <c r="Q6" s="1058"/>
      <c r="R6" s="1058"/>
      <c r="S6" s="1058"/>
      <c r="T6" s="1058"/>
      <c r="U6" s="1058"/>
      <c r="V6" s="1058"/>
      <c r="W6" s="1058"/>
      <c r="X6" s="1058"/>
      <c r="Y6" s="1058"/>
      <c r="Z6" s="1058"/>
      <c r="AA6" s="1058"/>
      <c r="AB6" s="1058"/>
      <c r="AC6" s="1058"/>
      <c r="AD6" s="1058"/>
      <c r="AE6" s="1058"/>
      <c r="AF6" s="1058"/>
      <c r="AG6" s="1058"/>
      <c r="AH6" s="1058"/>
      <c r="AI6" s="1058"/>
      <c r="AJ6" s="1058"/>
      <c r="AK6" s="1058"/>
      <c r="AL6" s="1058"/>
      <c r="AM6" s="1058"/>
      <c r="AN6" s="1058"/>
      <c r="AO6" s="1058"/>
      <c r="AP6" s="1058"/>
      <c r="AQ6" s="1058"/>
      <c r="AR6" s="1058"/>
      <c r="AS6" s="1058"/>
      <c r="AT6" s="1058"/>
      <c r="AU6" s="1058"/>
      <c r="AV6" s="1058"/>
      <c r="AW6" s="1058"/>
      <c r="AX6" s="1058"/>
      <c r="AY6" s="1058"/>
      <c r="AZ6" s="1058"/>
      <c r="BA6" s="1058"/>
      <c r="BB6" s="1058"/>
      <c r="BC6" s="1058"/>
      <c r="BD6" s="1058"/>
      <c r="BE6" s="1058"/>
      <c r="BF6" s="1058"/>
      <c r="BG6" s="1058"/>
      <c r="BH6" s="1058"/>
      <c r="BI6" s="1058"/>
      <c r="BJ6" s="1058"/>
      <c r="BK6" s="1058"/>
      <c r="BL6" s="1058"/>
      <c r="BM6" s="1058"/>
      <c r="BN6" s="1058"/>
      <c r="BO6" s="1058"/>
      <c r="BP6" s="1058"/>
      <c r="BQ6" s="1058"/>
      <c r="BR6" s="1058"/>
      <c r="BS6" s="1058"/>
      <c r="BT6" s="1058"/>
      <c r="BU6" s="1058"/>
      <c r="BV6" s="1058"/>
      <c r="BW6" s="1058"/>
      <c r="BX6" s="1058"/>
      <c r="BY6" s="1058"/>
      <c r="BZ6" s="1058"/>
      <c r="CA6" s="1058"/>
      <c r="CB6" s="1058"/>
      <c r="CC6" s="1058"/>
      <c r="CD6" s="1058"/>
      <c r="CE6" s="1058"/>
      <c r="CF6" s="1058"/>
      <c r="CG6" s="1058"/>
      <c r="CH6" s="1058"/>
      <c r="CI6" s="1058"/>
      <c r="CJ6" s="1058"/>
      <c r="CK6" s="1058"/>
      <c r="CL6" s="1058"/>
      <c r="CM6" s="1058"/>
      <c r="CN6" s="1058"/>
      <c r="CO6" s="1058"/>
      <c r="CP6" s="1058"/>
      <c r="CQ6" s="1058"/>
      <c r="CR6" s="1058"/>
      <c r="CS6" s="1058"/>
      <c r="CT6" s="1058"/>
      <c r="CU6" s="1058"/>
      <c r="CV6" s="1058"/>
      <c r="CW6" s="1058"/>
      <c r="CX6" s="1058"/>
      <c r="CY6" s="1058"/>
      <c r="CZ6" s="1058"/>
      <c r="DA6" s="1058"/>
      <c r="DB6" s="1058"/>
      <c r="DC6" s="1058"/>
      <c r="DD6" s="1058"/>
      <c r="DE6" s="1058"/>
      <c r="DF6" s="1058"/>
      <c r="DG6" s="1058"/>
      <c r="DH6" s="1058"/>
      <c r="DI6" s="1058"/>
      <c r="DJ6" s="1058"/>
      <c r="DK6" s="1058"/>
      <c r="DL6" s="1058"/>
      <c r="DM6" s="1058"/>
      <c r="DN6" s="1058"/>
      <c r="DO6" s="1058"/>
      <c r="DP6" s="1058"/>
      <c r="DQ6" s="1058"/>
      <c r="DR6" s="1058"/>
      <c r="DS6" s="1058"/>
      <c r="DT6" s="1058"/>
      <c r="DU6" s="1058"/>
      <c r="DV6" s="1058"/>
      <c r="DW6" s="1058"/>
      <c r="DX6" s="1058"/>
      <c r="DY6" s="1058"/>
      <c r="DZ6" s="1058"/>
      <c r="EA6" s="1058"/>
      <c r="EB6" s="1058"/>
      <c r="EC6" s="1058"/>
      <c r="ED6" s="1058"/>
      <c r="EE6" s="1058"/>
      <c r="EF6" s="1058"/>
      <c r="EG6" s="1058"/>
      <c r="EH6" s="1058"/>
      <c r="EI6" s="1058"/>
      <c r="EJ6" s="1058"/>
      <c r="EK6" s="1058"/>
      <c r="EL6" s="1058"/>
      <c r="EM6" s="1058"/>
      <c r="EN6" s="1058"/>
      <c r="EO6" s="1058"/>
      <c r="EP6" s="1059"/>
    </row>
    <row r="7" spans="1:146" ht="15" customHeight="1" x14ac:dyDescent="0.15">
      <c r="A7" s="1060" t="s">
        <v>0</v>
      </c>
      <c r="B7" s="1061" t="s">
        <v>743</v>
      </c>
      <c r="C7" s="1052" t="s">
        <v>744</v>
      </c>
      <c r="D7" s="1053"/>
      <c r="E7" s="1053"/>
      <c r="F7" s="1053"/>
      <c r="G7" s="1053"/>
      <c r="H7" s="1053"/>
      <c r="I7" s="1053"/>
      <c r="J7" s="1053"/>
      <c r="K7" s="1053"/>
      <c r="L7" s="1053"/>
      <c r="M7" s="1053"/>
      <c r="N7" s="1053"/>
      <c r="O7" s="1053"/>
      <c r="P7" s="1053"/>
      <c r="Q7" s="1053"/>
      <c r="R7" s="1053"/>
      <c r="S7" s="1053"/>
      <c r="T7" s="1053"/>
      <c r="U7" s="1053"/>
      <c r="V7" s="1053"/>
      <c r="W7" s="1053"/>
      <c r="X7" s="1053"/>
      <c r="Y7" s="1053"/>
      <c r="Z7" s="1054"/>
      <c r="AA7" s="1052" t="s">
        <v>745</v>
      </c>
      <c r="AB7" s="1053"/>
      <c r="AC7" s="1053"/>
      <c r="AD7" s="1053"/>
      <c r="AE7" s="1053"/>
      <c r="AF7" s="1053"/>
      <c r="AG7" s="1053"/>
      <c r="AH7" s="1053"/>
      <c r="AI7" s="1053"/>
      <c r="AJ7" s="1053"/>
      <c r="AK7" s="1053"/>
      <c r="AL7" s="1053"/>
      <c r="AM7" s="1053"/>
      <c r="AN7" s="1053"/>
      <c r="AO7" s="1053"/>
      <c r="AP7" s="1053"/>
      <c r="AQ7" s="1053"/>
      <c r="AR7" s="1053"/>
      <c r="AS7" s="1053"/>
      <c r="AT7" s="1053"/>
      <c r="AU7" s="1053"/>
      <c r="AV7" s="1053"/>
      <c r="AW7" s="1053"/>
      <c r="AX7" s="1054"/>
      <c r="AY7" s="1052" t="s">
        <v>746</v>
      </c>
      <c r="AZ7" s="1053"/>
      <c r="BA7" s="1053"/>
      <c r="BB7" s="1053"/>
      <c r="BC7" s="1053"/>
      <c r="BD7" s="1053"/>
      <c r="BE7" s="1053"/>
      <c r="BF7" s="1053"/>
      <c r="BG7" s="1053"/>
      <c r="BH7" s="1053"/>
      <c r="BI7" s="1053"/>
      <c r="BJ7" s="1053"/>
      <c r="BK7" s="1053"/>
      <c r="BL7" s="1053"/>
      <c r="BM7" s="1053"/>
      <c r="BN7" s="1053"/>
      <c r="BO7" s="1053"/>
      <c r="BP7" s="1053"/>
      <c r="BQ7" s="1053"/>
      <c r="BR7" s="1053"/>
      <c r="BS7" s="1053"/>
      <c r="BT7" s="1053"/>
      <c r="BU7" s="1053"/>
      <c r="BV7" s="1054"/>
      <c r="BW7" s="1052" t="s">
        <v>747</v>
      </c>
      <c r="BX7" s="1053"/>
      <c r="BY7" s="1053"/>
      <c r="BZ7" s="1053"/>
      <c r="CA7" s="1053"/>
      <c r="CB7" s="1053"/>
      <c r="CC7" s="1053"/>
      <c r="CD7" s="1053"/>
      <c r="CE7" s="1053"/>
      <c r="CF7" s="1053"/>
      <c r="CG7" s="1053"/>
      <c r="CH7" s="1053"/>
      <c r="CI7" s="1053"/>
      <c r="CJ7" s="1053"/>
      <c r="CK7" s="1053"/>
      <c r="CL7" s="1053"/>
      <c r="CM7" s="1053"/>
      <c r="CN7" s="1053"/>
      <c r="CO7" s="1053"/>
      <c r="CP7" s="1053"/>
      <c r="CQ7" s="1053"/>
      <c r="CR7" s="1053"/>
      <c r="CS7" s="1053"/>
      <c r="CT7" s="1054"/>
      <c r="CU7" s="1052" t="s">
        <v>748</v>
      </c>
      <c r="CV7" s="1053"/>
      <c r="CW7" s="1053"/>
      <c r="CX7" s="1053"/>
      <c r="CY7" s="1053"/>
      <c r="CZ7" s="1053"/>
      <c r="DA7" s="1053"/>
      <c r="DB7" s="1053"/>
      <c r="DC7" s="1053"/>
      <c r="DD7" s="1053"/>
      <c r="DE7" s="1053"/>
      <c r="DF7" s="1053"/>
      <c r="DG7" s="1053"/>
      <c r="DH7" s="1053"/>
      <c r="DI7" s="1053"/>
      <c r="DJ7" s="1053"/>
      <c r="DK7" s="1053"/>
      <c r="DL7" s="1053"/>
      <c r="DM7" s="1053"/>
      <c r="DN7" s="1053"/>
      <c r="DO7" s="1053"/>
      <c r="DP7" s="1053"/>
      <c r="DQ7" s="1053"/>
      <c r="DR7" s="1054"/>
      <c r="DS7" s="1052" t="s">
        <v>749</v>
      </c>
      <c r="DT7" s="1053"/>
      <c r="DU7" s="1053"/>
      <c r="DV7" s="1053"/>
      <c r="DW7" s="1053"/>
      <c r="DX7" s="1053"/>
      <c r="DY7" s="1053"/>
      <c r="DZ7" s="1053"/>
      <c r="EA7" s="1053"/>
      <c r="EB7" s="1053"/>
      <c r="EC7" s="1053"/>
      <c r="ED7" s="1053"/>
      <c r="EE7" s="1053"/>
      <c r="EF7" s="1053"/>
      <c r="EG7" s="1053"/>
      <c r="EH7" s="1053"/>
      <c r="EI7" s="1053"/>
      <c r="EJ7" s="1053"/>
      <c r="EK7" s="1053"/>
      <c r="EL7" s="1053"/>
      <c r="EM7" s="1053"/>
      <c r="EN7" s="1053"/>
      <c r="EO7" s="1053"/>
      <c r="EP7" s="1054"/>
    </row>
    <row r="8" spans="1:146" ht="14.25" customHeight="1" x14ac:dyDescent="0.15">
      <c r="A8" s="1060"/>
      <c r="B8" s="1061"/>
      <c r="C8" s="1057" t="s">
        <v>750</v>
      </c>
      <c r="D8" s="1055"/>
      <c r="E8" s="1055"/>
      <c r="F8" s="1055"/>
      <c r="G8" s="1055"/>
      <c r="H8" s="1055"/>
      <c r="I8" s="1055" t="s">
        <v>751</v>
      </c>
      <c r="J8" s="1055"/>
      <c r="K8" s="1055"/>
      <c r="L8" s="1055"/>
      <c r="M8" s="1055"/>
      <c r="N8" s="1055"/>
      <c r="O8" s="1055" t="s">
        <v>752</v>
      </c>
      <c r="P8" s="1055"/>
      <c r="Q8" s="1055"/>
      <c r="R8" s="1055"/>
      <c r="S8" s="1055"/>
      <c r="T8" s="1055"/>
      <c r="U8" s="1055" t="s">
        <v>753</v>
      </c>
      <c r="V8" s="1055"/>
      <c r="W8" s="1055"/>
      <c r="X8" s="1055"/>
      <c r="Y8" s="1055"/>
      <c r="Z8" s="1056"/>
      <c r="AA8" s="1057" t="s">
        <v>754</v>
      </c>
      <c r="AB8" s="1055"/>
      <c r="AC8" s="1055"/>
      <c r="AD8" s="1055"/>
      <c r="AE8" s="1055"/>
      <c r="AF8" s="1055"/>
      <c r="AG8" s="1055" t="s">
        <v>751</v>
      </c>
      <c r="AH8" s="1055"/>
      <c r="AI8" s="1055"/>
      <c r="AJ8" s="1055"/>
      <c r="AK8" s="1055"/>
      <c r="AL8" s="1055"/>
      <c r="AM8" s="1055" t="s">
        <v>752</v>
      </c>
      <c r="AN8" s="1055"/>
      <c r="AO8" s="1055"/>
      <c r="AP8" s="1055"/>
      <c r="AQ8" s="1055"/>
      <c r="AR8" s="1055"/>
      <c r="AS8" s="1055" t="s">
        <v>753</v>
      </c>
      <c r="AT8" s="1055"/>
      <c r="AU8" s="1055"/>
      <c r="AV8" s="1055"/>
      <c r="AW8" s="1055"/>
      <c r="AX8" s="1056"/>
      <c r="AY8" s="1057" t="s">
        <v>754</v>
      </c>
      <c r="AZ8" s="1055"/>
      <c r="BA8" s="1055"/>
      <c r="BB8" s="1055"/>
      <c r="BC8" s="1055"/>
      <c r="BD8" s="1055"/>
      <c r="BE8" s="1055" t="s">
        <v>751</v>
      </c>
      <c r="BF8" s="1055"/>
      <c r="BG8" s="1055"/>
      <c r="BH8" s="1055"/>
      <c r="BI8" s="1055"/>
      <c r="BJ8" s="1055"/>
      <c r="BK8" s="1055" t="s">
        <v>752</v>
      </c>
      <c r="BL8" s="1055"/>
      <c r="BM8" s="1055"/>
      <c r="BN8" s="1055"/>
      <c r="BO8" s="1055"/>
      <c r="BP8" s="1055"/>
      <c r="BQ8" s="1055" t="s">
        <v>753</v>
      </c>
      <c r="BR8" s="1055"/>
      <c r="BS8" s="1055"/>
      <c r="BT8" s="1055"/>
      <c r="BU8" s="1055"/>
      <c r="BV8" s="1056"/>
      <c r="BW8" s="1057" t="s">
        <v>750</v>
      </c>
      <c r="BX8" s="1055"/>
      <c r="BY8" s="1055"/>
      <c r="BZ8" s="1055"/>
      <c r="CA8" s="1055"/>
      <c r="CB8" s="1055"/>
      <c r="CC8" s="1055" t="s">
        <v>751</v>
      </c>
      <c r="CD8" s="1055"/>
      <c r="CE8" s="1055"/>
      <c r="CF8" s="1055"/>
      <c r="CG8" s="1055"/>
      <c r="CH8" s="1055"/>
      <c r="CI8" s="1055" t="s">
        <v>752</v>
      </c>
      <c r="CJ8" s="1055"/>
      <c r="CK8" s="1055"/>
      <c r="CL8" s="1055"/>
      <c r="CM8" s="1055"/>
      <c r="CN8" s="1055"/>
      <c r="CO8" s="1055" t="s">
        <v>753</v>
      </c>
      <c r="CP8" s="1055"/>
      <c r="CQ8" s="1055"/>
      <c r="CR8" s="1055"/>
      <c r="CS8" s="1055"/>
      <c r="CT8" s="1056"/>
      <c r="CU8" s="1057" t="s">
        <v>754</v>
      </c>
      <c r="CV8" s="1055"/>
      <c r="CW8" s="1055"/>
      <c r="CX8" s="1055"/>
      <c r="CY8" s="1055"/>
      <c r="CZ8" s="1055"/>
      <c r="DA8" s="1055" t="s">
        <v>751</v>
      </c>
      <c r="DB8" s="1055"/>
      <c r="DC8" s="1055"/>
      <c r="DD8" s="1055"/>
      <c r="DE8" s="1055"/>
      <c r="DF8" s="1055"/>
      <c r="DG8" s="1055" t="s">
        <v>752</v>
      </c>
      <c r="DH8" s="1055"/>
      <c r="DI8" s="1055"/>
      <c r="DJ8" s="1055"/>
      <c r="DK8" s="1055"/>
      <c r="DL8" s="1055"/>
      <c r="DM8" s="1055" t="s">
        <v>753</v>
      </c>
      <c r="DN8" s="1055"/>
      <c r="DO8" s="1055"/>
      <c r="DP8" s="1055"/>
      <c r="DQ8" s="1055"/>
      <c r="DR8" s="1056"/>
      <c r="DS8" s="1057" t="s">
        <v>754</v>
      </c>
      <c r="DT8" s="1055"/>
      <c r="DU8" s="1055"/>
      <c r="DV8" s="1055"/>
      <c r="DW8" s="1055"/>
      <c r="DX8" s="1055"/>
      <c r="DY8" s="1055" t="s">
        <v>751</v>
      </c>
      <c r="DZ8" s="1055"/>
      <c r="EA8" s="1055"/>
      <c r="EB8" s="1055"/>
      <c r="EC8" s="1055"/>
      <c r="ED8" s="1055"/>
      <c r="EE8" s="1055" t="s">
        <v>752</v>
      </c>
      <c r="EF8" s="1055"/>
      <c r="EG8" s="1055"/>
      <c r="EH8" s="1055"/>
      <c r="EI8" s="1055"/>
      <c r="EJ8" s="1055"/>
      <c r="EK8" s="1055" t="s">
        <v>753</v>
      </c>
      <c r="EL8" s="1055"/>
      <c r="EM8" s="1055"/>
      <c r="EN8" s="1055"/>
      <c r="EO8" s="1055"/>
      <c r="EP8" s="1056"/>
    </row>
    <row r="9" spans="1:146" ht="24.75" customHeight="1" thickBot="1" x14ac:dyDescent="0.2">
      <c r="A9" s="1060"/>
      <c r="B9" s="1061"/>
      <c r="C9" s="1049" t="s">
        <v>755</v>
      </c>
      <c r="D9" s="1047"/>
      <c r="E9" s="1047"/>
      <c r="F9" s="1047"/>
      <c r="G9" s="1047"/>
      <c r="H9" s="1047"/>
      <c r="I9" s="1047" t="s">
        <v>755</v>
      </c>
      <c r="J9" s="1047"/>
      <c r="K9" s="1047"/>
      <c r="L9" s="1047"/>
      <c r="M9" s="1047"/>
      <c r="N9" s="1047"/>
      <c r="O9" s="1047" t="s">
        <v>755</v>
      </c>
      <c r="P9" s="1047"/>
      <c r="Q9" s="1047"/>
      <c r="R9" s="1047"/>
      <c r="S9" s="1047"/>
      <c r="T9" s="1047"/>
      <c r="U9" s="1047" t="s">
        <v>755</v>
      </c>
      <c r="V9" s="1047"/>
      <c r="W9" s="1047"/>
      <c r="X9" s="1047"/>
      <c r="Y9" s="1047"/>
      <c r="Z9" s="1048"/>
      <c r="AA9" s="1049" t="s">
        <v>755</v>
      </c>
      <c r="AB9" s="1047"/>
      <c r="AC9" s="1047"/>
      <c r="AD9" s="1047"/>
      <c r="AE9" s="1047"/>
      <c r="AF9" s="1047"/>
      <c r="AG9" s="1047" t="s">
        <v>755</v>
      </c>
      <c r="AH9" s="1047"/>
      <c r="AI9" s="1047"/>
      <c r="AJ9" s="1047"/>
      <c r="AK9" s="1047"/>
      <c r="AL9" s="1047"/>
      <c r="AM9" s="1047" t="s">
        <v>755</v>
      </c>
      <c r="AN9" s="1047"/>
      <c r="AO9" s="1047"/>
      <c r="AP9" s="1047"/>
      <c r="AQ9" s="1047"/>
      <c r="AR9" s="1047"/>
      <c r="AS9" s="1047" t="s">
        <v>755</v>
      </c>
      <c r="AT9" s="1047"/>
      <c r="AU9" s="1047"/>
      <c r="AV9" s="1047"/>
      <c r="AW9" s="1047"/>
      <c r="AX9" s="1048"/>
      <c r="AY9" s="1049" t="s">
        <v>755</v>
      </c>
      <c r="AZ9" s="1047"/>
      <c r="BA9" s="1047"/>
      <c r="BB9" s="1047"/>
      <c r="BC9" s="1047"/>
      <c r="BD9" s="1047"/>
      <c r="BE9" s="1047" t="s">
        <v>755</v>
      </c>
      <c r="BF9" s="1047"/>
      <c r="BG9" s="1047"/>
      <c r="BH9" s="1047"/>
      <c r="BI9" s="1047"/>
      <c r="BJ9" s="1047"/>
      <c r="BK9" s="1047" t="s">
        <v>755</v>
      </c>
      <c r="BL9" s="1047"/>
      <c r="BM9" s="1047"/>
      <c r="BN9" s="1047"/>
      <c r="BO9" s="1047"/>
      <c r="BP9" s="1047"/>
      <c r="BQ9" s="1047" t="s">
        <v>755</v>
      </c>
      <c r="BR9" s="1047"/>
      <c r="BS9" s="1047"/>
      <c r="BT9" s="1047"/>
      <c r="BU9" s="1047"/>
      <c r="BV9" s="1048"/>
      <c r="BW9" s="1049" t="s">
        <v>755</v>
      </c>
      <c r="BX9" s="1047"/>
      <c r="BY9" s="1047"/>
      <c r="BZ9" s="1047"/>
      <c r="CA9" s="1047"/>
      <c r="CB9" s="1047"/>
      <c r="CC9" s="1047" t="s">
        <v>755</v>
      </c>
      <c r="CD9" s="1047"/>
      <c r="CE9" s="1047"/>
      <c r="CF9" s="1047"/>
      <c r="CG9" s="1047"/>
      <c r="CH9" s="1047"/>
      <c r="CI9" s="1047" t="s">
        <v>755</v>
      </c>
      <c r="CJ9" s="1047"/>
      <c r="CK9" s="1047"/>
      <c r="CL9" s="1047"/>
      <c r="CM9" s="1047"/>
      <c r="CN9" s="1047"/>
      <c r="CO9" s="1047" t="s">
        <v>755</v>
      </c>
      <c r="CP9" s="1047"/>
      <c r="CQ9" s="1047"/>
      <c r="CR9" s="1047"/>
      <c r="CS9" s="1047"/>
      <c r="CT9" s="1048"/>
      <c r="CU9" s="1049" t="s">
        <v>755</v>
      </c>
      <c r="CV9" s="1047"/>
      <c r="CW9" s="1047"/>
      <c r="CX9" s="1047"/>
      <c r="CY9" s="1047"/>
      <c r="CZ9" s="1047"/>
      <c r="DA9" s="1047" t="s">
        <v>755</v>
      </c>
      <c r="DB9" s="1047"/>
      <c r="DC9" s="1047"/>
      <c r="DD9" s="1047"/>
      <c r="DE9" s="1047"/>
      <c r="DF9" s="1047"/>
      <c r="DG9" s="1047" t="s">
        <v>755</v>
      </c>
      <c r="DH9" s="1047"/>
      <c r="DI9" s="1047"/>
      <c r="DJ9" s="1047"/>
      <c r="DK9" s="1047"/>
      <c r="DL9" s="1047"/>
      <c r="DM9" s="1047" t="s">
        <v>755</v>
      </c>
      <c r="DN9" s="1047"/>
      <c r="DO9" s="1047"/>
      <c r="DP9" s="1047"/>
      <c r="DQ9" s="1047"/>
      <c r="DR9" s="1048"/>
      <c r="DS9" s="1049" t="s">
        <v>755</v>
      </c>
      <c r="DT9" s="1047"/>
      <c r="DU9" s="1047"/>
      <c r="DV9" s="1047"/>
      <c r="DW9" s="1047"/>
      <c r="DX9" s="1047"/>
      <c r="DY9" s="1047" t="s">
        <v>755</v>
      </c>
      <c r="DZ9" s="1047"/>
      <c r="EA9" s="1047"/>
      <c r="EB9" s="1047"/>
      <c r="EC9" s="1047"/>
      <c r="ED9" s="1047"/>
      <c r="EE9" s="1047" t="s">
        <v>755</v>
      </c>
      <c r="EF9" s="1047"/>
      <c r="EG9" s="1047"/>
      <c r="EH9" s="1047"/>
      <c r="EI9" s="1047"/>
      <c r="EJ9" s="1047"/>
      <c r="EK9" s="1047" t="s">
        <v>755</v>
      </c>
      <c r="EL9" s="1047"/>
      <c r="EM9" s="1047"/>
      <c r="EN9" s="1047"/>
      <c r="EO9" s="1047"/>
      <c r="EP9" s="1048"/>
    </row>
    <row r="10" spans="1:146" ht="24" customHeight="1" thickBot="1" x14ac:dyDescent="0.2">
      <c r="A10" s="624" t="s">
        <v>220</v>
      </c>
      <c r="B10" s="385" t="s">
        <v>46</v>
      </c>
      <c r="C10" s="489"/>
      <c r="D10" s="490"/>
      <c r="E10" s="490"/>
      <c r="F10" s="490"/>
      <c r="G10" s="490"/>
      <c r="H10" s="490"/>
      <c r="I10" s="491"/>
      <c r="J10" s="491"/>
      <c r="K10" s="491"/>
      <c r="L10" s="491"/>
      <c r="M10" s="491"/>
      <c r="N10" s="491"/>
      <c r="O10" s="491"/>
      <c r="P10" s="491"/>
      <c r="Q10" s="491"/>
      <c r="R10" s="491"/>
      <c r="S10" s="491"/>
      <c r="T10" s="491"/>
      <c r="U10" s="491"/>
      <c r="V10" s="491"/>
      <c r="W10" s="491"/>
      <c r="X10" s="491"/>
      <c r="Y10" s="491"/>
      <c r="Z10" s="492"/>
      <c r="AA10" s="493"/>
      <c r="AB10" s="494"/>
      <c r="AC10" s="494"/>
      <c r="AD10" s="494"/>
      <c r="AE10" s="494"/>
      <c r="AF10" s="494"/>
      <c r="AG10" s="494"/>
      <c r="AH10" s="494"/>
      <c r="AI10" s="494"/>
      <c r="AJ10" s="494"/>
      <c r="AK10" s="494"/>
      <c r="AL10" s="494"/>
      <c r="AM10" s="494"/>
      <c r="AN10" s="494"/>
      <c r="AO10" s="494"/>
      <c r="AP10" s="494"/>
      <c r="AQ10" s="494"/>
      <c r="AR10" s="494"/>
      <c r="AS10" s="494"/>
      <c r="AT10" s="494"/>
      <c r="AU10" s="494"/>
      <c r="AV10" s="494"/>
      <c r="AW10" s="494"/>
      <c r="AX10" s="495"/>
      <c r="AY10" s="496"/>
      <c r="AZ10" s="497"/>
      <c r="BA10" s="497"/>
      <c r="BB10" s="497"/>
      <c r="BC10" s="497"/>
      <c r="BD10" s="497"/>
      <c r="BE10" s="497"/>
      <c r="BF10" s="497"/>
      <c r="BG10" s="497"/>
      <c r="BH10" s="497"/>
      <c r="BI10" s="497"/>
      <c r="BJ10" s="497"/>
      <c r="BK10" s="497"/>
      <c r="BL10" s="497"/>
      <c r="BM10" s="497"/>
      <c r="BN10" s="497"/>
      <c r="BO10" s="497"/>
      <c r="BP10" s="497"/>
      <c r="BQ10" s="497"/>
      <c r="BR10" s="497"/>
      <c r="BS10" s="497"/>
      <c r="BT10" s="497"/>
      <c r="BU10" s="497"/>
      <c r="BV10" s="498"/>
      <c r="BW10" s="499"/>
      <c r="BX10" s="500"/>
      <c r="BY10" s="500"/>
      <c r="BZ10" s="500"/>
      <c r="CA10" s="500"/>
      <c r="CB10" s="500"/>
      <c r="CC10" s="500"/>
      <c r="CD10" s="500"/>
      <c r="CE10" s="500"/>
      <c r="CF10" s="500"/>
      <c r="CG10" s="500"/>
      <c r="CH10" s="500"/>
      <c r="CI10" s="500"/>
      <c r="CJ10" s="500"/>
      <c r="CK10" s="500"/>
      <c r="CL10" s="500"/>
      <c r="CM10" s="500"/>
      <c r="CN10" s="500"/>
      <c r="CO10" s="500"/>
      <c r="CP10" s="500"/>
      <c r="CQ10" s="500"/>
      <c r="CR10" s="500"/>
      <c r="CS10" s="500"/>
      <c r="CT10" s="501"/>
      <c r="CU10" s="502"/>
      <c r="CV10" s="503"/>
      <c r="CW10" s="503"/>
      <c r="CX10" s="503"/>
      <c r="CY10" s="503"/>
      <c r="CZ10" s="503"/>
      <c r="DA10" s="503"/>
      <c r="DB10" s="503"/>
      <c r="DC10" s="503"/>
      <c r="DD10" s="503"/>
      <c r="DE10" s="503"/>
      <c r="DF10" s="503"/>
      <c r="DG10" s="503"/>
      <c r="DH10" s="503"/>
      <c r="DI10" s="503"/>
      <c r="DJ10" s="503"/>
      <c r="DK10" s="503"/>
      <c r="DL10" s="503"/>
      <c r="DM10" s="503"/>
      <c r="DN10" s="503"/>
      <c r="DO10" s="503"/>
      <c r="DP10" s="503"/>
      <c r="DQ10" s="503"/>
      <c r="DR10" s="504"/>
      <c r="DS10" s="505"/>
      <c r="DT10" s="506"/>
      <c r="DU10" s="506"/>
      <c r="DV10" s="506"/>
      <c r="DW10" s="506"/>
      <c r="DX10" s="506"/>
      <c r="DY10" s="506"/>
      <c r="DZ10" s="506"/>
      <c r="EA10" s="506"/>
      <c r="EB10" s="506"/>
      <c r="EC10" s="506"/>
      <c r="ED10" s="506"/>
      <c r="EE10" s="506"/>
      <c r="EF10" s="506"/>
      <c r="EG10" s="506"/>
      <c r="EH10" s="506"/>
      <c r="EI10" s="506"/>
      <c r="EJ10" s="506"/>
      <c r="EK10" s="490"/>
      <c r="EL10" s="490"/>
      <c r="EM10" s="490"/>
      <c r="EN10" s="490"/>
      <c r="EO10" s="490"/>
      <c r="EP10" s="507"/>
    </row>
    <row r="11" spans="1:146" ht="33.75" customHeight="1" x14ac:dyDescent="0.15">
      <c r="A11" s="624" t="s">
        <v>221</v>
      </c>
      <c r="B11" s="385" t="s">
        <v>736</v>
      </c>
      <c r="C11" s="525"/>
      <c r="D11" s="526"/>
      <c r="E11" s="526"/>
      <c r="F11" s="526"/>
      <c r="G11" s="526"/>
      <c r="H11" s="526"/>
      <c r="I11" s="612"/>
      <c r="J11" s="612"/>
      <c r="K11" s="612"/>
      <c r="L11" s="612"/>
      <c r="M11" s="612"/>
      <c r="N11" s="612"/>
      <c r="O11" s="612"/>
      <c r="P11" s="612"/>
      <c r="Q11" s="612"/>
      <c r="R11" s="612"/>
      <c r="S11" s="612"/>
      <c r="T11" s="612"/>
      <c r="U11" s="612"/>
      <c r="V11" s="612"/>
      <c r="W11" s="612"/>
      <c r="X11" s="612"/>
      <c r="Y11" s="612"/>
      <c r="Z11" s="613"/>
      <c r="AA11" s="525"/>
      <c r="AB11" s="526"/>
      <c r="AC11" s="526"/>
      <c r="AD11" s="526"/>
      <c r="AE11" s="526"/>
      <c r="AF11" s="526"/>
      <c r="AG11" s="526"/>
      <c r="AH11" s="526"/>
      <c r="AI11" s="526"/>
      <c r="AJ11" s="526"/>
      <c r="AK11" s="526"/>
      <c r="AL11" s="526"/>
      <c r="AM11" s="526"/>
      <c r="AN11" s="526"/>
      <c r="AO11" s="526"/>
      <c r="AP11" s="526"/>
      <c r="AQ11" s="526"/>
      <c r="AR11" s="526"/>
      <c r="AS11" s="526"/>
      <c r="AT11" s="526"/>
      <c r="AU11" s="526"/>
      <c r="AV11" s="526"/>
      <c r="AW11" s="526"/>
      <c r="AX11" s="527"/>
      <c r="AY11" s="525"/>
      <c r="AZ11" s="526"/>
      <c r="BA11" s="526"/>
      <c r="BB11" s="526"/>
      <c r="BC11" s="526"/>
      <c r="BD11" s="526"/>
      <c r="BE11" s="526"/>
      <c r="BF11" s="526"/>
      <c r="BG11" s="526"/>
      <c r="BH11" s="526"/>
      <c r="BI11" s="526"/>
      <c r="BJ11" s="526"/>
      <c r="BK11" s="526"/>
      <c r="BL11" s="526"/>
      <c r="BM11" s="526"/>
      <c r="BN11" s="526"/>
      <c r="BO11" s="526"/>
      <c r="BP11" s="526"/>
      <c r="BQ11" s="526"/>
      <c r="BR11" s="526"/>
      <c r="BS11" s="526"/>
      <c r="BT11" s="526"/>
      <c r="BU11" s="526"/>
      <c r="BV11" s="535"/>
      <c r="BW11" s="525"/>
      <c r="BX11" s="526"/>
      <c r="BY11" s="526"/>
      <c r="BZ11" s="526"/>
      <c r="CA11" s="526"/>
      <c r="CB11" s="526"/>
      <c r="CC11" s="526"/>
      <c r="CD11" s="526"/>
      <c r="CE11" s="526"/>
      <c r="CF11" s="526"/>
      <c r="CG11" s="526"/>
      <c r="CH11" s="526"/>
      <c r="CI11" s="526"/>
      <c r="CJ11" s="526"/>
      <c r="CK11" s="526"/>
      <c r="CL11" s="526"/>
      <c r="CM11" s="526"/>
      <c r="CN11" s="526"/>
      <c r="CO11" s="526"/>
      <c r="CP11" s="526"/>
      <c r="CQ11" s="526"/>
      <c r="CR11" s="526"/>
      <c r="CS11" s="526"/>
      <c r="CT11" s="527"/>
      <c r="CU11" s="525"/>
      <c r="CV11" s="526"/>
      <c r="CW11" s="526"/>
      <c r="CX11" s="526"/>
      <c r="CY11" s="526"/>
      <c r="CZ11" s="526"/>
      <c r="DA11" s="526"/>
      <c r="DB11" s="526"/>
      <c r="DC11" s="526"/>
      <c r="DD11" s="526"/>
      <c r="DE11" s="526"/>
      <c r="DF11" s="526"/>
      <c r="DG11" s="526"/>
      <c r="DH11" s="526"/>
      <c r="DI11" s="526"/>
      <c r="DJ11" s="526"/>
      <c r="DK11" s="526"/>
      <c r="DL11" s="526"/>
      <c r="DM11" s="526"/>
      <c r="DN11" s="526"/>
      <c r="DO11" s="526"/>
      <c r="DP11" s="526"/>
      <c r="DQ11" s="526"/>
      <c r="DR11" s="527"/>
      <c r="DS11" s="525"/>
      <c r="DT11" s="526"/>
      <c r="DU11" s="526"/>
      <c r="DV11" s="526"/>
      <c r="DW11" s="526"/>
      <c r="DX11" s="526"/>
      <c r="DY11" s="526"/>
      <c r="DZ11" s="526"/>
      <c r="EA11" s="526"/>
      <c r="EB11" s="526"/>
      <c r="EC11" s="526"/>
      <c r="ED11" s="526"/>
      <c r="EE11" s="526"/>
      <c r="EF11" s="526"/>
      <c r="EG11" s="526"/>
      <c r="EH11" s="526"/>
      <c r="EI11" s="526"/>
      <c r="EJ11" s="526"/>
      <c r="EK11" s="526"/>
      <c r="EL11" s="526"/>
      <c r="EM11" s="526"/>
      <c r="EN11" s="526"/>
      <c r="EO11" s="526"/>
      <c r="EP11" s="535"/>
    </row>
    <row r="12" spans="1:146" ht="21" customHeight="1" x14ac:dyDescent="0.15">
      <c r="A12" s="624" t="s">
        <v>489</v>
      </c>
      <c r="B12" s="385" t="s">
        <v>737</v>
      </c>
      <c r="C12" s="525"/>
      <c r="D12" s="526"/>
      <c r="E12" s="526"/>
      <c r="F12" s="526"/>
      <c r="G12" s="526"/>
      <c r="H12" s="526"/>
      <c r="I12" s="526"/>
      <c r="J12" s="526"/>
      <c r="K12" s="526"/>
      <c r="L12" s="526"/>
      <c r="M12" s="526"/>
      <c r="N12" s="526"/>
      <c r="O12" s="526"/>
      <c r="P12" s="526"/>
      <c r="Q12" s="526"/>
      <c r="R12" s="526"/>
      <c r="S12" s="526"/>
      <c r="T12" s="526"/>
      <c r="U12" s="526"/>
      <c r="V12" s="526"/>
      <c r="W12" s="526"/>
      <c r="X12" s="526"/>
      <c r="Y12" s="526"/>
      <c r="Z12" s="527"/>
      <c r="AA12" s="614"/>
      <c r="AB12" s="615"/>
      <c r="AC12" s="615"/>
      <c r="AD12" s="615"/>
      <c r="AE12" s="615"/>
      <c r="AF12" s="615"/>
      <c r="AG12" s="615"/>
      <c r="AH12" s="615"/>
      <c r="AI12" s="615"/>
      <c r="AJ12" s="615"/>
      <c r="AK12" s="615"/>
      <c r="AL12" s="615"/>
      <c r="AM12" s="526"/>
      <c r="AN12" s="526"/>
      <c r="AO12" s="526"/>
      <c r="AP12" s="526"/>
      <c r="AQ12" s="526"/>
      <c r="AR12" s="526"/>
      <c r="AS12" s="526"/>
      <c r="AT12" s="526"/>
      <c r="AU12" s="526"/>
      <c r="AV12" s="526"/>
      <c r="AW12" s="526"/>
      <c r="AX12" s="527"/>
      <c r="AY12" s="525"/>
      <c r="AZ12" s="526"/>
      <c r="BA12" s="526"/>
      <c r="BB12" s="526"/>
      <c r="BC12" s="526"/>
      <c r="BD12" s="526"/>
      <c r="BE12" s="526"/>
      <c r="BF12" s="526"/>
      <c r="BG12" s="526"/>
      <c r="BH12" s="526"/>
      <c r="BI12" s="526"/>
      <c r="BJ12" s="526"/>
      <c r="BK12" s="526"/>
      <c r="BL12" s="526"/>
      <c r="BM12" s="526"/>
      <c r="BN12" s="526"/>
      <c r="BO12" s="526"/>
      <c r="BP12" s="526"/>
      <c r="BQ12" s="526"/>
      <c r="BR12" s="526"/>
      <c r="BS12" s="526"/>
      <c r="BT12" s="526"/>
      <c r="BU12" s="526"/>
      <c r="BV12" s="535"/>
      <c r="BW12" s="525"/>
      <c r="BX12" s="526"/>
      <c r="BY12" s="526"/>
      <c r="BZ12" s="526"/>
      <c r="CA12" s="526"/>
      <c r="CB12" s="526"/>
      <c r="CC12" s="526"/>
      <c r="CD12" s="526"/>
      <c r="CE12" s="526"/>
      <c r="CF12" s="526"/>
      <c r="CG12" s="526"/>
      <c r="CH12" s="526"/>
      <c r="CI12" s="526"/>
      <c r="CJ12" s="526"/>
      <c r="CK12" s="526"/>
      <c r="CL12" s="526"/>
      <c r="CM12" s="526"/>
      <c r="CN12" s="526"/>
      <c r="CO12" s="526"/>
      <c r="CP12" s="526"/>
      <c r="CQ12" s="526"/>
      <c r="CR12" s="526"/>
      <c r="CS12" s="526"/>
      <c r="CT12" s="527"/>
      <c r="CU12" s="525"/>
      <c r="CV12" s="526"/>
      <c r="CW12" s="526"/>
      <c r="CX12" s="526"/>
      <c r="CY12" s="526"/>
      <c r="CZ12" s="526"/>
      <c r="DA12" s="526"/>
      <c r="DB12" s="526"/>
      <c r="DC12" s="526"/>
      <c r="DD12" s="526"/>
      <c r="DE12" s="526"/>
      <c r="DF12" s="526"/>
      <c r="DG12" s="526"/>
      <c r="DH12" s="526"/>
      <c r="DI12" s="526"/>
      <c r="DJ12" s="526"/>
      <c r="DK12" s="526"/>
      <c r="DL12" s="526"/>
      <c r="DM12" s="526"/>
      <c r="DN12" s="526"/>
      <c r="DO12" s="526"/>
      <c r="DP12" s="526"/>
      <c r="DQ12" s="526"/>
      <c r="DR12" s="527"/>
      <c r="DS12" s="525"/>
      <c r="DT12" s="526"/>
      <c r="DU12" s="526"/>
      <c r="DV12" s="526"/>
      <c r="DW12" s="526"/>
      <c r="DX12" s="526"/>
      <c r="DY12" s="526"/>
      <c r="DZ12" s="526"/>
      <c r="EA12" s="526"/>
      <c r="EB12" s="526"/>
      <c r="EC12" s="526"/>
      <c r="ED12" s="526"/>
      <c r="EE12" s="526"/>
      <c r="EF12" s="526"/>
      <c r="EG12" s="526"/>
      <c r="EH12" s="526"/>
      <c r="EI12" s="526"/>
      <c r="EJ12" s="526"/>
      <c r="EK12" s="526"/>
      <c r="EL12" s="526"/>
      <c r="EM12" s="526"/>
      <c r="EN12" s="526"/>
      <c r="EO12" s="526"/>
      <c r="EP12" s="535"/>
    </row>
    <row r="13" spans="1:146" ht="33.75" customHeight="1" x14ac:dyDescent="0.15">
      <c r="A13" s="624" t="s">
        <v>492</v>
      </c>
      <c r="B13" s="385" t="s">
        <v>734</v>
      </c>
      <c r="C13" s="525"/>
      <c r="D13" s="526"/>
      <c r="E13" s="526"/>
      <c r="F13" s="526"/>
      <c r="G13" s="526"/>
      <c r="H13" s="526"/>
      <c r="I13" s="526"/>
      <c r="J13" s="526"/>
      <c r="K13" s="526"/>
      <c r="L13" s="526"/>
      <c r="M13" s="526"/>
      <c r="N13" s="526"/>
      <c r="O13" s="526"/>
      <c r="P13" s="526"/>
      <c r="Q13" s="526"/>
      <c r="R13" s="526"/>
      <c r="S13" s="526"/>
      <c r="T13" s="526"/>
      <c r="U13" s="526"/>
      <c r="V13" s="526"/>
      <c r="W13" s="526"/>
      <c r="X13" s="526"/>
      <c r="Y13" s="526"/>
      <c r="Z13" s="527"/>
      <c r="AA13" s="525"/>
      <c r="AB13" s="526"/>
      <c r="AC13" s="526"/>
      <c r="AD13" s="526"/>
      <c r="AE13" s="526"/>
      <c r="AF13" s="526"/>
      <c r="AG13" s="615"/>
      <c r="AH13" s="615"/>
      <c r="AI13" s="615"/>
      <c r="AJ13" s="615"/>
      <c r="AK13" s="615"/>
      <c r="AL13" s="615"/>
      <c r="AM13" s="615"/>
      <c r="AN13" s="615"/>
      <c r="AO13" s="615"/>
      <c r="AP13" s="615"/>
      <c r="AQ13" s="615"/>
      <c r="AR13" s="615"/>
      <c r="AS13" s="526"/>
      <c r="AT13" s="526"/>
      <c r="AU13" s="526"/>
      <c r="AV13" s="526"/>
      <c r="AW13" s="526"/>
      <c r="AX13" s="527"/>
      <c r="AY13" s="525"/>
      <c r="AZ13" s="526"/>
      <c r="BA13" s="526"/>
      <c r="BB13" s="526"/>
      <c r="BC13" s="526"/>
      <c r="BD13" s="526"/>
      <c r="BE13" s="526"/>
      <c r="BF13" s="526"/>
      <c r="BG13" s="526"/>
      <c r="BH13" s="526"/>
      <c r="BI13" s="526"/>
      <c r="BJ13" s="526"/>
      <c r="BK13" s="526"/>
      <c r="BL13" s="526"/>
      <c r="BM13" s="526"/>
      <c r="BN13" s="526"/>
      <c r="BO13" s="526"/>
      <c r="BP13" s="526"/>
      <c r="BQ13" s="526"/>
      <c r="BR13" s="526"/>
      <c r="BS13" s="526"/>
      <c r="BT13" s="526"/>
      <c r="BU13" s="526"/>
      <c r="BV13" s="535"/>
      <c r="BW13" s="525"/>
      <c r="BX13" s="526"/>
      <c r="BY13" s="526"/>
      <c r="BZ13" s="526"/>
      <c r="CA13" s="526"/>
      <c r="CB13" s="526"/>
      <c r="CC13" s="526"/>
      <c r="CD13" s="526"/>
      <c r="CE13" s="526"/>
      <c r="CF13" s="526"/>
      <c r="CG13" s="526"/>
      <c r="CH13" s="526"/>
      <c r="CI13" s="526"/>
      <c r="CJ13" s="526"/>
      <c r="CK13" s="526"/>
      <c r="CL13" s="526"/>
      <c r="CM13" s="526"/>
      <c r="CN13" s="526"/>
      <c r="CO13" s="526"/>
      <c r="CP13" s="526"/>
      <c r="CQ13" s="526"/>
      <c r="CR13" s="526"/>
      <c r="CS13" s="526"/>
      <c r="CT13" s="527"/>
      <c r="CU13" s="525"/>
      <c r="CV13" s="526"/>
      <c r="CW13" s="526"/>
      <c r="CX13" s="526"/>
      <c r="CY13" s="526"/>
      <c r="CZ13" s="526"/>
      <c r="DA13" s="526"/>
      <c r="DB13" s="526"/>
      <c r="DC13" s="526"/>
      <c r="DD13" s="526"/>
      <c r="DE13" s="526"/>
      <c r="DF13" s="526"/>
      <c r="DG13" s="526"/>
      <c r="DH13" s="526"/>
      <c r="DI13" s="526"/>
      <c r="DJ13" s="526"/>
      <c r="DK13" s="526"/>
      <c r="DL13" s="526"/>
      <c r="DM13" s="526"/>
      <c r="DN13" s="526"/>
      <c r="DO13" s="526"/>
      <c r="DP13" s="526"/>
      <c r="DQ13" s="526"/>
      <c r="DR13" s="527"/>
      <c r="DS13" s="525"/>
      <c r="DT13" s="526"/>
      <c r="DU13" s="526"/>
      <c r="DV13" s="526"/>
      <c r="DW13" s="526"/>
      <c r="DX13" s="526"/>
      <c r="DY13" s="526"/>
      <c r="DZ13" s="526"/>
      <c r="EA13" s="526"/>
      <c r="EB13" s="526"/>
      <c r="EC13" s="526"/>
      <c r="ED13" s="526"/>
      <c r="EE13" s="526"/>
      <c r="EF13" s="526"/>
      <c r="EG13" s="526"/>
      <c r="EH13" s="526"/>
      <c r="EI13" s="526"/>
      <c r="EJ13" s="526"/>
      <c r="EK13" s="526"/>
      <c r="EL13" s="526"/>
      <c r="EM13" s="526"/>
      <c r="EN13" s="526"/>
      <c r="EO13" s="526"/>
      <c r="EP13" s="535"/>
    </row>
    <row r="14" spans="1:146" ht="33.75" customHeight="1" thickBot="1" x14ac:dyDescent="0.2">
      <c r="A14" s="624" t="s">
        <v>622</v>
      </c>
      <c r="B14" s="385" t="s">
        <v>494</v>
      </c>
      <c r="C14" s="508"/>
      <c r="D14" s="509"/>
      <c r="E14" s="509"/>
      <c r="F14" s="509"/>
      <c r="G14" s="509"/>
      <c r="H14" s="509"/>
      <c r="I14" s="510"/>
      <c r="J14" s="510"/>
      <c r="K14" s="510"/>
      <c r="L14" s="510"/>
      <c r="M14" s="510"/>
      <c r="N14" s="510"/>
      <c r="O14" s="510"/>
      <c r="P14" s="510"/>
      <c r="Q14" s="510"/>
      <c r="R14" s="510"/>
      <c r="S14" s="510"/>
      <c r="T14" s="510"/>
      <c r="U14" s="510"/>
      <c r="V14" s="510"/>
      <c r="W14" s="510"/>
      <c r="X14" s="510"/>
      <c r="Y14" s="510"/>
      <c r="Z14" s="511"/>
      <c r="AA14" s="512"/>
      <c r="AB14" s="513"/>
      <c r="AC14" s="513"/>
      <c r="AD14" s="513"/>
      <c r="AE14" s="513"/>
      <c r="AF14" s="513"/>
      <c r="AG14" s="513"/>
      <c r="AH14" s="513"/>
      <c r="AI14" s="513"/>
      <c r="AJ14" s="513"/>
      <c r="AK14" s="513"/>
      <c r="AL14" s="513"/>
      <c r="AM14" s="513"/>
      <c r="AN14" s="513"/>
      <c r="AO14" s="513"/>
      <c r="AP14" s="513"/>
      <c r="AQ14" s="513"/>
      <c r="AR14" s="513"/>
      <c r="AS14" s="509"/>
      <c r="AT14" s="509"/>
      <c r="AU14" s="509"/>
      <c r="AV14" s="509"/>
      <c r="AW14" s="509"/>
      <c r="AX14" s="515"/>
      <c r="AY14" s="508"/>
      <c r="AZ14" s="509"/>
      <c r="BA14" s="509"/>
      <c r="BB14" s="509"/>
      <c r="BC14" s="509"/>
      <c r="BD14" s="509"/>
      <c r="BE14" s="509"/>
      <c r="BF14" s="509"/>
      <c r="BG14" s="509"/>
      <c r="BH14" s="509"/>
      <c r="BI14" s="509"/>
      <c r="BJ14" s="509"/>
      <c r="BK14" s="509"/>
      <c r="BL14" s="509"/>
      <c r="BM14" s="509"/>
      <c r="BN14" s="509"/>
      <c r="BO14" s="509"/>
      <c r="BP14" s="509"/>
      <c r="BQ14" s="509"/>
      <c r="BR14" s="509"/>
      <c r="BS14" s="509"/>
      <c r="BT14" s="509"/>
      <c r="BU14" s="509"/>
      <c r="BV14" s="514"/>
      <c r="BW14" s="508"/>
      <c r="BX14" s="509"/>
      <c r="BY14" s="509"/>
      <c r="BZ14" s="509"/>
      <c r="CA14" s="509"/>
      <c r="CB14" s="509"/>
      <c r="CC14" s="509"/>
      <c r="CD14" s="509"/>
      <c r="CE14" s="509"/>
      <c r="CF14" s="509"/>
      <c r="CG14" s="509"/>
      <c r="CH14" s="509"/>
      <c r="CI14" s="509"/>
      <c r="CJ14" s="509"/>
      <c r="CK14" s="509"/>
      <c r="CL14" s="509"/>
      <c r="CM14" s="509"/>
      <c r="CN14" s="509"/>
      <c r="CO14" s="509"/>
      <c r="CP14" s="509"/>
      <c r="CQ14" s="509"/>
      <c r="CR14" s="509"/>
      <c r="CS14" s="509"/>
      <c r="CT14" s="515"/>
      <c r="CU14" s="508"/>
      <c r="CV14" s="509"/>
      <c r="CW14" s="509"/>
      <c r="CX14" s="509"/>
      <c r="CY14" s="509"/>
      <c r="CZ14" s="509"/>
      <c r="DA14" s="509"/>
      <c r="DB14" s="509"/>
      <c r="DC14" s="509"/>
      <c r="DD14" s="509"/>
      <c r="DE14" s="509"/>
      <c r="DF14" s="509"/>
      <c r="DG14" s="509"/>
      <c r="DH14" s="509"/>
      <c r="DI14" s="509"/>
      <c r="DJ14" s="509"/>
      <c r="DK14" s="509"/>
      <c r="DL14" s="509"/>
      <c r="DM14" s="509"/>
      <c r="DN14" s="509"/>
      <c r="DO14" s="509"/>
      <c r="DP14" s="509"/>
      <c r="DQ14" s="509"/>
      <c r="DR14" s="515"/>
      <c r="DS14" s="508"/>
      <c r="DT14" s="509"/>
      <c r="DU14" s="509"/>
      <c r="DV14" s="509"/>
      <c r="DW14" s="509"/>
      <c r="DX14" s="509"/>
      <c r="DY14" s="509"/>
      <c r="DZ14" s="509"/>
      <c r="EA14" s="509"/>
      <c r="EB14" s="509"/>
      <c r="EC14" s="509"/>
      <c r="ED14" s="509"/>
      <c r="EE14" s="509"/>
      <c r="EF14" s="509"/>
      <c r="EG14" s="509"/>
      <c r="EH14" s="509"/>
      <c r="EI14" s="509"/>
      <c r="EJ14" s="509"/>
      <c r="EK14" s="509"/>
      <c r="EL14" s="509"/>
      <c r="EM14" s="509"/>
      <c r="EN14" s="509"/>
      <c r="EO14" s="509"/>
      <c r="EP14" s="514"/>
    </row>
    <row r="15" spans="1:146" ht="9" customHeight="1" x14ac:dyDescent="0.15">
      <c r="A15" s="1079"/>
      <c r="B15" s="1080"/>
      <c r="C15" s="1081"/>
      <c r="D15" s="1081"/>
      <c r="E15" s="1081"/>
      <c r="F15" s="1081"/>
      <c r="G15" s="1081"/>
      <c r="H15" s="1081"/>
      <c r="I15" s="1081"/>
      <c r="J15" s="1081"/>
      <c r="K15" s="1081"/>
      <c r="L15" s="1081"/>
      <c r="M15" s="1081"/>
      <c r="N15" s="1081"/>
      <c r="O15" s="1081"/>
      <c r="P15" s="1081"/>
      <c r="Q15" s="1081"/>
      <c r="R15" s="1081"/>
      <c r="S15" s="1081"/>
      <c r="T15" s="1081"/>
      <c r="U15" s="1081"/>
      <c r="V15" s="1081"/>
      <c r="W15" s="1081"/>
      <c r="X15" s="1081"/>
      <c r="Y15" s="1081"/>
      <c r="Z15" s="1081"/>
      <c r="AA15" s="1081"/>
      <c r="AB15" s="1081"/>
      <c r="AC15" s="1081"/>
      <c r="AD15" s="1081"/>
      <c r="AE15" s="1081"/>
      <c r="AF15" s="1081"/>
      <c r="AG15" s="1081"/>
      <c r="AH15" s="1081"/>
      <c r="AI15" s="1081"/>
      <c r="AJ15" s="1081"/>
      <c r="AK15" s="1081"/>
      <c r="AL15" s="1081"/>
      <c r="AM15" s="1081"/>
      <c r="AN15" s="1081"/>
      <c r="AO15" s="1081"/>
      <c r="AP15" s="1081"/>
      <c r="AQ15" s="1081"/>
      <c r="AR15" s="1081"/>
      <c r="AS15" s="1081"/>
      <c r="AT15" s="1081"/>
      <c r="AU15" s="1081"/>
      <c r="AV15" s="1081"/>
      <c r="AW15" s="1081"/>
      <c r="AX15" s="1081"/>
      <c r="AY15" s="1081"/>
      <c r="AZ15" s="1081"/>
      <c r="BA15" s="1081"/>
      <c r="BB15" s="1081"/>
      <c r="BC15" s="1081"/>
      <c r="BD15" s="1081"/>
      <c r="BE15" s="1081"/>
      <c r="BF15" s="1081"/>
      <c r="BG15" s="1081"/>
      <c r="BH15" s="1081"/>
      <c r="BI15" s="1081"/>
      <c r="BJ15" s="1081"/>
      <c r="BK15" s="1081"/>
      <c r="BL15" s="1081"/>
      <c r="BM15" s="1081"/>
      <c r="BN15" s="1081"/>
      <c r="BO15" s="1081"/>
      <c r="BP15" s="1081"/>
      <c r="BQ15" s="1081"/>
      <c r="BR15" s="1081"/>
      <c r="BS15" s="1081"/>
      <c r="BT15" s="1081"/>
      <c r="BU15" s="1081"/>
      <c r="BV15" s="1081"/>
      <c r="BW15" s="1081"/>
      <c r="BX15" s="1081"/>
      <c r="BY15" s="1081"/>
      <c r="BZ15" s="1081"/>
      <c r="CA15" s="1081"/>
      <c r="CB15" s="1081"/>
      <c r="CC15" s="1081"/>
      <c r="CD15" s="1081"/>
      <c r="CE15" s="1081"/>
      <c r="CF15" s="1081"/>
      <c r="CG15" s="1081"/>
      <c r="CH15" s="1081"/>
      <c r="CI15" s="1081"/>
      <c r="CJ15" s="1081"/>
      <c r="CK15" s="1081"/>
      <c r="CL15" s="1081"/>
      <c r="CM15" s="1081"/>
      <c r="CN15" s="1081"/>
      <c r="CO15" s="1081"/>
      <c r="CP15" s="1081"/>
      <c r="CQ15" s="1081"/>
      <c r="CR15" s="1081"/>
      <c r="CS15" s="1081"/>
      <c r="CT15" s="1081"/>
      <c r="CU15" s="1081"/>
      <c r="CV15" s="1081"/>
      <c r="CW15" s="1081"/>
      <c r="CX15" s="1081"/>
      <c r="CY15" s="1081"/>
      <c r="CZ15" s="1081"/>
      <c r="DA15" s="1081"/>
      <c r="DB15" s="1081"/>
      <c r="DC15" s="1081"/>
      <c r="DD15" s="1081"/>
      <c r="DE15" s="1081"/>
      <c r="DF15" s="1081"/>
      <c r="DG15" s="1081"/>
      <c r="DH15" s="1081"/>
      <c r="DI15" s="1081"/>
      <c r="DJ15" s="1081"/>
      <c r="DK15" s="1081"/>
      <c r="DL15" s="1081"/>
      <c r="DM15" s="1081"/>
      <c r="DN15" s="1081"/>
      <c r="DO15" s="1081"/>
      <c r="DP15" s="1081"/>
      <c r="DQ15" s="1081"/>
      <c r="DR15" s="1081"/>
      <c r="DS15" s="1081"/>
      <c r="DT15" s="1081"/>
      <c r="DU15" s="1081"/>
      <c r="DV15" s="1081"/>
      <c r="DW15" s="1081"/>
      <c r="DX15" s="1081"/>
      <c r="DY15" s="1081"/>
      <c r="DZ15" s="1081"/>
      <c r="EA15" s="1081"/>
      <c r="EB15" s="1081"/>
      <c r="EC15" s="1081"/>
      <c r="ED15" s="1081"/>
      <c r="EE15" s="1081"/>
      <c r="EF15" s="1081"/>
      <c r="EG15" s="1081"/>
      <c r="EH15" s="1081"/>
      <c r="EI15" s="1081"/>
      <c r="EJ15" s="1081"/>
      <c r="EK15" s="1081"/>
      <c r="EL15" s="1081"/>
      <c r="EM15" s="1081"/>
      <c r="EN15" s="1081"/>
      <c r="EO15" s="1081"/>
      <c r="EP15" s="1082"/>
    </row>
    <row r="16" spans="1:146" s="12" customFormat="1" ht="21.75" customHeight="1" thickBot="1" x14ac:dyDescent="0.2">
      <c r="A16" s="488">
        <v>2</v>
      </c>
      <c r="B16" s="1058" t="s">
        <v>115</v>
      </c>
      <c r="C16" s="1058"/>
      <c r="D16" s="1058"/>
      <c r="E16" s="1058"/>
      <c r="F16" s="1058"/>
      <c r="G16" s="1058"/>
      <c r="H16" s="1058"/>
      <c r="I16" s="1058"/>
      <c r="J16" s="1058"/>
      <c r="K16" s="1058"/>
      <c r="L16" s="1058"/>
      <c r="M16" s="1058"/>
      <c r="N16" s="1058"/>
      <c r="O16" s="1058"/>
      <c r="P16" s="1058"/>
      <c r="Q16" s="1058"/>
      <c r="R16" s="1058"/>
      <c r="S16" s="1058"/>
      <c r="T16" s="1058"/>
      <c r="U16" s="1058"/>
      <c r="V16" s="1058"/>
      <c r="W16" s="1058"/>
      <c r="X16" s="1058"/>
      <c r="Y16" s="1058"/>
      <c r="Z16" s="1058"/>
      <c r="AA16" s="1058"/>
      <c r="AB16" s="1058"/>
      <c r="AC16" s="1058"/>
      <c r="AD16" s="1058"/>
      <c r="AE16" s="1058"/>
      <c r="AF16" s="1058"/>
      <c r="AG16" s="1058"/>
      <c r="AH16" s="1058"/>
      <c r="AI16" s="1058"/>
      <c r="AJ16" s="1058"/>
      <c r="AK16" s="1058"/>
      <c r="AL16" s="1058"/>
      <c r="AM16" s="1058"/>
      <c r="AN16" s="1058"/>
      <c r="AO16" s="1058"/>
      <c r="AP16" s="1058"/>
      <c r="AQ16" s="1058"/>
      <c r="AR16" s="1058"/>
      <c r="AS16" s="1058"/>
      <c r="AT16" s="1058"/>
      <c r="AU16" s="1058"/>
      <c r="AV16" s="1058"/>
      <c r="AW16" s="1058"/>
      <c r="AX16" s="1058"/>
      <c r="AY16" s="1058"/>
      <c r="AZ16" s="1058"/>
      <c r="BA16" s="1058"/>
      <c r="BB16" s="1058"/>
      <c r="BC16" s="1058"/>
      <c r="BD16" s="1058"/>
      <c r="BE16" s="1058"/>
      <c r="BF16" s="1058"/>
      <c r="BG16" s="1058"/>
      <c r="BH16" s="1058"/>
      <c r="BI16" s="1058"/>
      <c r="BJ16" s="1058"/>
      <c r="BK16" s="1058"/>
      <c r="BL16" s="1058"/>
      <c r="BM16" s="1058"/>
      <c r="BN16" s="1058"/>
      <c r="BO16" s="1058"/>
      <c r="BP16" s="1058"/>
      <c r="BQ16" s="1058"/>
      <c r="BR16" s="1058"/>
      <c r="BS16" s="1058"/>
      <c r="BT16" s="1058"/>
      <c r="BU16" s="1058"/>
      <c r="BV16" s="1058"/>
      <c r="BW16" s="1058"/>
      <c r="BX16" s="1058"/>
      <c r="BY16" s="1058"/>
      <c r="BZ16" s="1058"/>
      <c r="CA16" s="1058"/>
      <c r="CB16" s="1058"/>
      <c r="CC16" s="1058"/>
      <c r="CD16" s="1058"/>
      <c r="CE16" s="1058"/>
      <c r="CF16" s="1058"/>
      <c r="CG16" s="1058"/>
      <c r="CH16" s="1058"/>
      <c r="CI16" s="1058"/>
      <c r="CJ16" s="1058"/>
      <c r="CK16" s="1058"/>
      <c r="CL16" s="1058"/>
      <c r="CM16" s="1058"/>
      <c r="CN16" s="1058"/>
      <c r="CO16" s="1058"/>
      <c r="CP16" s="1058"/>
      <c r="CQ16" s="1058"/>
      <c r="CR16" s="1058"/>
      <c r="CS16" s="1058"/>
      <c r="CT16" s="1058"/>
      <c r="CU16" s="1058"/>
      <c r="CV16" s="1058"/>
      <c r="CW16" s="1058"/>
      <c r="CX16" s="1058"/>
      <c r="CY16" s="1058"/>
      <c r="CZ16" s="1058"/>
      <c r="DA16" s="1058"/>
      <c r="DB16" s="1058"/>
      <c r="DC16" s="1058"/>
      <c r="DD16" s="1058"/>
      <c r="DE16" s="1058"/>
      <c r="DF16" s="1058"/>
      <c r="DG16" s="1058"/>
      <c r="DH16" s="1058"/>
      <c r="DI16" s="1058"/>
      <c r="DJ16" s="1058"/>
      <c r="DK16" s="1058"/>
      <c r="DL16" s="1058"/>
      <c r="DM16" s="1058"/>
      <c r="DN16" s="1058"/>
      <c r="DO16" s="1058"/>
      <c r="DP16" s="1058"/>
      <c r="DQ16" s="1058"/>
      <c r="DR16" s="1058"/>
      <c r="DS16" s="1058"/>
      <c r="DT16" s="1058"/>
      <c r="DU16" s="1058"/>
      <c r="DV16" s="1058"/>
      <c r="DW16" s="1058"/>
      <c r="DX16" s="1058"/>
      <c r="DY16" s="1058"/>
      <c r="DZ16" s="1058"/>
      <c r="EA16" s="1058"/>
      <c r="EB16" s="1058"/>
      <c r="EC16" s="1058"/>
      <c r="ED16" s="1058"/>
      <c r="EE16" s="1058"/>
      <c r="EF16" s="1058"/>
      <c r="EG16" s="1058"/>
      <c r="EH16" s="1058"/>
      <c r="EI16" s="1058"/>
      <c r="EJ16" s="1058"/>
      <c r="EK16" s="1058"/>
      <c r="EL16" s="1058"/>
      <c r="EM16" s="1058"/>
      <c r="EN16" s="1058"/>
      <c r="EO16" s="1058"/>
      <c r="EP16" s="1059"/>
    </row>
    <row r="17" spans="1:146" ht="15" customHeight="1" x14ac:dyDescent="0.15">
      <c r="A17" s="1060" t="s">
        <v>0</v>
      </c>
      <c r="B17" s="1061" t="s">
        <v>743</v>
      </c>
      <c r="C17" s="1052" t="s">
        <v>744</v>
      </c>
      <c r="D17" s="1053"/>
      <c r="E17" s="1053"/>
      <c r="F17" s="1053"/>
      <c r="G17" s="1053"/>
      <c r="H17" s="1053"/>
      <c r="I17" s="1053"/>
      <c r="J17" s="1053"/>
      <c r="K17" s="1053"/>
      <c r="L17" s="1053"/>
      <c r="M17" s="1053"/>
      <c r="N17" s="1053"/>
      <c r="O17" s="1053"/>
      <c r="P17" s="1053"/>
      <c r="Q17" s="1053"/>
      <c r="R17" s="1053"/>
      <c r="S17" s="1053"/>
      <c r="T17" s="1053"/>
      <c r="U17" s="1053"/>
      <c r="V17" s="1053"/>
      <c r="W17" s="1053"/>
      <c r="X17" s="1053"/>
      <c r="Y17" s="1053"/>
      <c r="Z17" s="1054"/>
      <c r="AA17" s="1052" t="s">
        <v>745</v>
      </c>
      <c r="AB17" s="1053"/>
      <c r="AC17" s="1053"/>
      <c r="AD17" s="1053"/>
      <c r="AE17" s="1053"/>
      <c r="AF17" s="1053"/>
      <c r="AG17" s="1053"/>
      <c r="AH17" s="1053"/>
      <c r="AI17" s="1053"/>
      <c r="AJ17" s="1053"/>
      <c r="AK17" s="1053"/>
      <c r="AL17" s="1053"/>
      <c r="AM17" s="1053"/>
      <c r="AN17" s="1053"/>
      <c r="AO17" s="1053"/>
      <c r="AP17" s="1053"/>
      <c r="AQ17" s="1053"/>
      <c r="AR17" s="1053"/>
      <c r="AS17" s="1053"/>
      <c r="AT17" s="1053"/>
      <c r="AU17" s="1053"/>
      <c r="AV17" s="1053"/>
      <c r="AW17" s="1053"/>
      <c r="AX17" s="1054"/>
      <c r="AY17" s="1052" t="s">
        <v>746</v>
      </c>
      <c r="AZ17" s="1053"/>
      <c r="BA17" s="1053"/>
      <c r="BB17" s="1053"/>
      <c r="BC17" s="1053"/>
      <c r="BD17" s="1053"/>
      <c r="BE17" s="1053"/>
      <c r="BF17" s="1053"/>
      <c r="BG17" s="1053"/>
      <c r="BH17" s="1053"/>
      <c r="BI17" s="1053"/>
      <c r="BJ17" s="1053"/>
      <c r="BK17" s="1053"/>
      <c r="BL17" s="1053"/>
      <c r="BM17" s="1053"/>
      <c r="BN17" s="1053"/>
      <c r="BO17" s="1053"/>
      <c r="BP17" s="1053"/>
      <c r="BQ17" s="1053"/>
      <c r="BR17" s="1053"/>
      <c r="BS17" s="1053"/>
      <c r="BT17" s="1053"/>
      <c r="BU17" s="1053"/>
      <c r="BV17" s="1054"/>
      <c r="BW17" s="1052" t="s">
        <v>747</v>
      </c>
      <c r="BX17" s="1053"/>
      <c r="BY17" s="1053"/>
      <c r="BZ17" s="1053"/>
      <c r="CA17" s="1053"/>
      <c r="CB17" s="1053"/>
      <c r="CC17" s="1053"/>
      <c r="CD17" s="1053"/>
      <c r="CE17" s="1053"/>
      <c r="CF17" s="1053"/>
      <c r="CG17" s="1053"/>
      <c r="CH17" s="1053"/>
      <c r="CI17" s="1053"/>
      <c r="CJ17" s="1053"/>
      <c r="CK17" s="1053"/>
      <c r="CL17" s="1053"/>
      <c r="CM17" s="1053"/>
      <c r="CN17" s="1053"/>
      <c r="CO17" s="1053"/>
      <c r="CP17" s="1053"/>
      <c r="CQ17" s="1053"/>
      <c r="CR17" s="1053"/>
      <c r="CS17" s="1053"/>
      <c r="CT17" s="1054"/>
      <c r="CU17" s="1052" t="s">
        <v>748</v>
      </c>
      <c r="CV17" s="1053"/>
      <c r="CW17" s="1053"/>
      <c r="CX17" s="1053"/>
      <c r="CY17" s="1053"/>
      <c r="CZ17" s="1053"/>
      <c r="DA17" s="1053"/>
      <c r="DB17" s="1053"/>
      <c r="DC17" s="1053"/>
      <c r="DD17" s="1053"/>
      <c r="DE17" s="1053"/>
      <c r="DF17" s="1053"/>
      <c r="DG17" s="1053"/>
      <c r="DH17" s="1053"/>
      <c r="DI17" s="1053"/>
      <c r="DJ17" s="1053"/>
      <c r="DK17" s="1053"/>
      <c r="DL17" s="1053"/>
      <c r="DM17" s="1053"/>
      <c r="DN17" s="1053"/>
      <c r="DO17" s="1053"/>
      <c r="DP17" s="1053"/>
      <c r="DQ17" s="1053"/>
      <c r="DR17" s="1054"/>
      <c r="DS17" s="1052" t="s">
        <v>749</v>
      </c>
      <c r="DT17" s="1053"/>
      <c r="DU17" s="1053"/>
      <c r="DV17" s="1053"/>
      <c r="DW17" s="1053"/>
      <c r="DX17" s="1053"/>
      <c r="DY17" s="1053"/>
      <c r="DZ17" s="1053"/>
      <c r="EA17" s="1053"/>
      <c r="EB17" s="1053"/>
      <c r="EC17" s="1053"/>
      <c r="ED17" s="1053"/>
      <c r="EE17" s="1053"/>
      <c r="EF17" s="1053"/>
      <c r="EG17" s="1053"/>
      <c r="EH17" s="1053"/>
      <c r="EI17" s="1053"/>
      <c r="EJ17" s="1053"/>
      <c r="EK17" s="1053"/>
      <c r="EL17" s="1053"/>
      <c r="EM17" s="1053"/>
      <c r="EN17" s="1053"/>
      <c r="EO17" s="1053"/>
      <c r="EP17" s="1054"/>
    </row>
    <row r="18" spans="1:146" ht="14.25" customHeight="1" x14ac:dyDescent="0.15">
      <c r="A18" s="1060"/>
      <c r="B18" s="1061"/>
      <c r="C18" s="1057" t="s">
        <v>750</v>
      </c>
      <c r="D18" s="1055"/>
      <c r="E18" s="1055"/>
      <c r="F18" s="1055"/>
      <c r="G18" s="1055"/>
      <c r="H18" s="1055"/>
      <c r="I18" s="1055" t="s">
        <v>751</v>
      </c>
      <c r="J18" s="1055"/>
      <c r="K18" s="1055"/>
      <c r="L18" s="1055"/>
      <c r="M18" s="1055"/>
      <c r="N18" s="1055"/>
      <c r="O18" s="1055" t="s">
        <v>752</v>
      </c>
      <c r="P18" s="1055"/>
      <c r="Q18" s="1055"/>
      <c r="R18" s="1055"/>
      <c r="S18" s="1055"/>
      <c r="T18" s="1055"/>
      <c r="U18" s="1055" t="s">
        <v>753</v>
      </c>
      <c r="V18" s="1055"/>
      <c r="W18" s="1055"/>
      <c r="X18" s="1055"/>
      <c r="Y18" s="1055"/>
      <c r="Z18" s="1056"/>
      <c r="AA18" s="1057" t="s">
        <v>754</v>
      </c>
      <c r="AB18" s="1055"/>
      <c r="AC18" s="1055"/>
      <c r="AD18" s="1055"/>
      <c r="AE18" s="1055"/>
      <c r="AF18" s="1055"/>
      <c r="AG18" s="1055" t="s">
        <v>751</v>
      </c>
      <c r="AH18" s="1055"/>
      <c r="AI18" s="1055"/>
      <c r="AJ18" s="1055"/>
      <c r="AK18" s="1055"/>
      <c r="AL18" s="1055"/>
      <c r="AM18" s="1055" t="s">
        <v>752</v>
      </c>
      <c r="AN18" s="1055"/>
      <c r="AO18" s="1055"/>
      <c r="AP18" s="1055"/>
      <c r="AQ18" s="1055"/>
      <c r="AR18" s="1055"/>
      <c r="AS18" s="1055" t="s">
        <v>753</v>
      </c>
      <c r="AT18" s="1055"/>
      <c r="AU18" s="1055"/>
      <c r="AV18" s="1055"/>
      <c r="AW18" s="1055"/>
      <c r="AX18" s="1056"/>
      <c r="AY18" s="1057" t="s">
        <v>754</v>
      </c>
      <c r="AZ18" s="1055"/>
      <c r="BA18" s="1055"/>
      <c r="BB18" s="1055"/>
      <c r="BC18" s="1055"/>
      <c r="BD18" s="1055"/>
      <c r="BE18" s="1055" t="s">
        <v>751</v>
      </c>
      <c r="BF18" s="1055"/>
      <c r="BG18" s="1055"/>
      <c r="BH18" s="1055"/>
      <c r="BI18" s="1055"/>
      <c r="BJ18" s="1055"/>
      <c r="BK18" s="1055" t="s">
        <v>752</v>
      </c>
      <c r="BL18" s="1055"/>
      <c r="BM18" s="1055"/>
      <c r="BN18" s="1055"/>
      <c r="BO18" s="1055"/>
      <c r="BP18" s="1055"/>
      <c r="BQ18" s="1055" t="s">
        <v>753</v>
      </c>
      <c r="BR18" s="1055"/>
      <c r="BS18" s="1055"/>
      <c r="BT18" s="1055"/>
      <c r="BU18" s="1055"/>
      <c r="BV18" s="1056"/>
      <c r="BW18" s="1057" t="s">
        <v>750</v>
      </c>
      <c r="BX18" s="1055"/>
      <c r="BY18" s="1055"/>
      <c r="BZ18" s="1055"/>
      <c r="CA18" s="1055"/>
      <c r="CB18" s="1055"/>
      <c r="CC18" s="1055" t="s">
        <v>751</v>
      </c>
      <c r="CD18" s="1055"/>
      <c r="CE18" s="1055"/>
      <c r="CF18" s="1055"/>
      <c r="CG18" s="1055"/>
      <c r="CH18" s="1055"/>
      <c r="CI18" s="1055" t="s">
        <v>752</v>
      </c>
      <c r="CJ18" s="1055"/>
      <c r="CK18" s="1055"/>
      <c r="CL18" s="1055"/>
      <c r="CM18" s="1055"/>
      <c r="CN18" s="1055"/>
      <c r="CO18" s="1055" t="s">
        <v>753</v>
      </c>
      <c r="CP18" s="1055"/>
      <c r="CQ18" s="1055"/>
      <c r="CR18" s="1055"/>
      <c r="CS18" s="1055"/>
      <c r="CT18" s="1056"/>
      <c r="CU18" s="1057" t="s">
        <v>754</v>
      </c>
      <c r="CV18" s="1055"/>
      <c r="CW18" s="1055"/>
      <c r="CX18" s="1055"/>
      <c r="CY18" s="1055"/>
      <c r="CZ18" s="1055"/>
      <c r="DA18" s="1055" t="s">
        <v>751</v>
      </c>
      <c r="DB18" s="1055"/>
      <c r="DC18" s="1055"/>
      <c r="DD18" s="1055"/>
      <c r="DE18" s="1055"/>
      <c r="DF18" s="1055"/>
      <c r="DG18" s="1055" t="s">
        <v>752</v>
      </c>
      <c r="DH18" s="1055"/>
      <c r="DI18" s="1055"/>
      <c r="DJ18" s="1055"/>
      <c r="DK18" s="1055"/>
      <c r="DL18" s="1055"/>
      <c r="DM18" s="1055" t="s">
        <v>753</v>
      </c>
      <c r="DN18" s="1055"/>
      <c r="DO18" s="1055"/>
      <c r="DP18" s="1055"/>
      <c r="DQ18" s="1055"/>
      <c r="DR18" s="1056"/>
      <c r="DS18" s="1057" t="s">
        <v>754</v>
      </c>
      <c r="DT18" s="1055"/>
      <c r="DU18" s="1055"/>
      <c r="DV18" s="1055"/>
      <c r="DW18" s="1055"/>
      <c r="DX18" s="1055"/>
      <c r="DY18" s="1055" t="s">
        <v>751</v>
      </c>
      <c r="DZ18" s="1055"/>
      <c r="EA18" s="1055"/>
      <c r="EB18" s="1055"/>
      <c r="EC18" s="1055"/>
      <c r="ED18" s="1055"/>
      <c r="EE18" s="1055" t="s">
        <v>752</v>
      </c>
      <c r="EF18" s="1055"/>
      <c r="EG18" s="1055"/>
      <c r="EH18" s="1055"/>
      <c r="EI18" s="1055"/>
      <c r="EJ18" s="1055"/>
      <c r="EK18" s="1055" t="s">
        <v>753</v>
      </c>
      <c r="EL18" s="1055"/>
      <c r="EM18" s="1055"/>
      <c r="EN18" s="1055"/>
      <c r="EO18" s="1055"/>
      <c r="EP18" s="1056"/>
    </row>
    <row r="19" spans="1:146" ht="24.75" customHeight="1" thickBot="1" x14ac:dyDescent="0.2">
      <c r="A19" s="1060"/>
      <c r="B19" s="1061"/>
      <c r="C19" s="1049" t="s">
        <v>755</v>
      </c>
      <c r="D19" s="1047"/>
      <c r="E19" s="1047"/>
      <c r="F19" s="1047"/>
      <c r="G19" s="1047"/>
      <c r="H19" s="1047"/>
      <c r="I19" s="1047" t="s">
        <v>755</v>
      </c>
      <c r="J19" s="1047"/>
      <c r="K19" s="1047"/>
      <c r="L19" s="1047"/>
      <c r="M19" s="1047"/>
      <c r="N19" s="1047"/>
      <c r="O19" s="1047" t="s">
        <v>755</v>
      </c>
      <c r="P19" s="1047"/>
      <c r="Q19" s="1047"/>
      <c r="R19" s="1047"/>
      <c r="S19" s="1047"/>
      <c r="T19" s="1047"/>
      <c r="U19" s="1047" t="s">
        <v>755</v>
      </c>
      <c r="V19" s="1047"/>
      <c r="W19" s="1047"/>
      <c r="X19" s="1047"/>
      <c r="Y19" s="1047"/>
      <c r="Z19" s="1048"/>
      <c r="AA19" s="1049" t="s">
        <v>755</v>
      </c>
      <c r="AB19" s="1047"/>
      <c r="AC19" s="1047"/>
      <c r="AD19" s="1047"/>
      <c r="AE19" s="1047"/>
      <c r="AF19" s="1047"/>
      <c r="AG19" s="1047" t="s">
        <v>755</v>
      </c>
      <c r="AH19" s="1047"/>
      <c r="AI19" s="1047"/>
      <c r="AJ19" s="1047"/>
      <c r="AK19" s="1047"/>
      <c r="AL19" s="1047"/>
      <c r="AM19" s="1047" t="s">
        <v>755</v>
      </c>
      <c r="AN19" s="1047"/>
      <c r="AO19" s="1047"/>
      <c r="AP19" s="1047"/>
      <c r="AQ19" s="1047"/>
      <c r="AR19" s="1047"/>
      <c r="AS19" s="1047" t="s">
        <v>755</v>
      </c>
      <c r="AT19" s="1047"/>
      <c r="AU19" s="1047"/>
      <c r="AV19" s="1047"/>
      <c r="AW19" s="1047"/>
      <c r="AX19" s="1048"/>
      <c r="AY19" s="1049" t="s">
        <v>755</v>
      </c>
      <c r="AZ19" s="1047"/>
      <c r="BA19" s="1047"/>
      <c r="BB19" s="1047"/>
      <c r="BC19" s="1047"/>
      <c r="BD19" s="1047"/>
      <c r="BE19" s="1047" t="s">
        <v>755</v>
      </c>
      <c r="BF19" s="1047"/>
      <c r="BG19" s="1047"/>
      <c r="BH19" s="1047"/>
      <c r="BI19" s="1047"/>
      <c r="BJ19" s="1047"/>
      <c r="BK19" s="1047" t="s">
        <v>755</v>
      </c>
      <c r="BL19" s="1047"/>
      <c r="BM19" s="1047"/>
      <c r="BN19" s="1047"/>
      <c r="BO19" s="1047"/>
      <c r="BP19" s="1047"/>
      <c r="BQ19" s="1047" t="s">
        <v>755</v>
      </c>
      <c r="BR19" s="1047"/>
      <c r="BS19" s="1047"/>
      <c r="BT19" s="1047"/>
      <c r="BU19" s="1047"/>
      <c r="BV19" s="1048"/>
      <c r="BW19" s="1049" t="s">
        <v>755</v>
      </c>
      <c r="BX19" s="1047"/>
      <c r="BY19" s="1047"/>
      <c r="BZ19" s="1047"/>
      <c r="CA19" s="1047"/>
      <c r="CB19" s="1047"/>
      <c r="CC19" s="1047" t="s">
        <v>755</v>
      </c>
      <c r="CD19" s="1047"/>
      <c r="CE19" s="1047"/>
      <c r="CF19" s="1047"/>
      <c r="CG19" s="1047"/>
      <c r="CH19" s="1047"/>
      <c r="CI19" s="1047" t="s">
        <v>755</v>
      </c>
      <c r="CJ19" s="1047"/>
      <c r="CK19" s="1047"/>
      <c r="CL19" s="1047"/>
      <c r="CM19" s="1047"/>
      <c r="CN19" s="1047"/>
      <c r="CO19" s="1047" t="s">
        <v>755</v>
      </c>
      <c r="CP19" s="1047"/>
      <c r="CQ19" s="1047"/>
      <c r="CR19" s="1047"/>
      <c r="CS19" s="1047"/>
      <c r="CT19" s="1048"/>
      <c r="CU19" s="1049" t="s">
        <v>755</v>
      </c>
      <c r="CV19" s="1047"/>
      <c r="CW19" s="1047"/>
      <c r="CX19" s="1047"/>
      <c r="CY19" s="1047"/>
      <c r="CZ19" s="1047"/>
      <c r="DA19" s="1047" t="s">
        <v>755</v>
      </c>
      <c r="DB19" s="1047"/>
      <c r="DC19" s="1047"/>
      <c r="DD19" s="1047"/>
      <c r="DE19" s="1047"/>
      <c r="DF19" s="1047"/>
      <c r="DG19" s="1047" t="s">
        <v>755</v>
      </c>
      <c r="DH19" s="1047"/>
      <c r="DI19" s="1047"/>
      <c r="DJ19" s="1047"/>
      <c r="DK19" s="1047"/>
      <c r="DL19" s="1047"/>
      <c r="DM19" s="1047" t="s">
        <v>755</v>
      </c>
      <c r="DN19" s="1047"/>
      <c r="DO19" s="1047"/>
      <c r="DP19" s="1047"/>
      <c r="DQ19" s="1047"/>
      <c r="DR19" s="1048"/>
      <c r="DS19" s="1049" t="s">
        <v>755</v>
      </c>
      <c r="DT19" s="1047"/>
      <c r="DU19" s="1047"/>
      <c r="DV19" s="1047"/>
      <c r="DW19" s="1047"/>
      <c r="DX19" s="1047"/>
      <c r="DY19" s="1047" t="s">
        <v>755</v>
      </c>
      <c r="DZ19" s="1047"/>
      <c r="EA19" s="1047"/>
      <c r="EB19" s="1047"/>
      <c r="EC19" s="1047"/>
      <c r="ED19" s="1047"/>
      <c r="EE19" s="1047" t="s">
        <v>755</v>
      </c>
      <c r="EF19" s="1047"/>
      <c r="EG19" s="1047"/>
      <c r="EH19" s="1047"/>
      <c r="EI19" s="1047"/>
      <c r="EJ19" s="1047"/>
      <c r="EK19" s="1047" t="s">
        <v>755</v>
      </c>
      <c r="EL19" s="1047"/>
      <c r="EM19" s="1047"/>
      <c r="EN19" s="1047"/>
      <c r="EO19" s="1047"/>
      <c r="EP19" s="1048"/>
    </row>
    <row r="20" spans="1:146" ht="33.75" customHeight="1" thickBot="1" x14ac:dyDescent="0.2">
      <c r="A20" s="624" t="s">
        <v>216</v>
      </c>
      <c r="B20" s="385" t="s">
        <v>560</v>
      </c>
      <c r="C20" s="489"/>
      <c r="D20" s="490"/>
      <c r="E20" s="490"/>
      <c r="F20" s="490"/>
      <c r="G20" s="490"/>
      <c r="H20" s="490"/>
      <c r="I20" s="490"/>
      <c r="J20" s="490"/>
      <c r="K20" s="490"/>
      <c r="L20" s="490"/>
      <c r="M20" s="490"/>
      <c r="N20" s="490"/>
      <c r="O20" s="490"/>
      <c r="P20" s="490"/>
      <c r="Q20" s="490"/>
      <c r="R20" s="490"/>
      <c r="S20" s="490"/>
      <c r="T20" s="490"/>
      <c r="U20" s="490"/>
      <c r="V20" s="490"/>
      <c r="W20" s="490"/>
      <c r="X20" s="490"/>
      <c r="Y20" s="490"/>
      <c r="Z20" s="516"/>
      <c r="AA20" s="489"/>
      <c r="AB20" s="490"/>
      <c r="AC20" s="490"/>
      <c r="AD20" s="490"/>
      <c r="AE20" s="490"/>
      <c r="AF20" s="490"/>
      <c r="AG20" s="490"/>
      <c r="AH20" s="490"/>
      <c r="AI20" s="490"/>
      <c r="AJ20" s="490"/>
      <c r="AK20" s="490"/>
      <c r="AL20" s="490"/>
      <c r="AM20" s="490"/>
      <c r="AN20" s="490"/>
      <c r="AO20" s="490"/>
      <c r="AP20" s="490"/>
      <c r="AQ20" s="490"/>
      <c r="AR20" s="490"/>
      <c r="AS20" s="494"/>
      <c r="AT20" s="494"/>
      <c r="AU20" s="494"/>
      <c r="AV20" s="494"/>
      <c r="AW20" s="494"/>
      <c r="AX20" s="495"/>
      <c r="AY20" s="496"/>
      <c r="AZ20" s="497"/>
      <c r="BA20" s="497"/>
      <c r="BB20" s="497"/>
      <c r="BC20" s="497"/>
      <c r="BD20" s="497"/>
      <c r="BE20" s="497"/>
      <c r="BF20" s="497"/>
      <c r="BG20" s="497"/>
      <c r="BH20" s="497"/>
      <c r="BI20" s="497"/>
      <c r="BJ20" s="497"/>
      <c r="BK20" s="497"/>
      <c r="BL20" s="497"/>
      <c r="BM20" s="497"/>
      <c r="BN20" s="497"/>
      <c r="BO20" s="497"/>
      <c r="BP20" s="497"/>
      <c r="BQ20" s="497"/>
      <c r="BR20" s="497"/>
      <c r="BS20" s="497"/>
      <c r="BT20" s="497"/>
      <c r="BU20" s="497"/>
      <c r="BV20" s="498"/>
      <c r="BW20" s="499"/>
      <c r="BX20" s="500"/>
      <c r="BY20" s="500"/>
      <c r="BZ20" s="500"/>
      <c r="CA20" s="500"/>
      <c r="CB20" s="500"/>
      <c r="CC20" s="500"/>
      <c r="CD20" s="500"/>
      <c r="CE20" s="500"/>
      <c r="CF20" s="500"/>
      <c r="CG20" s="500"/>
      <c r="CH20" s="500"/>
      <c r="CI20" s="500"/>
      <c r="CJ20" s="500"/>
      <c r="CK20" s="500"/>
      <c r="CL20" s="500"/>
      <c r="CM20" s="500"/>
      <c r="CN20" s="500"/>
      <c r="CO20" s="500"/>
      <c r="CP20" s="500"/>
      <c r="CQ20" s="500"/>
      <c r="CR20" s="500"/>
      <c r="CS20" s="500"/>
      <c r="CT20" s="501"/>
      <c r="CU20" s="489"/>
      <c r="CV20" s="490"/>
      <c r="CW20" s="490"/>
      <c r="CX20" s="490"/>
      <c r="CY20" s="490"/>
      <c r="CZ20" s="490"/>
      <c r="DA20" s="490"/>
      <c r="DB20" s="490"/>
      <c r="DC20" s="490"/>
      <c r="DD20" s="490"/>
      <c r="DE20" s="490"/>
      <c r="DF20" s="490"/>
      <c r="DG20" s="490"/>
      <c r="DH20" s="490"/>
      <c r="DI20" s="490"/>
      <c r="DJ20" s="490"/>
      <c r="DK20" s="490"/>
      <c r="DL20" s="490"/>
      <c r="DM20" s="490"/>
      <c r="DN20" s="490"/>
      <c r="DO20" s="490"/>
      <c r="DP20" s="490"/>
      <c r="DQ20" s="490"/>
      <c r="DR20" s="516"/>
      <c r="DS20" s="517"/>
      <c r="DT20" s="490"/>
      <c r="DU20" s="490"/>
      <c r="DV20" s="490"/>
      <c r="DW20" s="490"/>
      <c r="DX20" s="490"/>
      <c r="DY20" s="490"/>
      <c r="DZ20" s="490"/>
      <c r="EA20" s="490"/>
      <c r="EB20" s="490"/>
      <c r="EC20" s="490"/>
      <c r="ED20" s="490"/>
      <c r="EE20" s="490"/>
      <c r="EF20" s="490"/>
      <c r="EG20" s="490"/>
      <c r="EH20" s="490"/>
      <c r="EI20" s="490"/>
      <c r="EJ20" s="490"/>
      <c r="EK20" s="490"/>
      <c r="EL20" s="490"/>
      <c r="EM20" s="490"/>
      <c r="EN20" s="490"/>
      <c r="EO20" s="490"/>
      <c r="EP20" s="507"/>
    </row>
    <row r="21" spans="1:146" ht="21" customHeight="1" x14ac:dyDescent="0.15">
      <c r="A21" s="624" t="s">
        <v>217</v>
      </c>
      <c r="B21" s="385" t="s">
        <v>491</v>
      </c>
      <c r="C21" s="525"/>
      <c r="D21" s="526"/>
      <c r="E21" s="526"/>
      <c r="F21" s="526"/>
      <c r="G21" s="526"/>
      <c r="H21" s="526"/>
      <c r="I21" s="526"/>
      <c r="J21" s="526"/>
      <c r="K21" s="526"/>
      <c r="L21" s="526"/>
      <c r="M21" s="526"/>
      <c r="N21" s="526"/>
      <c r="O21" s="526"/>
      <c r="P21" s="526"/>
      <c r="Q21" s="526"/>
      <c r="R21" s="526"/>
      <c r="S21" s="526"/>
      <c r="T21" s="526"/>
      <c r="U21" s="526"/>
      <c r="V21" s="526"/>
      <c r="W21" s="526"/>
      <c r="X21" s="526"/>
      <c r="Y21" s="526"/>
      <c r="Z21" s="527"/>
      <c r="AA21" s="525"/>
      <c r="AB21" s="526"/>
      <c r="AC21" s="526"/>
      <c r="AD21" s="526"/>
      <c r="AE21" s="526"/>
      <c r="AF21" s="526"/>
      <c r="AG21" s="526"/>
      <c r="AH21" s="526"/>
      <c r="AI21" s="526"/>
      <c r="AJ21" s="526"/>
      <c r="AK21" s="526"/>
      <c r="AL21" s="526"/>
      <c r="AM21" s="526"/>
      <c r="AN21" s="526"/>
      <c r="AO21" s="526"/>
      <c r="AP21" s="526"/>
      <c r="AQ21" s="526"/>
      <c r="AR21" s="526"/>
      <c r="AS21" s="526"/>
      <c r="AT21" s="526"/>
      <c r="AU21" s="526"/>
      <c r="AV21" s="526"/>
      <c r="AW21" s="526"/>
      <c r="AX21" s="527"/>
      <c r="AY21" s="525"/>
      <c r="AZ21" s="526"/>
      <c r="BA21" s="526"/>
      <c r="BB21" s="526"/>
      <c r="BC21" s="526"/>
      <c r="BD21" s="526"/>
      <c r="BE21" s="526"/>
      <c r="BF21" s="526"/>
      <c r="BG21" s="526"/>
      <c r="BH21" s="526"/>
      <c r="BI21" s="526"/>
      <c r="BJ21" s="526"/>
      <c r="BK21" s="617"/>
      <c r="BL21" s="617"/>
      <c r="BM21" s="617"/>
      <c r="BN21" s="617"/>
      <c r="BO21" s="617"/>
      <c r="BP21" s="617"/>
      <c r="BQ21" s="526"/>
      <c r="BR21" s="526"/>
      <c r="BS21" s="526"/>
      <c r="BT21" s="526"/>
      <c r="BU21" s="526"/>
      <c r="BV21" s="535"/>
      <c r="BW21" s="525"/>
      <c r="BX21" s="526"/>
      <c r="BY21" s="526"/>
      <c r="BZ21" s="526"/>
      <c r="CA21" s="526"/>
      <c r="CB21" s="526"/>
      <c r="CC21" s="526"/>
      <c r="CD21" s="526"/>
      <c r="CE21" s="526"/>
      <c r="CF21" s="526"/>
      <c r="CG21" s="526"/>
      <c r="CH21" s="526"/>
      <c r="CI21" s="526"/>
      <c r="CJ21" s="526"/>
      <c r="CK21" s="526"/>
      <c r="CL21" s="526"/>
      <c r="CM21" s="526"/>
      <c r="CN21" s="526"/>
      <c r="CO21" s="526"/>
      <c r="CP21" s="526"/>
      <c r="CQ21" s="526"/>
      <c r="CR21" s="526"/>
      <c r="CS21" s="526"/>
      <c r="CT21" s="527"/>
      <c r="CU21" s="525"/>
      <c r="CV21" s="526"/>
      <c r="CW21" s="526"/>
      <c r="CX21" s="526"/>
      <c r="CY21" s="526"/>
      <c r="CZ21" s="526"/>
      <c r="DA21" s="526"/>
      <c r="DB21" s="526"/>
      <c r="DC21" s="526"/>
      <c r="DD21" s="526"/>
      <c r="DE21" s="526"/>
      <c r="DF21" s="526"/>
      <c r="DG21" s="526"/>
      <c r="DH21" s="526"/>
      <c r="DI21" s="526"/>
      <c r="DJ21" s="526"/>
      <c r="DK21" s="526"/>
      <c r="DL21" s="526"/>
      <c r="DM21" s="526"/>
      <c r="DN21" s="526"/>
      <c r="DO21" s="526"/>
      <c r="DP21" s="526"/>
      <c r="DQ21" s="526"/>
      <c r="DR21" s="527"/>
      <c r="DS21" s="525"/>
      <c r="DT21" s="526"/>
      <c r="DU21" s="526"/>
      <c r="DV21" s="526"/>
      <c r="DW21" s="526"/>
      <c r="DX21" s="526"/>
      <c r="DY21" s="526"/>
      <c r="DZ21" s="526"/>
      <c r="EA21" s="526"/>
      <c r="EB21" s="526"/>
      <c r="EC21" s="526"/>
      <c r="ED21" s="526"/>
      <c r="EE21" s="526"/>
      <c r="EF21" s="526"/>
      <c r="EG21" s="526"/>
      <c r="EH21" s="526"/>
      <c r="EI21" s="526"/>
      <c r="EJ21" s="526"/>
      <c r="EK21" s="526"/>
      <c r="EL21" s="526"/>
      <c r="EM21" s="526"/>
      <c r="EN21" s="526"/>
      <c r="EO21" s="526"/>
      <c r="EP21" s="535"/>
    </row>
    <row r="22" spans="1:146" ht="33.75" customHeight="1" x14ac:dyDescent="0.15">
      <c r="A22" s="624" t="s">
        <v>218</v>
      </c>
      <c r="B22" s="385" t="s">
        <v>578</v>
      </c>
      <c r="C22" s="525"/>
      <c r="D22" s="526"/>
      <c r="E22" s="526"/>
      <c r="F22" s="526"/>
      <c r="G22" s="526"/>
      <c r="H22" s="526"/>
      <c r="I22" s="526"/>
      <c r="J22" s="526"/>
      <c r="K22" s="526"/>
      <c r="L22" s="526"/>
      <c r="M22" s="526"/>
      <c r="N22" s="526"/>
      <c r="O22" s="526"/>
      <c r="P22" s="526"/>
      <c r="Q22" s="526"/>
      <c r="R22" s="526"/>
      <c r="S22" s="526"/>
      <c r="T22" s="526"/>
      <c r="U22" s="526"/>
      <c r="V22" s="526"/>
      <c r="W22" s="526"/>
      <c r="X22" s="526"/>
      <c r="Y22" s="526"/>
      <c r="Z22" s="527"/>
      <c r="AA22" s="525"/>
      <c r="AB22" s="526"/>
      <c r="AC22" s="526"/>
      <c r="AD22" s="526"/>
      <c r="AE22" s="526"/>
      <c r="AF22" s="526"/>
      <c r="AG22" s="526"/>
      <c r="AH22" s="526"/>
      <c r="AI22" s="526"/>
      <c r="AJ22" s="526"/>
      <c r="AK22" s="526"/>
      <c r="AL22" s="526"/>
      <c r="AM22" s="526"/>
      <c r="AN22" s="526"/>
      <c r="AO22" s="526"/>
      <c r="AP22" s="526"/>
      <c r="AQ22" s="526"/>
      <c r="AR22" s="526"/>
      <c r="AS22" s="526"/>
      <c r="AT22" s="526"/>
      <c r="AU22" s="526"/>
      <c r="AV22" s="526"/>
      <c r="AW22" s="526"/>
      <c r="AX22" s="527"/>
      <c r="AY22" s="525"/>
      <c r="AZ22" s="526"/>
      <c r="BA22" s="526"/>
      <c r="BB22" s="526"/>
      <c r="BC22" s="526"/>
      <c r="BD22" s="526"/>
      <c r="BE22" s="526"/>
      <c r="BF22" s="526"/>
      <c r="BG22" s="526"/>
      <c r="BH22" s="526"/>
      <c r="BI22" s="526"/>
      <c r="BJ22" s="526"/>
      <c r="BK22" s="617"/>
      <c r="BL22" s="617"/>
      <c r="BM22" s="617"/>
      <c r="BN22" s="617"/>
      <c r="BO22" s="617"/>
      <c r="BP22" s="617"/>
      <c r="BQ22" s="617"/>
      <c r="BR22" s="617"/>
      <c r="BS22" s="617"/>
      <c r="BT22" s="617"/>
      <c r="BU22" s="617"/>
      <c r="BV22" s="618"/>
      <c r="BW22" s="529"/>
      <c r="BX22" s="530"/>
      <c r="BY22" s="530"/>
      <c r="BZ22" s="530"/>
      <c r="CA22" s="530"/>
      <c r="CB22" s="530"/>
      <c r="CC22" s="530"/>
      <c r="CD22" s="530"/>
      <c r="CE22" s="530"/>
      <c r="CF22" s="530"/>
      <c r="CG22" s="530"/>
      <c r="CH22" s="530"/>
      <c r="CI22" s="530"/>
      <c r="CJ22" s="530"/>
      <c r="CK22" s="530"/>
      <c r="CL22" s="530"/>
      <c r="CM22" s="530"/>
      <c r="CN22" s="530"/>
      <c r="CO22" s="530"/>
      <c r="CP22" s="530"/>
      <c r="CQ22" s="530"/>
      <c r="CR22" s="530"/>
      <c r="CS22" s="530"/>
      <c r="CT22" s="531"/>
      <c r="CU22" s="525"/>
      <c r="CV22" s="526"/>
      <c r="CW22" s="526"/>
      <c r="CX22" s="526"/>
      <c r="CY22" s="526"/>
      <c r="CZ22" s="526"/>
      <c r="DA22" s="526"/>
      <c r="DB22" s="526"/>
      <c r="DC22" s="526"/>
      <c r="DD22" s="526"/>
      <c r="DE22" s="526"/>
      <c r="DF22" s="526"/>
      <c r="DG22" s="526"/>
      <c r="DH22" s="526"/>
      <c r="DI22" s="526"/>
      <c r="DJ22" s="526"/>
      <c r="DK22" s="526"/>
      <c r="DL22" s="526"/>
      <c r="DM22" s="526"/>
      <c r="DN22" s="526"/>
      <c r="DO22" s="526"/>
      <c r="DP22" s="526"/>
      <c r="DQ22" s="526"/>
      <c r="DR22" s="527"/>
      <c r="DS22" s="525"/>
      <c r="DT22" s="526"/>
      <c r="DU22" s="526"/>
      <c r="DV22" s="526"/>
      <c r="DW22" s="526"/>
      <c r="DX22" s="526"/>
      <c r="DY22" s="526"/>
      <c r="DZ22" s="526"/>
      <c r="EA22" s="526"/>
      <c r="EB22" s="526"/>
      <c r="EC22" s="526"/>
      <c r="ED22" s="526"/>
      <c r="EE22" s="526"/>
      <c r="EF22" s="526"/>
      <c r="EG22" s="526"/>
      <c r="EH22" s="526"/>
      <c r="EI22" s="526"/>
      <c r="EJ22" s="526"/>
      <c r="EK22" s="526"/>
      <c r="EL22" s="526"/>
      <c r="EM22" s="526"/>
      <c r="EN22" s="526"/>
      <c r="EO22" s="526"/>
      <c r="EP22" s="535"/>
    </row>
    <row r="23" spans="1:146" ht="33.75" customHeight="1" x14ac:dyDescent="0.15">
      <c r="A23" s="624" t="s">
        <v>219</v>
      </c>
      <c r="B23" s="385" t="s">
        <v>579</v>
      </c>
      <c r="C23" s="525"/>
      <c r="D23" s="526"/>
      <c r="E23" s="526"/>
      <c r="F23" s="526"/>
      <c r="G23" s="526"/>
      <c r="H23" s="526"/>
      <c r="I23" s="526"/>
      <c r="J23" s="526"/>
      <c r="K23" s="526"/>
      <c r="L23" s="526"/>
      <c r="M23" s="526"/>
      <c r="N23" s="526"/>
      <c r="O23" s="526"/>
      <c r="P23" s="526"/>
      <c r="Q23" s="526"/>
      <c r="R23" s="526"/>
      <c r="S23" s="526"/>
      <c r="T23" s="526"/>
      <c r="U23" s="526"/>
      <c r="V23" s="526"/>
      <c r="W23" s="526"/>
      <c r="X23" s="526"/>
      <c r="Y23" s="526"/>
      <c r="Z23" s="527"/>
      <c r="AA23" s="525"/>
      <c r="AB23" s="526"/>
      <c r="AC23" s="526"/>
      <c r="AD23" s="526"/>
      <c r="AE23" s="526"/>
      <c r="AF23" s="526"/>
      <c r="AG23" s="526"/>
      <c r="AH23" s="526"/>
      <c r="AI23" s="526"/>
      <c r="AJ23" s="526"/>
      <c r="AK23" s="526"/>
      <c r="AL23" s="526"/>
      <c r="AM23" s="526"/>
      <c r="AN23" s="526"/>
      <c r="AO23" s="526"/>
      <c r="AP23" s="526"/>
      <c r="AQ23" s="526"/>
      <c r="AR23" s="526"/>
      <c r="AS23" s="526"/>
      <c r="AT23" s="526"/>
      <c r="AU23" s="526"/>
      <c r="AV23" s="526"/>
      <c r="AW23" s="526"/>
      <c r="AX23" s="527"/>
      <c r="AY23" s="525"/>
      <c r="AZ23" s="526"/>
      <c r="BA23" s="526"/>
      <c r="BB23" s="526"/>
      <c r="BC23" s="526"/>
      <c r="BD23" s="526"/>
      <c r="BE23" s="617"/>
      <c r="BF23" s="617"/>
      <c r="BG23" s="617"/>
      <c r="BH23" s="617"/>
      <c r="BI23" s="617"/>
      <c r="BJ23" s="617"/>
      <c r="BK23" s="526"/>
      <c r="BL23" s="526"/>
      <c r="BM23" s="526"/>
      <c r="BN23" s="526"/>
      <c r="BO23" s="526"/>
      <c r="BP23" s="526"/>
      <c r="BQ23" s="526"/>
      <c r="BR23" s="526"/>
      <c r="BS23" s="526"/>
      <c r="BT23" s="526"/>
      <c r="BU23" s="526"/>
      <c r="BV23" s="535"/>
      <c r="BW23" s="525"/>
      <c r="BX23" s="526"/>
      <c r="BY23" s="526"/>
      <c r="BZ23" s="526"/>
      <c r="CA23" s="526"/>
      <c r="CB23" s="526"/>
      <c r="CC23" s="526"/>
      <c r="CD23" s="526"/>
      <c r="CE23" s="526"/>
      <c r="CF23" s="526"/>
      <c r="CG23" s="526"/>
      <c r="CH23" s="526"/>
      <c r="CI23" s="526"/>
      <c r="CJ23" s="526"/>
      <c r="CK23" s="526"/>
      <c r="CL23" s="526"/>
      <c r="CM23" s="526"/>
      <c r="CN23" s="526"/>
      <c r="CO23" s="526"/>
      <c r="CP23" s="526"/>
      <c r="CQ23" s="526"/>
      <c r="CR23" s="526"/>
      <c r="CS23" s="526"/>
      <c r="CT23" s="527"/>
      <c r="CU23" s="525"/>
      <c r="CV23" s="526"/>
      <c r="CW23" s="526"/>
      <c r="CX23" s="526"/>
      <c r="CY23" s="526"/>
      <c r="CZ23" s="526"/>
      <c r="DA23" s="526"/>
      <c r="DB23" s="526"/>
      <c r="DC23" s="526"/>
      <c r="DD23" s="526"/>
      <c r="DE23" s="526"/>
      <c r="DF23" s="526"/>
      <c r="DG23" s="526"/>
      <c r="DH23" s="526"/>
      <c r="DI23" s="526"/>
      <c r="DJ23" s="526"/>
      <c r="DK23" s="526"/>
      <c r="DL23" s="526"/>
      <c r="DM23" s="526"/>
      <c r="DN23" s="526"/>
      <c r="DO23" s="526"/>
      <c r="DP23" s="526"/>
      <c r="DQ23" s="526"/>
      <c r="DR23" s="527"/>
      <c r="DS23" s="525"/>
      <c r="DT23" s="526"/>
      <c r="DU23" s="526"/>
      <c r="DV23" s="526"/>
      <c r="DW23" s="526"/>
      <c r="DX23" s="526"/>
      <c r="DY23" s="526"/>
      <c r="DZ23" s="526"/>
      <c r="EA23" s="526"/>
      <c r="EB23" s="526"/>
      <c r="EC23" s="526"/>
      <c r="ED23" s="526"/>
      <c r="EE23" s="526"/>
      <c r="EF23" s="526"/>
      <c r="EG23" s="526"/>
      <c r="EH23" s="526"/>
      <c r="EI23" s="526"/>
      <c r="EJ23" s="526"/>
      <c r="EK23" s="526"/>
      <c r="EL23" s="526"/>
      <c r="EM23" s="526"/>
      <c r="EN23" s="526"/>
      <c r="EO23" s="526"/>
      <c r="EP23" s="535"/>
    </row>
    <row r="24" spans="1:146" ht="33.75" customHeight="1" thickBot="1" x14ac:dyDescent="0.2">
      <c r="A24" s="624" t="s">
        <v>563</v>
      </c>
      <c r="B24" s="385" t="s">
        <v>494</v>
      </c>
      <c r="C24" s="508"/>
      <c r="D24" s="509"/>
      <c r="E24" s="509"/>
      <c r="F24" s="509"/>
      <c r="G24" s="509"/>
      <c r="H24" s="509"/>
      <c r="I24" s="509"/>
      <c r="J24" s="509"/>
      <c r="K24" s="509"/>
      <c r="L24" s="509"/>
      <c r="M24" s="509"/>
      <c r="N24" s="509"/>
      <c r="O24" s="509"/>
      <c r="P24" s="509"/>
      <c r="Q24" s="509"/>
      <c r="R24" s="509"/>
      <c r="S24" s="509"/>
      <c r="T24" s="509"/>
      <c r="U24" s="509"/>
      <c r="V24" s="509"/>
      <c r="W24" s="509"/>
      <c r="X24" s="509"/>
      <c r="Y24" s="509"/>
      <c r="Z24" s="515"/>
      <c r="AA24" s="508"/>
      <c r="AB24" s="509"/>
      <c r="AC24" s="509"/>
      <c r="AD24" s="509"/>
      <c r="AE24" s="509"/>
      <c r="AF24" s="509"/>
      <c r="AG24" s="509"/>
      <c r="AH24" s="509"/>
      <c r="AI24" s="509"/>
      <c r="AJ24" s="509"/>
      <c r="AK24" s="509"/>
      <c r="AL24" s="509"/>
      <c r="AM24" s="509"/>
      <c r="AN24" s="509"/>
      <c r="AO24" s="509"/>
      <c r="AP24" s="509"/>
      <c r="AQ24" s="509"/>
      <c r="AR24" s="509"/>
      <c r="AS24" s="509"/>
      <c r="AT24" s="509"/>
      <c r="AU24" s="509"/>
      <c r="AV24" s="509"/>
      <c r="AW24" s="509"/>
      <c r="AX24" s="515"/>
      <c r="AY24" s="508"/>
      <c r="AZ24" s="509"/>
      <c r="BA24" s="509"/>
      <c r="BB24" s="509"/>
      <c r="BC24" s="509"/>
      <c r="BD24" s="509"/>
      <c r="BE24" s="509"/>
      <c r="BF24" s="509"/>
      <c r="BG24" s="509"/>
      <c r="BH24" s="509"/>
      <c r="BI24" s="509"/>
      <c r="BJ24" s="509"/>
      <c r="BK24" s="619"/>
      <c r="BL24" s="619"/>
      <c r="BM24" s="619"/>
      <c r="BN24" s="619"/>
      <c r="BO24" s="619"/>
      <c r="BP24" s="619"/>
      <c r="BQ24" s="619"/>
      <c r="BR24" s="619"/>
      <c r="BS24" s="619"/>
      <c r="BT24" s="619"/>
      <c r="BU24" s="619"/>
      <c r="BV24" s="620"/>
      <c r="BW24" s="621"/>
      <c r="BX24" s="520"/>
      <c r="BY24" s="520"/>
      <c r="BZ24" s="520"/>
      <c r="CA24" s="520"/>
      <c r="CB24" s="520"/>
      <c r="CC24" s="520"/>
      <c r="CD24" s="520"/>
      <c r="CE24" s="520"/>
      <c r="CF24" s="520"/>
      <c r="CG24" s="520"/>
      <c r="CH24" s="520"/>
      <c r="CI24" s="509"/>
      <c r="CJ24" s="509"/>
      <c r="CK24" s="509"/>
      <c r="CL24" s="509"/>
      <c r="CM24" s="509"/>
      <c r="CN24" s="509"/>
      <c r="CO24" s="509"/>
      <c r="CP24" s="509"/>
      <c r="CQ24" s="509"/>
      <c r="CR24" s="509"/>
      <c r="CS24" s="509"/>
      <c r="CT24" s="515"/>
      <c r="CU24" s="508"/>
      <c r="CV24" s="509"/>
      <c r="CW24" s="509"/>
      <c r="CX24" s="509"/>
      <c r="CY24" s="509"/>
      <c r="CZ24" s="509"/>
      <c r="DA24" s="509"/>
      <c r="DB24" s="509"/>
      <c r="DC24" s="509"/>
      <c r="DD24" s="509"/>
      <c r="DE24" s="509"/>
      <c r="DF24" s="509"/>
      <c r="DG24" s="509"/>
      <c r="DH24" s="509"/>
      <c r="DI24" s="509"/>
      <c r="DJ24" s="509"/>
      <c r="DK24" s="509"/>
      <c r="DL24" s="509"/>
      <c r="DM24" s="509"/>
      <c r="DN24" s="509"/>
      <c r="DO24" s="509"/>
      <c r="DP24" s="509"/>
      <c r="DQ24" s="509"/>
      <c r="DR24" s="515"/>
      <c r="DS24" s="508"/>
      <c r="DT24" s="509"/>
      <c r="DU24" s="509"/>
      <c r="DV24" s="509"/>
      <c r="DW24" s="509"/>
      <c r="DX24" s="509"/>
      <c r="DY24" s="509"/>
      <c r="DZ24" s="509"/>
      <c r="EA24" s="509"/>
      <c r="EB24" s="509"/>
      <c r="EC24" s="509"/>
      <c r="ED24" s="509"/>
      <c r="EE24" s="509"/>
      <c r="EF24" s="509"/>
      <c r="EG24" s="509"/>
      <c r="EH24" s="509"/>
      <c r="EI24" s="509"/>
      <c r="EJ24" s="509"/>
      <c r="EK24" s="509"/>
      <c r="EL24" s="509"/>
      <c r="EM24" s="509"/>
      <c r="EN24" s="509"/>
      <c r="EO24" s="509"/>
      <c r="EP24" s="514"/>
    </row>
    <row r="25" spans="1:146" s="12" customFormat="1" ht="21.75" customHeight="1" thickBot="1" x14ac:dyDescent="0.2">
      <c r="A25" s="488">
        <v>3</v>
      </c>
      <c r="B25" s="1058" t="s">
        <v>18</v>
      </c>
      <c r="C25" s="1058"/>
      <c r="D25" s="1058"/>
      <c r="E25" s="1058"/>
      <c r="F25" s="1058"/>
      <c r="G25" s="1058"/>
      <c r="H25" s="1058"/>
      <c r="I25" s="1058"/>
      <c r="J25" s="1058"/>
      <c r="K25" s="1058"/>
      <c r="L25" s="1058"/>
      <c r="M25" s="1058"/>
      <c r="N25" s="1058"/>
      <c r="O25" s="1058"/>
      <c r="P25" s="1058"/>
      <c r="Q25" s="1058"/>
      <c r="R25" s="1058"/>
      <c r="S25" s="1058"/>
      <c r="T25" s="1058"/>
      <c r="U25" s="1058"/>
      <c r="V25" s="1058"/>
      <c r="W25" s="1058"/>
      <c r="X25" s="1058"/>
      <c r="Y25" s="1058"/>
      <c r="Z25" s="1058"/>
      <c r="AA25" s="1058"/>
      <c r="AB25" s="1058"/>
      <c r="AC25" s="1058"/>
      <c r="AD25" s="1058"/>
      <c r="AE25" s="1058"/>
      <c r="AF25" s="1058"/>
      <c r="AG25" s="1058"/>
      <c r="AH25" s="1058"/>
      <c r="AI25" s="1058"/>
      <c r="AJ25" s="1058"/>
      <c r="AK25" s="1058"/>
      <c r="AL25" s="1058"/>
      <c r="AM25" s="1058"/>
      <c r="AN25" s="1058"/>
      <c r="AO25" s="1058"/>
      <c r="AP25" s="1058"/>
      <c r="AQ25" s="1058"/>
      <c r="AR25" s="1058"/>
      <c r="AS25" s="1058"/>
      <c r="AT25" s="1058"/>
      <c r="AU25" s="1058"/>
      <c r="AV25" s="1058"/>
      <c r="AW25" s="1058"/>
      <c r="AX25" s="1058"/>
      <c r="AY25" s="1058"/>
      <c r="AZ25" s="1058"/>
      <c r="BA25" s="1058"/>
      <c r="BB25" s="1058"/>
      <c r="BC25" s="1058"/>
      <c r="BD25" s="1058"/>
      <c r="BE25" s="1058"/>
      <c r="BF25" s="1058"/>
      <c r="BG25" s="1058"/>
      <c r="BH25" s="1058"/>
      <c r="BI25" s="1058"/>
      <c r="BJ25" s="1058"/>
      <c r="BK25" s="1058"/>
      <c r="BL25" s="1058"/>
      <c r="BM25" s="1058"/>
      <c r="BN25" s="1058"/>
      <c r="BO25" s="1058"/>
      <c r="BP25" s="1058"/>
      <c r="BQ25" s="1058"/>
      <c r="BR25" s="1058"/>
      <c r="BS25" s="1058"/>
      <c r="BT25" s="1058"/>
      <c r="BU25" s="1058"/>
      <c r="BV25" s="1058"/>
      <c r="BW25" s="1058"/>
      <c r="BX25" s="1058"/>
      <c r="BY25" s="1058"/>
      <c r="BZ25" s="1058"/>
      <c r="CA25" s="1058"/>
      <c r="CB25" s="1058"/>
      <c r="CC25" s="1058"/>
      <c r="CD25" s="1058"/>
      <c r="CE25" s="1058"/>
      <c r="CF25" s="1058"/>
      <c r="CG25" s="1058"/>
      <c r="CH25" s="1058"/>
      <c r="CI25" s="1058"/>
      <c r="CJ25" s="1058"/>
      <c r="CK25" s="1058"/>
      <c r="CL25" s="1058"/>
      <c r="CM25" s="1058"/>
      <c r="CN25" s="1058"/>
      <c r="CO25" s="1058"/>
      <c r="CP25" s="1058"/>
      <c r="CQ25" s="1058"/>
      <c r="CR25" s="1058"/>
      <c r="CS25" s="1058"/>
      <c r="CT25" s="1058"/>
      <c r="CU25" s="1058"/>
      <c r="CV25" s="1058"/>
      <c r="CW25" s="1058"/>
      <c r="CX25" s="1058"/>
      <c r="CY25" s="1058"/>
      <c r="CZ25" s="1058"/>
      <c r="DA25" s="1058"/>
      <c r="DB25" s="1058"/>
      <c r="DC25" s="1058"/>
      <c r="DD25" s="1058"/>
      <c r="DE25" s="1058"/>
      <c r="DF25" s="1058"/>
      <c r="DG25" s="1058"/>
      <c r="DH25" s="1058"/>
      <c r="DI25" s="1058"/>
      <c r="DJ25" s="1058"/>
      <c r="DK25" s="1058"/>
      <c r="DL25" s="1058"/>
      <c r="DM25" s="1058"/>
      <c r="DN25" s="1058"/>
      <c r="DO25" s="1058"/>
      <c r="DP25" s="1058"/>
      <c r="DQ25" s="1058"/>
      <c r="DR25" s="1058"/>
      <c r="DS25" s="1058"/>
      <c r="DT25" s="1058"/>
      <c r="DU25" s="1058"/>
      <c r="DV25" s="1058"/>
      <c r="DW25" s="1058"/>
      <c r="DX25" s="1058"/>
      <c r="DY25" s="1058"/>
      <c r="DZ25" s="1058"/>
      <c r="EA25" s="1058"/>
      <c r="EB25" s="1058"/>
      <c r="EC25" s="1058"/>
      <c r="ED25" s="1058"/>
      <c r="EE25" s="1058"/>
      <c r="EF25" s="1058"/>
      <c r="EG25" s="1058"/>
      <c r="EH25" s="1058"/>
      <c r="EI25" s="1058"/>
      <c r="EJ25" s="1058"/>
      <c r="EK25" s="1058"/>
      <c r="EL25" s="1058"/>
      <c r="EM25" s="1058"/>
      <c r="EN25" s="1058"/>
      <c r="EO25" s="1058"/>
      <c r="EP25" s="1059"/>
    </row>
    <row r="26" spans="1:146" ht="15" customHeight="1" x14ac:dyDescent="0.15">
      <c r="A26" s="1060" t="s">
        <v>0</v>
      </c>
      <c r="B26" s="1061" t="s">
        <v>743</v>
      </c>
      <c r="C26" s="1052" t="s">
        <v>744</v>
      </c>
      <c r="D26" s="1053"/>
      <c r="E26" s="1053"/>
      <c r="F26" s="1053"/>
      <c r="G26" s="1053"/>
      <c r="H26" s="1053"/>
      <c r="I26" s="1053"/>
      <c r="J26" s="1053"/>
      <c r="K26" s="1053"/>
      <c r="L26" s="1053"/>
      <c r="M26" s="1053"/>
      <c r="N26" s="1053"/>
      <c r="O26" s="1053"/>
      <c r="P26" s="1053"/>
      <c r="Q26" s="1053"/>
      <c r="R26" s="1053"/>
      <c r="S26" s="1053"/>
      <c r="T26" s="1053"/>
      <c r="U26" s="1053"/>
      <c r="V26" s="1053"/>
      <c r="W26" s="1053"/>
      <c r="X26" s="1053"/>
      <c r="Y26" s="1053"/>
      <c r="Z26" s="1054"/>
      <c r="AA26" s="1052" t="s">
        <v>745</v>
      </c>
      <c r="AB26" s="1053"/>
      <c r="AC26" s="1053"/>
      <c r="AD26" s="1053"/>
      <c r="AE26" s="1053"/>
      <c r="AF26" s="1053"/>
      <c r="AG26" s="1053"/>
      <c r="AH26" s="1053"/>
      <c r="AI26" s="1053"/>
      <c r="AJ26" s="1053"/>
      <c r="AK26" s="1053"/>
      <c r="AL26" s="1053"/>
      <c r="AM26" s="1053"/>
      <c r="AN26" s="1053"/>
      <c r="AO26" s="1053"/>
      <c r="AP26" s="1053"/>
      <c r="AQ26" s="1053"/>
      <c r="AR26" s="1053"/>
      <c r="AS26" s="1053"/>
      <c r="AT26" s="1053"/>
      <c r="AU26" s="1053"/>
      <c r="AV26" s="1053"/>
      <c r="AW26" s="1053"/>
      <c r="AX26" s="1054"/>
      <c r="AY26" s="1052" t="s">
        <v>746</v>
      </c>
      <c r="AZ26" s="1053"/>
      <c r="BA26" s="1053"/>
      <c r="BB26" s="1053"/>
      <c r="BC26" s="1053"/>
      <c r="BD26" s="1053"/>
      <c r="BE26" s="1053"/>
      <c r="BF26" s="1053"/>
      <c r="BG26" s="1053"/>
      <c r="BH26" s="1053"/>
      <c r="BI26" s="1053"/>
      <c r="BJ26" s="1053"/>
      <c r="BK26" s="1053"/>
      <c r="BL26" s="1053"/>
      <c r="BM26" s="1053"/>
      <c r="BN26" s="1053"/>
      <c r="BO26" s="1053"/>
      <c r="BP26" s="1053"/>
      <c r="BQ26" s="1053"/>
      <c r="BR26" s="1053"/>
      <c r="BS26" s="1053"/>
      <c r="BT26" s="1053"/>
      <c r="BU26" s="1053"/>
      <c r="BV26" s="1054"/>
      <c r="BW26" s="1052" t="s">
        <v>747</v>
      </c>
      <c r="BX26" s="1053"/>
      <c r="BY26" s="1053"/>
      <c r="BZ26" s="1053"/>
      <c r="CA26" s="1053"/>
      <c r="CB26" s="1053"/>
      <c r="CC26" s="1053"/>
      <c r="CD26" s="1053"/>
      <c r="CE26" s="1053"/>
      <c r="CF26" s="1053"/>
      <c r="CG26" s="1053"/>
      <c r="CH26" s="1053"/>
      <c r="CI26" s="1053"/>
      <c r="CJ26" s="1053"/>
      <c r="CK26" s="1053"/>
      <c r="CL26" s="1053"/>
      <c r="CM26" s="1053"/>
      <c r="CN26" s="1053"/>
      <c r="CO26" s="1053"/>
      <c r="CP26" s="1053"/>
      <c r="CQ26" s="1053"/>
      <c r="CR26" s="1053"/>
      <c r="CS26" s="1053"/>
      <c r="CT26" s="1054"/>
      <c r="CU26" s="1052" t="s">
        <v>748</v>
      </c>
      <c r="CV26" s="1053"/>
      <c r="CW26" s="1053"/>
      <c r="CX26" s="1053"/>
      <c r="CY26" s="1053"/>
      <c r="CZ26" s="1053"/>
      <c r="DA26" s="1053"/>
      <c r="DB26" s="1053"/>
      <c r="DC26" s="1053"/>
      <c r="DD26" s="1053"/>
      <c r="DE26" s="1053"/>
      <c r="DF26" s="1053"/>
      <c r="DG26" s="1053"/>
      <c r="DH26" s="1053"/>
      <c r="DI26" s="1053"/>
      <c r="DJ26" s="1053"/>
      <c r="DK26" s="1053"/>
      <c r="DL26" s="1053"/>
      <c r="DM26" s="1053"/>
      <c r="DN26" s="1053"/>
      <c r="DO26" s="1053"/>
      <c r="DP26" s="1053"/>
      <c r="DQ26" s="1053"/>
      <c r="DR26" s="1054"/>
      <c r="DS26" s="1052" t="s">
        <v>749</v>
      </c>
      <c r="DT26" s="1053"/>
      <c r="DU26" s="1053"/>
      <c r="DV26" s="1053"/>
      <c r="DW26" s="1053"/>
      <c r="DX26" s="1053"/>
      <c r="DY26" s="1053"/>
      <c r="DZ26" s="1053"/>
      <c r="EA26" s="1053"/>
      <c r="EB26" s="1053"/>
      <c r="EC26" s="1053"/>
      <c r="ED26" s="1053"/>
      <c r="EE26" s="1053"/>
      <c r="EF26" s="1053"/>
      <c r="EG26" s="1053"/>
      <c r="EH26" s="1053"/>
      <c r="EI26" s="1053"/>
      <c r="EJ26" s="1053"/>
      <c r="EK26" s="1053"/>
      <c r="EL26" s="1053"/>
      <c r="EM26" s="1053"/>
      <c r="EN26" s="1053"/>
      <c r="EO26" s="1053"/>
      <c r="EP26" s="1054"/>
    </row>
    <row r="27" spans="1:146" ht="14.25" customHeight="1" x14ac:dyDescent="0.15">
      <c r="A27" s="1060"/>
      <c r="B27" s="1061"/>
      <c r="C27" s="1057" t="s">
        <v>750</v>
      </c>
      <c r="D27" s="1055"/>
      <c r="E27" s="1055"/>
      <c r="F27" s="1055"/>
      <c r="G27" s="1055"/>
      <c r="H27" s="1055"/>
      <c r="I27" s="1055" t="s">
        <v>751</v>
      </c>
      <c r="J27" s="1055"/>
      <c r="K27" s="1055"/>
      <c r="L27" s="1055"/>
      <c r="M27" s="1055"/>
      <c r="N27" s="1055"/>
      <c r="O27" s="1055" t="s">
        <v>752</v>
      </c>
      <c r="P27" s="1055"/>
      <c r="Q27" s="1055"/>
      <c r="R27" s="1055"/>
      <c r="S27" s="1055"/>
      <c r="T27" s="1055"/>
      <c r="U27" s="1055" t="s">
        <v>753</v>
      </c>
      <c r="V27" s="1055"/>
      <c r="W27" s="1055"/>
      <c r="X27" s="1055"/>
      <c r="Y27" s="1055"/>
      <c r="Z27" s="1056"/>
      <c r="AA27" s="1057" t="s">
        <v>754</v>
      </c>
      <c r="AB27" s="1055"/>
      <c r="AC27" s="1055"/>
      <c r="AD27" s="1055"/>
      <c r="AE27" s="1055"/>
      <c r="AF27" s="1055"/>
      <c r="AG27" s="1055" t="s">
        <v>751</v>
      </c>
      <c r="AH27" s="1055"/>
      <c r="AI27" s="1055"/>
      <c r="AJ27" s="1055"/>
      <c r="AK27" s="1055"/>
      <c r="AL27" s="1055"/>
      <c r="AM27" s="1055" t="s">
        <v>752</v>
      </c>
      <c r="AN27" s="1055"/>
      <c r="AO27" s="1055"/>
      <c r="AP27" s="1055"/>
      <c r="AQ27" s="1055"/>
      <c r="AR27" s="1055"/>
      <c r="AS27" s="1055" t="s">
        <v>753</v>
      </c>
      <c r="AT27" s="1055"/>
      <c r="AU27" s="1055"/>
      <c r="AV27" s="1055"/>
      <c r="AW27" s="1055"/>
      <c r="AX27" s="1056"/>
      <c r="AY27" s="1057" t="s">
        <v>754</v>
      </c>
      <c r="AZ27" s="1055"/>
      <c r="BA27" s="1055"/>
      <c r="BB27" s="1055"/>
      <c r="BC27" s="1055"/>
      <c r="BD27" s="1055"/>
      <c r="BE27" s="1055" t="s">
        <v>751</v>
      </c>
      <c r="BF27" s="1055"/>
      <c r="BG27" s="1055"/>
      <c r="BH27" s="1055"/>
      <c r="BI27" s="1055"/>
      <c r="BJ27" s="1055"/>
      <c r="BK27" s="1055" t="s">
        <v>752</v>
      </c>
      <c r="BL27" s="1055"/>
      <c r="BM27" s="1055"/>
      <c r="BN27" s="1055"/>
      <c r="BO27" s="1055"/>
      <c r="BP27" s="1055"/>
      <c r="BQ27" s="1055" t="s">
        <v>753</v>
      </c>
      <c r="BR27" s="1055"/>
      <c r="BS27" s="1055"/>
      <c r="BT27" s="1055"/>
      <c r="BU27" s="1055"/>
      <c r="BV27" s="1056"/>
      <c r="BW27" s="1057" t="s">
        <v>750</v>
      </c>
      <c r="BX27" s="1055"/>
      <c r="BY27" s="1055"/>
      <c r="BZ27" s="1055"/>
      <c r="CA27" s="1055"/>
      <c r="CB27" s="1055"/>
      <c r="CC27" s="1055" t="s">
        <v>751</v>
      </c>
      <c r="CD27" s="1055"/>
      <c r="CE27" s="1055"/>
      <c r="CF27" s="1055"/>
      <c r="CG27" s="1055"/>
      <c r="CH27" s="1055"/>
      <c r="CI27" s="1055" t="s">
        <v>752</v>
      </c>
      <c r="CJ27" s="1055"/>
      <c r="CK27" s="1055"/>
      <c r="CL27" s="1055"/>
      <c r="CM27" s="1055"/>
      <c r="CN27" s="1055"/>
      <c r="CO27" s="1055" t="s">
        <v>753</v>
      </c>
      <c r="CP27" s="1055"/>
      <c r="CQ27" s="1055"/>
      <c r="CR27" s="1055"/>
      <c r="CS27" s="1055"/>
      <c r="CT27" s="1056"/>
      <c r="CU27" s="1057" t="s">
        <v>754</v>
      </c>
      <c r="CV27" s="1055"/>
      <c r="CW27" s="1055"/>
      <c r="CX27" s="1055"/>
      <c r="CY27" s="1055"/>
      <c r="CZ27" s="1055"/>
      <c r="DA27" s="1055" t="s">
        <v>751</v>
      </c>
      <c r="DB27" s="1055"/>
      <c r="DC27" s="1055"/>
      <c r="DD27" s="1055"/>
      <c r="DE27" s="1055"/>
      <c r="DF27" s="1055"/>
      <c r="DG27" s="1055" t="s">
        <v>752</v>
      </c>
      <c r="DH27" s="1055"/>
      <c r="DI27" s="1055"/>
      <c r="DJ27" s="1055"/>
      <c r="DK27" s="1055"/>
      <c r="DL27" s="1055"/>
      <c r="DM27" s="1055" t="s">
        <v>753</v>
      </c>
      <c r="DN27" s="1055"/>
      <c r="DO27" s="1055"/>
      <c r="DP27" s="1055"/>
      <c r="DQ27" s="1055"/>
      <c r="DR27" s="1056"/>
      <c r="DS27" s="1057" t="s">
        <v>754</v>
      </c>
      <c r="DT27" s="1055"/>
      <c r="DU27" s="1055"/>
      <c r="DV27" s="1055"/>
      <c r="DW27" s="1055"/>
      <c r="DX27" s="1055"/>
      <c r="DY27" s="1055" t="s">
        <v>751</v>
      </c>
      <c r="DZ27" s="1055"/>
      <c r="EA27" s="1055"/>
      <c r="EB27" s="1055"/>
      <c r="EC27" s="1055"/>
      <c r="ED27" s="1055"/>
      <c r="EE27" s="1055" t="s">
        <v>752</v>
      </c>
      <c r="EF27" s="1055"/>
      <c r="EG27" s="1055"/>
      <c r="EH27" s="1055"/>
      <c r="EI27" s="1055"/>
      <c r="EJ27" s="1055"/>
      <c r="EK27" s="1055" t="s">
        <v>753</v>
      </c>
      <c r="EL27" s="1055"/>
      <c r="EM27" s="1055"/>
      <c r="EN27" s="1055"/>
      <c r="EO27" s="1055"/>
      <c r="EP27" s="1056"/>
    </row>
    <row r="28" spans="1:146" ht="24.75" customHeight="1" thickBot="1" x14ac:dyDescent="0.2">
      <c r="A28" s="1060"/>
      <c r="B28" s="1061"/>
      <c r="C28" s="1049" t="s">
        <v>755</v>
      </c>
      <c r="D28" s="1047"/>
      <c r="E28" s="1047"/>
      <c r="F28" s="1047"/>
      <c r="G28" s="1047"/>
      <c r="H28" s="1047"/>
      <c r="I28" s="1047" t="s">
        <v>755</v>
      </c>
      <c r="J28" s="1047"/>
      <c r="K28" s="1047"/>
      <c r="L28" s="1047"/>
      <c r="M28" s="1047"/>
      <c r="N28" s="1047"/>
      <c r="O28" s="1047" t="s">
        <v>755</v>
      </c>
      <c r="P28" s="1047"/>
      <c r="Q28" s="1047"/>
      <c r="R28" s="1047"/>
      <c r="S28" s="1047"/>
      <c r="T28" s="1047"/>
      <c r="U28" s="1047" t="s">
        <v>755</v>
      </c>
      <c r="V28" s="1047"/>
      <c r="W28" s="1047"/>
      <c r="X28" s="1047"/>
      <c r="Y28" s="1047"/>
      <c r="Z28" s="1048"/>
      <c r="AA28" s="1049" t="s">
        <v>755</v>
      </c>
      <c r="AB28" s="1047"/>
      <c r="AC28" s="1047"/>
      <c r="AD28" s="1047"/>
      <c r="AE28" s="1047"/>
      <c r="AF28" s="1047"/>
      <c r="AG28" s="1047" t="s">
        <v>755</v>
      </c>
      <c r="AH28" s="1047"/>
      <c r="AI28" s="1047"/>
      <c r="AJ28" s="1047"/>
      <c r="AK28" s="1047"/>
      <c r="AL28" s="1047"/>
      <c r="AM28" s="1047" t="s">
        <v>755</v>
      </c>
      <c r="AN28" s="1047"/>
      <c r="AO28" s="1047"/>
      <c r="AP28" s="1047"/>
      <c r="AQ28" s="1047"/>
      <c r="AR28" s="1047"/>
      <c r="AS28" s="1047" t="s">
        <v>755</v>
      </c>
      <c r="AT28" s="1047"/>
      <c r="AU28" s="1047"/>
      <c r="AV28" s="1047"/>
      <c r="AW28" s="1047"/>
      <c r="AX28" s="1048"/>
      <c r="AY28" s="1049" t="s">
        <v>755</v>
      </c>
      <c r="AZ28" s="1047"/>
      <c r="BA28" s="1047"/>
      <c r="BB28" s="1047"/>
      <c r="BC28" s="1047"/>
      <c r="BD28" s="1047"/>
      <c r="BE28" s="1047" t="s">
        <v>755</v>
      </c>
      <c r="BF28" s="1047"/>
      <c r="BG28" s="1047"/>
      <c r="BH28" s="1047"/>
      <c r="BI28" s="1047"/>
      <c r="BJ28" s="1047"/>
      <c r="BK28" s="1047" t="s">
        <v>755</v>
      </c>
      <c r="BL28" s="1047"/>
      <c r="BM28" s="1047"/>
      <c r="BN28" s="1047"/>
      <c r="BO28" s="1047"/>
      <c r="BP28" s="1047"/>
      <c r="BQ28" s="1047" t="s">
        <v>755</v>
      </c>
      <c r="BR28" s="1047"/>
      <c r="BS28" s="1047"/>
      <c r="BT28" s="1047"/>
      <c r="BU28" s="1047"/>
      <c r="BV28" s="1048"/>
      <c r="BW28" s="1049" t="s">
        <v>755</v>
      </c>
      <c r="BX28" s="1047"/>
      <c r="BY28" s="1047"/>
      <c r="BZ28" s="1047"/>
      <c r="CA28" s="1047"/>
      <c r="CB28" s="1047"/>
      <c r="CC28" s="1047" t="s">
        <v>755</v>
      </c>
      <c r="CD28" s="1047"/>
      <c r="CE28" s="1047"/>
      <c r="CF28" s="1047"/>
      <c r="CG28" s="1047"/>
      <c r="CH28" s="1047"/>
      <c r="CI28" s="1047" t="s">
        <v>755</v>
      </c>
      <c r="CJ28" s="1047"/>
      <c r="CK28" s="1047"/>
      <c r="CL28" s="1047"/>
      <c r="CM28" s="1047"/>
      <c r="CN28" s="1047"/>
      <c r="CO28" s="1047" t="s">
        <v>755</v>
      </c>
      <c r="CP28" s="1047"/>
      <c r="CQ28" s="1047"/>
      <c r="CR28" s="1047"/>
      <c r="CS28" s="1047"/>
      <c r="CT28" s="1048"/>
      <c r="CU28" s="1049" t="s">
        <v>755</v>
      </c>
      <c r="CV28" s="1047"/>
      <c r="CW28" s="1047"/>
      <c r="CX28" s="1047"/>
      <c r="CY28" s="1047"/>
      <c r="CZ28" s="1047"/>
      <c r="DA28" s="1047" t="s">
        <v>755</v>
      </c>
      <c r="DB28" s="1047"/>
      <c r="DC28" s="1047"/>
      <c r="DD28" s="1047"/>
      <c r="DE28" s="1047"/>
      <c r="DF28" s="1047"/>
      <c r="DG28" s="1047" t="s">
        <v>755</v>
      </c>
      <c r="DH28" s="1047"/>
      <c r="DI28" s="1047"/>
      <c r="DJ28" s="1047"/>
      <c r="DK28" s="1047"/>
      <c r="DL28" s="1047"/>
      <c r="DM28" s="1047" t="s">
        <v>755</v>
      </c>
      <c r="DN28" s="1047"/>
      <c r="DO28" s="1047"/>
      <c r="DP28" s="1047"/>
      <c r="DQ28" s="1047"/>
      <c r="DR28" s="1048"/>
      <c r="DS28" s="1049" t="s">
        <v>755</v>
      </c>
      <c r="DT28" s="1047"/>
      <c r="DU28" s="1047"/>
      <c r="DV28" s="1047"/>
      <c r="DW28" s="1047"/>
      <c r="DX28" s="1047"/>
      <c r="DY28" s="1047" t="s">
        <v>755</v>
      </c>
      <c r="DZ28" s="1047"/>
      <c r="EA28" s="1047"/>
      <c r="EB28" s="1047"/>
      <c r="EC28" s="1047"/>
      <c r="ED28" s="1047"/>
      <c r="EE28" s="1047" t="s">
        <v>755</v>
      </c>
      <c r="EF28" s="1047"/>
      <c r="EG28" s="1047"/>
      <c r="EH28" s="1047"/>
      <c r="EI28" s="1047"/>
      <c r="EJ28" s="1047"/>
      <c r="EK28" s="1047" t="s">
        <v>755</v>
      </c>
      <c r="EL28" s="1047"/>
      <c r="EM28" s="1047"/>
      <c r="EN28" s="1047"/>
      <c r="EO28" s="1047"/>
      <c r="EP28" s="1048"/>
    </row>
    <row r="29" spans="1:146" ht="21.75" customHeight="1" thickBot="1" x14ac:dyDescent="0.2">
      <c r="A29" s="624" t="s">
        <v>210</v>
      </c>
      <c r="B29" s="385" t="s">
        <v>568</v>
      </c>
      <c r="C29" s="489"/>
      <c r="D29" s="490"/>
      <c r="E29" s="490"/>
      <c r="F29" s="490"/>
      <c r="G29" s="490"/>
      <c r="H29" s="490"/>
      <c r="I29" s="490"/>
      <c r="J29" s="490"/>
      <c r="K29" s="490"/>
      <c r="L29" s="490"/>
      <c r="M29" s="490"/>
      <c r="N29" s="490"/>
      <c r="O29" s="490"/>
      <c r="P29" s="490"/>
      <c r="Q29" s="490"/>
      <c r="R29" s="490"/>
      <c r="S29" s="490"/>
      <c r="T29" s="490"/>
      <c r="U29" s="490"/>
      <c r="V29" s="490"/>
      <c r="W29" s="490"/>
      <c r="X29" s="490"/>
      <c r="Y29" s="490"/>
      <c r="Z29" s="516"/>
      <c r="AA29" s="489"/>
      <c r="AB29" s="490"/>
      <c r="AC29" s="490"/>
      <c r="AD29" s="490"/>
      <c r="AE29" s="490"/>
      <c r="AF29" s="490"/>
      <c r="AG29" s="490"/>
      <c r="AH29" s="490"/>
      <c r="AI29" s="490"/>
      <c r="AJ29" s="490"/>
      <c r="AK29" s="490"/>
      <c r="AL29" s="490"/>
      <c r="AM29" s="490"/>
      <c r="AN29" s="490"/>
      <c r="AO29" s="490"/>
      <c r="AP29" s="490"/>
      <c r="AQ29" s="490"/>
      <c r="AR29" s="490"/>
      <c r="AS29" s="490"/>
      <c r="AT29" s="490"/>
      <c r="AU29" s="490"/>
      <c r="AV29" s="490"/>
      <c r="AW29" s="490"/>
      <c r="AX29" s="516"/>
      <c r="AY29" s="517"/>
      <c r="AZ29" s="490"/>
      <c r="BA29" s="490"/>
      <c r="BB29" s="490"/>
      <c r="BC29" s="490"/>
      <c r="BD29" s="490"/>
      <c r="BE29" s="497"/>
      <c r="BF29" s="497"/>
      <c r="BG29" s="497"/>
      <c r="BH29" s="497"/>
      <c r="BI29" s="497"/>
      <c r="BJ29" s="497"/>
      <c r="BK29" s="490"/>
      <c r="BL29" s="490"/>
      <c r="BM29" s="490"/>
      <c r="BN29" s="490"/>
      <c r="BO29" s="490"/>
      <c r="BP29" s="490"/>
      <c r="BQ29" s="490"/>
      <c r="BR29" s="490"/>
      <c r="BS29" s="490"/>
      <c r="BT29" s="490"/>
      <c r="BU29" s="490"/>
      <c r="BV29" s="507"/>
      <c r="BW29" s="489"/>
      <c r="BX29" s="490"/>
      <c r="BY29" s="490"/>
      <c r="BZ29" s="490"/>
      <c r="CA29" s="490"/>
      <c r="CB29" s="490"/>
      <c r="CC29" s="490"/>
      <c r="CD29" s="490"/>
      <c r="CE29" s="490"/>
      <c r="CF29" s="490"/>
      <c r="CG29" s="490"/>
      <c r="CH29" s="490"/>
      <c r="CI29" s="490"/>
      <c r="CJ29" s="490"/>
      <c r="CK29" s="490"/>
      <c r="CL29" s="490"/>
      <c r="CM29" s="490"/>
      <c r="CN29" s="490"/>
      <c r="CO29" s="490"/>
      <c r="CP29" s="490"/>
      <c r="CQ29" s="490"/>
      <c r="CR29" s="490"/>
      <c r="CS29" s="490"/>
      <c r="CT29" s="516"/>
      <c r="CU29" s="489"/>
      <c r="CV29" s="490"/>
      <c r="CW29" s="490"/>
      <c r="CX29" s="490"/>
      <c r="CY29" s="490"/>
      <c r="CZ29" s="490"/>
      <c r="DA29" s="490"/>
      <c r="DB29" s="490"/>
      <c r="DC29" s="490"/>
      <c r="DD29" s="490"/>
      <c r="DE29" s="490"/>
      <c r="DF29" s="490"/>
      <c r="DG29" s="490"/>
      <c r="DH29" s="490"/>
      <c r="DI29" s="490"/>
      <c r="DJ29" s="490"/>
      <c r="DK29" s="490"/>
      <c r="DL29" s="490"/>
      <c r="DM29" s="490"/>
      <c r="DN29" s="490"/>
      <c r="DO29" s="490"/>
      <c r="DP29" s="490"/>
      <c r="DQ29" s="490"/>
      <c r="DR29" s="516"/>
      <c r="DS29" s="517"/>
      <c r="DT29" s="490"/>
      <c r="DU29" s="490"/>
      <c r="DV29" s="490"/>
      <c r="DW29" s="490"/>
      <c r="DX29" s="490"/>
      <c r="DY29" s="490"/>
      <c r="DZ29" s="490"/>
      <c r="EA29" s="490"/>
      <c r="EB29" s="490"/>
      <c r="EC29" s="490"/>
      <c r="ED29" s="490"/>
      <c r="EE29" s="490"/>
      <c r="EF29" s="490"/>
      <c r="EG29" s="490"/>
      <c r="EH29" s="490"/>
      <c r="EI29" s="490"/>
      <c r="EJ29" s="490"/>
      <c r="EK29" s="490"/>
      <c r="EL29" s="490"/>
      <c r="EM29" s="490"/>
      <c r="EN29" s="490"/>
      <c r="EO29" s="490"/>
      <c r="EP29" s="507"/>
    </row>
    <row r="30" spans="1:146" ht="39.75" customHeight="1" x14ac:dyDescent="0.15">
      <c r="A30" s="624" t="s">
        <v>211</v>
      </c>
      <c r="B30" s="385" t="s">
        <v>628</v>
      </c>
      <c r="C30" s="525"/>
      <c r="D30" s="526"/>
      <c r="E30" s="526"/>
      <c r="F30" s="526"/>
      <c r="G30" s="526"/>
      <c r="H30" s="526"/>
      <c r="I30" s="526"/>
      <c r="J30" s="526"/>
      <c r="K30" s="526"/>
      <c r="L30" s="526"/>
      <c r="M30" s="526"/>
      <c r="N30" s="526"/>
      <c r="O30" s="526"/>
      <c r="P30" s="526"/>
      <c r="Q30" s="526"/>
      <c r="R30" s="526"/>
      <c r="S30" s="526"/>
      <c r="T30" s="526"/>
      <c r="U30" s="526"/>
      <c r="V30" s="526"/>
      <c r="W30" s="526"/>
      <c r="X30" s="526"/>
      <c r="Y30" s="526"/>
      <c r="Z30" s="527"/>
      <c r="AA30" s="525"/>
      <c r="AB30" s="526"/>
      <c r="AC30" s="526"/>
      <c r="AD30" s="526"/>
      <c r="AE30" s="526"/>
      <c r="AF30" s="526"/>
      <c r="AG30" s="526"/>
      <c r="AH30" s="526"/>
      <c r="AI30" s="526"/>
      <c r="AJ30" s="526"/>
      <c r="AK30" s="526"/>
      <c r="AL30" s="526"/>
      <c r="AM30" s="526"/>
      <c r="AN30" s="526"/>
      <c r="AO30" s="526"/>
      <c r="AP30" s="526"/>
      <c r="AQ30" s="526"/>
      <c r="AR30" s="526"/>
      <c r="AS30" s="526"/>
      <c r="AT30" s="526"/>
      <c r="AU30" s="526"/>
      <c r="AV30" s="526"/>
      <c r="AW30" s="526"/>
      <c r="AX30" s="527"/>
      <c r="AY30" s="525"/>
      <c r="AZ30" s="526"/>
      <c r="BA30" s="526"/>
      <c r="BB30" s="526"/>
      <c r="BC30" s="526"/>
      <c r="BD30" s="526"/>
      <c r="BE30" s="526"/>
      <c r="BF30" s="526"/>
      <c r="BG30" s="526"/>
      <c r="BH30" s="617"/>
      <c r="BI30" s="617"/>
      <c r="BJ30" s="617"/>
      <c r="BK30" s="617"/>
      <c r="BL30" s="617"/>
      <c r="BM30" s="617"/>
      <c r="BN30" s="617"/>
      <c r="BO30" s="617"/>
      <c r="BP30" s="617"/>
      <c r="BQ30" s="526"/>
      <c r="BR30" s="526"/>
      <c r="BS30" s="526"/>
      <c r="BT30" s="526"/>
      <c r="BU30" s="526"/>
      <c r="BV30" s="535"/>
      <c r="BW30" s="525"/>
      <c r="BX30" s="526"/>
      <c r="BY30" s="526"/>
      <c r="BZ30" s="526"/>
      <c r="CA30" s="526"/>
      <c r="CB30" s="526"/>
      <c r="CC30" s="526"/>
      <c r="CD30" s="526"/>
      <c r="CE30" s="526"/>
      <c r="CF30" s="526"/>
      <c r="CG30" s="526"/>
      <c r="CH30" s="526"/>
      <c r="CI30" s="526"/>
      <c r="CJ30" s="526"/>
      <c r="CK30" s="526"/>
      <c r="CL30" s="526"/>
      <c r="CM30" s="526"/>
      <c r="CN30" s="526"/>
      <c r="CO30" s="526"/>
      <c r="CP30" s="526"/>
      <c r="CQ30" s="526"/>
      <c r="CR30" s="526"/>
      <c r="CS30" s="526"/>
      <c r="CT30" s="527"/>
      <c r="CU30" s="525"/>
      <c r="CV30" s="526"/>
      <c r="CW30" s="526"/>
      <c r="CX30" s="526"/>
      <c r="CY30" s="526"/>
      <c r="CZ30" s="526"/>
      <c r="DA30" s="526"/>
      <c r="DB30" s="526"/>
      <c r="DC30" s="526"/>
      <c r="DD30" s="526"/>
      <c r="DE30" s="526"/>
      <c r="DF30" s="526"/>
      <c r="DG30" s="526"/>
      <c r="DH30" s="526"/>
      <c r="DI30" s="526"/>
      <c r="DJ30" s="526"/>
      <c r="DK30" s="526"/>
      <c r="DL30" s="526"/>
      <c r="DM30" s="526"/>
      <c r="DN30" s="526"/>
      <c r="DO30" s="526"/>
      <c r="DP30" s="526"/>
      <c r="DQ30" s="526"/>
      <c r="DR30" s="527"/>
      <c r="DS30" s="525"/>
      <c r="DT30" s="526"/>
      <c r="DU30" s="526"/>
      <c r="DV30" s="526"/>
      <c r="DW30" s="526"/>
      <c r="DX30" s="526"/>
      <c r="DY30" s="526"/>
      <c r="DZ30" s="526"/>
      <c r="EA30" s="526"/>
      <c r="EB30" s="526"/>
      <c r="EC30" s="526"/>
      <c r="ED30" s="526"/>
      <c r="EE30" s="526"/>
      <c r="EF30" s="526"/>
      <c r="EG30" s="526"/>
      <c r="EH30" s="526"/>
      <c r="EI30" s="526"/>
      <c r="EJ30" s="526"/>
      <c r="EK30" s="526"/>
      <c r="EL30" s="526"/>
      <c r="EM30" s="526"/>
      <c r="EN30" s="526"/>
      <c r="EO30" s="526"/>
      <c r="EP30" s="535"/>
    </row>
    <row r="31" spans="1:146" ht="44.25" customHeight="1" x14ac:dyDescent="0.15">
      <c r="A31" s="624" t="s">
        <v>212</v>
      </c>
      <c r="B31" s="385" t="s">
        <v>627</v>
      </c>
      <c r="C31" s="525"/>
      <c r="D31" s="526"/>
      <c r="E31" s="526"/>
      <c r="F31" s="526"/>
      <c r="G31" s="526"/>
      <c r="H31" s="526"/>
      <c r="I31" s="526"/>
      <c r="J31" s="526"/>
      <c r="K31" s="526"/>
      <c r="L31" s="526"/>
      <c r="M31" s="526"/>
      <c r="N31" s="526"/>
      <c r="O31" s="526"/>
      <c r="P31" s="526"/>
      <c r="Q31" s="526"/>
      <c r="R31" s="526"/>
      <c r="S31" s="526"/>
      <c r="T31" s="526"/>
      <c r="U31" s="526"/>
      <c r="V31" s="526"/>
      <c r="W31" s="526"/>
      <c r="X31" s="526"/>
      <c r="Y31" s="526"/>
      <c r="Z31" s="527"/>
      <c r="AA31" s="525"/>
      <c r="AB31" s="526"/>
      <c r="AC31" s="526"/>
      <c r="AD31" s="526"/>
      <c r="AE31" s="526"/>
      <c r="AF31" s="526"/>
      <c r="AG31" s="526"/>
      <c r="AH31" s="526"/>
      <c r="AI31" s="526"/>
      <c r="AJ31" s="526"/>
      <c r="AK31" s="526"/>
      <c r="AL31" s="526"/>
      <c r="AM31" s="526"/>
      <c r="AN31" s="526"/>
      <c r="AO31" s="526"/>
      <c r="AP31" s="526"/>
      <c r="AQ31" s="526"/>
      <c r="AR31" s="526"/>
      <c r="AS31" s="526"/>
      <c r="AT31" s="526"/>
      <c r="AU31" s="526"/>
      <c r="AV31" s="526"/>
      <c r="AW31" s="526"/>
      <c r="AX31" s="527"/>
      <c r="AY31" s="525"/>
      <c r="AZ31" s="526"/>
      <c r="BA31" s="526"/>
      <c r="BB31" s="526"/>
      <c r="BC31" s="526"/>
      <c r="BD31" s="526"/>
      <c r="BE31" s="526"/>
      <c r="BF31" s="526"/>
      <c r="BG31" s="526"/>
      <c r="BH31" s="617"/>
      <c r="BI31" s="617"/>
      <c r="BJ31" s="617"/>
      <c r="BK31" s="617"/>
      <c r="BL31" s="617"/>
      <c r="BM31" s="617"/>
      <c r="BN31" s="617"/>
      <c r="BO31" s="617"/>
      <c r="BP31" s="617"/>
      <c r="BQ31" s="526"/>
      <c r="BR31" s="526"/>
      <c r="BS31" s="526"/>
      <c r="BT31" s="526"/>
      <c r="BU31" s="526"/>
      <c r="BV31" s="535"/>
      <c r="BW31" s="525"/>
      <c r="BX31" s="526"/>
      <c r="BY31" s="526"/>
      <c r="BZ31" s="526"/>
      <c r="CA31" s="526"/>
      <c r="CB31" s="526"/>
      <c r="CC31" s="526"/>
      <c r="CD31" s="526"/>
      <c r="CE31" s="526"/>
      <c r="CF31" s="526"/>
      <c r="CG31" s="526"/>
      <c r="CH31" s="526"/>
      <c r="CI31" s="526"/>
      <c r="CJ31" s="526"/>
      <c r="CK31" s="526"/>
      <c r="CL31" s="526"/>
      <c r="CM31" s="526"/>
      <c r="CN31" s="526"/>
      <c r="CO31" s="526"/>
      <c r="CP31" s="526"/>
      <c r="CQ31" s="526"/>
      <c r="CR31" s="526"/>
      <c r="CS31" s="526"/>
      <c r="CT31" s="527"/>
      <c r="CU31" s="525"/>
      <c r="CV31" s="526"/>
      <c r="CW31" s="526"/>
      <c r="CX31" s="526"/>
      <c r="CY31" s="526"/>
      <c r="CZ31" s="526"/>
      <c r="DA31" s="526"/>
      <c r="DB31" s="526"/>
      <c r="DC31" s="526"/>
      <c r="DD31" s="526"/>
      <c r="DE31" s="526"/>
      <c r="DF31" s="526"/>
      <c r="DG31" s="526"/>
      <c r="DH31" s="526"/>
      <c r="DI31" s="526"/>
      <c r="DJ31" s="526"/>
      <c r="DK31" s="526"/>
      <c r="DL31" s="526"/>
      <c r="DM31" s="526"/>
      <c r="DN31" s="526"/>
      <c r="DO31" s="526"/>
      <c r="DP31" s="526"/>
      <c r="DQ31" s="526"/>
      <c r="DR31" s="527"/>
      <c r="DS31" s="525"/>
      <c r="DT31" s="526"/>
      <c r="DU31" s="526"/>
      <c r="DV31" s="526"/>
      <c r="DW31" s="526"/>
      <c r="DX31" s="526"/>
      <c r="DY31" s="526"/>
      <c r="DZ31" s="526"/>
      <c r="EA31" s="526"/>
      <c r="EB31" s="526"/>
      <c r="EC31" s="526"/>
      <c r="ED31" s="526"/>
      <c r="EE31" s="526"/>
      <c r="EF31" s="526"/>
      <c r="EG31" s="526"/>
      <c r="EH31" s="526"/>
      <c r="EI31" s="526"/>
      <c r="EJ31" s="526"/>
      <c r="EK31" s="526"/>
      <c r="EL31" s="526"/>
      <c r="EM31" s="526"/>
      <c r="EN31" s="526"/>
      <c r="EO31" s="526"/>
      <c r="EP31" s="535"/>
    </row>
    <row r="32" spans="1:146" ht="44.25" customHeight="1" x14ac:dyDescent="0.15">
      <c r="A32" s="624" t="s">
        <v>213</v>
      </c>
      <c r="B32" s="385" t="s">
        <v>629</v>
      </c>
      <c r="C32" s="525"/>
      <c r="D32" s="526"/>
      <c r="E32" s="526"/>
      <c r="F32" s="526"/>
      <c r="G32" s="526"/>
      <c r="H32" s="526"/>
      <c r="I32" s="526"/>
      <c r="J32" s="526"/>
      <c r="K32" s="526"/>
      <c r="L32" s="526"/>
      <c r="M32" s="526"/>
      <c r="N32" s="526"/>
      <c r="O32" s="526"/>
      <c r="P32" s="526"/>
      <c r="Q32" s="526"/>
      <c r="R32" s="526"/>
      <c r="S32" s="526"/>
      <c r="T32" s="526"/>
      <c r="U32" s="526"/>
      <c r="V32" s="526"/>
      <c r="W32" s="526"/>
      <c r="X32" s="526"/>
      <c r="Y32" s="526"/>
      <c r="Z32" s="527"/>
      <c r="AA32" s="525"/>
      <c r="AB32" s="526"/>
      <c r="AC32" s="526"/>
      <c r="AD32" s="526"/>
      <c r="AE32" s="526"/>
      <c r="AF32" s="526"/>
      <c r="AG32" s="526"/>
      <c r="AH32" s="526"/>
      <c r="AI32" s="526"/>
      <c r="AJ32" s="526"/>
      <c r="AK32" s="526"/>
      <c r="AL32" s="526"/>
      <c r="AM32" s="526"/>
      <c r="AN32" s="526"/>
      <c r="AO32" s="526"/>
      <c r="AP32" s="526"/>
      <c r="AQ32" s="526"/>
      <c r="AR32" s="526"/>
      <c r="AS32" s="526"/>
      <c r="AT32" s="526"/>
      <c r="AU32" s="526"/>
      <c r="AV32" s="526"/>
      <c r="AW32" s="526"/>
      <c r="AX32" s="527"/>
      <c r="AY32" s="525"/>
      <c r="AZ32" s="526"/>
      <c r="BA32" s="526"/>
      <c r="BB32" s="526"/>
      <c r="BC32" s="526"/>
      <c r="BD32" s="526"/>
      <c r="BE32" s="526"/>
      <c r="BF32" s="526"/>
      <c r="BG32" s="526"/>
      <c r="BH32" s="526"/>
      <c r="BI32" s="526"/>
      <c r="BJ32" s="526"/>
      <c r="BK32" s="617"/>
      <c r="BL32" s="617"/>
      <c r="BM32" s="617"/>
      <c r="BN32" s="617"/>
      <c r="BO32" s="617"/>
      <c r="BP32" s="617"/>
      <c r="BQ32" s="617"/>
      <c r="BR32" s="617"/>
      <c r="BS32" s="617"/>
      <c r="BT32" s="617"/>
      <c r="BU32" s="617"/>
      <c r="BV32" s="618"/>
      <c r="BW32" s="525"/>
      <c r="BX32" s="526"/>
      <c r="BY32" s="526"/>
      <c r="BZ32" s="526"/>
      <c r="CA32" s="526"/>
      <c r="CB32" s="526"/>
      <c r="CC32" s="526"/>
      <c r="CD32" s="526"/>
      <c r="CE32" s="526"/>
      <c r="CF32" s="526"/>
      <c r="CG32" s="526"/>
      <c r="CH32" s="526"/>
      <c r="CI32" s="526"/>
      <c r="CJ32" s="526"/>
      <c r="CK32" s="526"/>
      <c r="CL32" s="526"/>
      <c r="CM32" s="526"/>
      <c r="CN32" s="526"/>
      <c r="CO32" s="526"/>
      <c r="CP32" s="526"/>
      <c r="CQ32" s="526"/>
      <c r="CR32" s="526"/>
      <c r="CS32" s="526"/>
      <c r="CT32" s="527"/>
      <c r="CU32" s="525"/>
      <c r="CV32" s="526"/>
      <c r="CW32" s="526"/>
      <c r="CX32" s="526"/>
      <c r="CY32" s="526"/>
      <c r="CZ32" s="526"/>
      <c r="DA32" s="526"/>
      <c r="DB32" s="526"/>
      <c r="DC32" s="526"/>
      <c r="DD32" s="526"/>
      <c r="DE32" s="526"/>
      <c r="DF32" s="526"/>
      <c r="DG32" s="526"/>
      <c r="DH32" s="526"/>
      <c r="DI32" s="526"/>
      <c r="DJ32" s="526"/>
      <c r="DK32" s="526"/>
      <c r="DL32" s="526"/>
      <c r="DM32" s="526"/>
      <c r="DN32" s="526"/>
      <c r="DO32" s="526"/>
      <c r="DP32" s="526"/>
      <c r="DQ32" s="526"/>
      <c r="DR32" s="527"/>
      <c r="DS32" s="525"/>
      <c r="DT32" s="526"/>
      <c r="DU32" s="526"/>
      <c r="DV32" s="526"/>
      <c r="DW32" s="526"/>
      <c r="DX32" s="526"/>
      <c r="DY32" s="526"/>
      <c r="DZ32" s="526"/>
      <c r="EA32" s="526"/>
      <c r="EB32" s="526"/>
      <c r="EC32" s="526"/>
      <c r="ED32" s="526"/>
      <c r="EE32" s="526"/>
      <c r="EF32" s="526"/>
      <c r="EG32" s="526"/>
      <c r="EH32" s="526"/>
      <c r="EI32" s="526"/>
      <c r="EJ32" s="526"/>
      <c r="EK32" s="526"/>
      <c r="EL32" s="526"/>
      <c r="EM32" s="526"/>
      <c r="EN32" s="526"/>
      <c r="EO32" s="526"/>
      <c r="EP32" s="535"/>
    </row>
    <row r="33" spans="1:146" ht="44.25" customHeight="1" x14ac:dyDescent="0.15">
      <c r="A33" s="624" t="s">
        <v>214</v>
      </c>
      <c r="B33" s="385" t="s">
        <v>586</v>
      </c>
      <c r="C33" s="525"/>
      <c r="D33" s="526"/>
      <c r="E33" s="526"/>
      <c r="F33" s="526"/>
      <c r="G33" s="526"/>
      <c r="H33" s="526"/>
      <c r="I33" s="526"/>
      <c r="J33" s="526"/>
      <c r="K33" s="526"/>
      <c r="L33" s="526"/>
      <c r="M33" s="526"/>
      <c r="N33" s="526"/>
      <c r="O33" s="526"/>
      <c r="P33" s="526"/>
      <c r="Q33" s="526"/>
      <c r="R33" s="526"/>
      <c r="S33" s="526"/>
      <c r="T33" s="526"/>
      <c r="U33" s="526"/>
      <c r="V33" s="526"/>
      <c r="W33" s="526"/>
      <c r="X33" s="526"/>
      <c r="Y33" s="526"/>
      <c r="Z33" s="527"/>
      <c r="AA33" s="525"/>
      <c r="AB33" s="526"/>
      <c r="AC33" s="526"/>
      <c r="AD33" s="526"/>
      <c r="AE33" s="526"/>
      <c r="AF33" s="526"/>
      <c r="AG33" s="526"/>
      <c r="AH33" s="526"/>
      <c r="AI33" s="526"/>
      <c r="AJ33" s="526"/>
      <c r="AK33" s="526"/>
      <c r="AL33" s="526"/>
      <c r="AM33" s="526"/>
      <c r="AN33" s="526"/>
      <c r="AO33" s="526"/>
      <c r="AP33" s="526"/>
      <c r="AQ33" s="526"/>
      <c r="AR33" s="526"/>
      <c r="AS33" s="526"/>
      <c r="AT33" s="526"/>
      <c r="AU33" s="526"/>
      <c r="AV33" s="526"/>
      <c r="AW33" s="526"/>
      <c r="AX33" s="527"/>
      <c r="AY33" s="525"/>
      <c r="AZ33" s="526"/>
      <c r="BA33" s="526"/>
      <c r="BB33" s="526"/>
      <c r="BC33" s="526"/>
      <c r="BD33" s="526"/>
      <c r="BE33" s="526"/>
      <c r="BF33" s="526"/>
      <c r="BG33" s="526"/>
      <c r="BH33" s="526"/>
      <c r="BI33" s="526"/>
      <c r="BJ33" s="526"/>
      <c r="BK33" s="617"/>
      <c r="BL33" s="617"/>
      <c r="BM33" s="617"/>
      <c r="BN33" s="617"/>
      <c r="BO33" s="617"/>
      <c r="BP33" s="617"/>
      <c r="BQ33" s="617"/>
      <c r="BR33" s="617"/>
      <c r="BS33" s="617"/>
      <c r="BT33" s="617"/>
      <c r="BU33" s="617"/>
      <c r="BV33" s="618"/>
      <c r="BW33" s="525"/>
      <c r="BX33" s="526"/>
      <c r="BY33" s="526"/>
      <c r="BZ33" s="526"/>
      <c r="CA33" s="526"/>
      <c r="CB33" s="526"/>
      <c r="CC33" s="526"/>
      <c r="CD33" s="526"/>
      <c r="CE33" s="526"/>
      <c r="CF33" s="526"/>
      <c r="CG33" s="526"/>
      <c r="CH33" s="526"/>
      <c r="CI33" s="526"/>
      <c r="CJ33" s="526"/>
      <c r="CK33" s="526"/>
      <c r="CL33" s="526"/>
      <c r="CM33" s="526"/>
      <c r="CN33" s="526"/>
      <c r="CO33" s="526"/>
      <c r="CP33" s="526"/>
      <c r="CQ33" s="526"/>
      <c r="CR33" s="526"/>
      <c r="CS33" s="526"/>
      <c r="CT33" s="527"/>
      <c r="CU33" s="525"/>
      <c r="CV33" s="526"/>
      <c r="CW33" s="526"/>
      <c r="CX33" s="526"/>
      <c r="CY33" s="526"/>
      <c r="CZ33" s="526"/>
      <c r="DA33" s="526"/>
      <c r="DB33" s="526"/>
      <c r="DC33" s="526"/>
      <c r="DD33" s="526"/>
      <c r="DE33" s="526"/>
      <c r="DF33" s="526"/>
      <c r="DG33" s="526"/>
      <c r="DH33" s="526"/>
      <c r="DI33" s="526"/>
      <c r="DJ33" s="526"/>
      <c r="DK33" s="526"/>
      <c r="DL33" s="526"/>
      <c r="DM33" s="526"/>
      <c r="DN33" s="526"/>
      <c r="DO33" s="526"/>
      <c r="DP33" s="526"/>
      <c r="DQ33" s="526"/>
      <c r="DR33" s="527"/>
      <c r="DS33" s="525"/>
      <c r="DT33" s="526"/>
      <c r="DU33" s="526"/>
      <c r="DV33" s="526"/>
      <c r="DW33" s="526"/>
      <c r="DX33" s="526"/>
      <c r="DY33" s="526"/>
      <c r="DZ33" s="526"/>
      <c r="EA33" s="526"/>
      <c r="EB33" s="526"/>
      <c r="EC33" s="526"/>
      <c r="ED33" s="526"/>
      <c r="EE33" s="526"/>
      <c r="EF33" s="526"/>
      <c r="EG33" s="526"/>
      <c r="EH33" s="526"/>
      <c r="EI33" s="526"/>
      <c r="EJ33" s="526"/>
      <c r="EK33" s="526"/>
      <c r="EL33" s="526"/>
      <c r="EM33" s="526"/>
      <c r="EN33" s="526"/>
      <c r="EO33" s="526"/>
      <c r="EP33" s="535"/>
    </row>
    <row r="34" spans="1:146" ht="44.25" customHeight="1" x14ac:dyDescent="0.15">
      <c r="A34" s="624" t="s">
        <v>601</v>
      </c>
      <c r="B34" s="385" t="s">
        <v>640</v>
      </c>
      <c r="C34" s="525"/>
      <c r="D34" s="526"/>
      <c r="E34" s="526"/>
      <c r="F34" s="526"/>
      <c r="G34" s="526"/>
      <c r="H34" s="526"/>
      <c r="I34" s="526"/>
      <c r="J34" s="526"/>
      <c r="K34" s="526"/>
      <c r="L34" s="526"/>
      <c r="M34" s="526"/>
      <c r="N34" s="526"/>
      <c r="O34" s="526"/>
      <c r="P34" s="526"/>
      <c r="Q34" s="526"/>
      <c r="R34" s="526"/>
      <c r="S34" s="526"/>
      <c r="T34" s="526"/>
      <c r="U34" s="526"/>
      <c r="V34" s="526"/>
      <c r="W34" s="526"/>
      <c r="X34" s="526"/>
      <c r="Y34" s="526"/>
      <c r="Z34" s="527"/>
      <c r="AA34" s="525"/>
      <c r="AB34" s="526"/>
      <c r="AC34" s="526"/>
      <c r="AD34" s="526"/>
      <c r="AE34" s="526"/>
      <c r="AF34" s="526"/>
      <c r="AG34" s="526"/>
      <c r="AH34" s="526"/>
      <c r="AI34" s="526"/>
      <c r="AJ34" s="526"/>
      <c r="AK34" s="526"/>
      <c r="AL34" s="526"/>
      <c r="AM34" s="526"/>
      <c r="AN34" s="526"/>
      <c r="AO34" s="526"/>
      <c r="AP34" s="526"/>
      <c r="AQ34" s="526"/>
      <c r="AR34" s="526"/>
      <c r="AS34" s="526"/>
      <c r="AT34" s="526"/>
      <c r="AU34" s="526"/>
      <c r="AV34" s="526"/>
      <c r="AW34" s="526"/>
      <c r="AX34" s="527"/>
      <c r="AY34" s="525"/>
      <c r="AZ34" s="526"/>
      <c r="BA34" s="526"/>
      <c r="BB34" s="526"/>
      <c r="BC34" s="526"/>
      <c r="BD34" s="526"/>
      <c r="BE34" s="526"/>
      <c r="BF34" s="526"/>
      <c r="BG34" s="526"/>
      <c r="BH34" s="526"/>
      <c r="BI34" s="526"/>
      <c r="BJ34" s="526"/>
      <c r="BK34" s="526"/>
      <c r="BL34" s="526"/>
      <c r="BM34" s="526"/>
      <c r="BN34" s="526"/>
      <c r="BO34" s="526"/>
      <c r="BP34" s="526"/>
      <c r="BQ34" s="617"/>
      <c r="BR34" s="617"/>
      <c r="BS34" s="617"/>
      <c r="BT34" s="617"/>
      <c r="BU34" s="617"/>
      <c r="BV34" s="618"/>
      <c r="BW34" s="529"/>
      <c r="BX34" s="530"/>
      <c r="BY34" s="530"/>
      <c r="BZ34" s="530"/>
      <c r="CA34" s="530"/>
      <c r="CB34" s="530"/>
      <c r="CC34" s="530"/>
      <c r="CD34" s="530"/>
      <c r="CE34" s="530"/>
      <c r="CF34" s="530"/>
      <c r="CG34" s="530"/>
      <c r="CH34" s="530"/>
      <c r="CI34" s="530"/>
      <c r="CJ34" s="530"/>
      <c r="CK34" s="530"/>
      <c r="CL34" s="530"/>
      <c r="CM34" s="530"/>
      <c r="CN34" s="530"/>
      <c r="CO34" s="530"/>
      <c r="CP34" s="530"/>
      <c r="CQ34" s="530"/>
      <c r="CR34" s="530"/>
      <c r="CS34" s="530"/>
      <c r="CT34" s="531"/>
      <c r="CU34" s="525"/>
      <c r="CV34" s="526"/>
      <c r="CW34" s="526"/>
      <c r="CX34" s="526"/>
      <c r="CY34" s="526"/>
      <c r="CZ34" s="526"/>
      <c r="DA34" s="526"/>
      <c r="DB34" s="526"/>
      <c r="DC34" s="526"/>
      <c r="DD34" s="526"/>
      <c r="DE34" s="526"/>
      <c r="DF34" s="526"/>
      <c r="DG34" s="526"/>
      <c r="DH34" s="526"/>
      <c r="DI34" s="526"/>
      <c r="DJ34" s="526"/>
      <c r="DK34" s="526"/>
      <c r="DL34" s="526"/>
      <c r="DM34" s="526"/>
      <c r="DN34" s="526"/>
      <c r="DO34" s="526"/>
      <c r="DP34" s="526"/>
      <c r="DQ34" s="526"/>
      <c r="DR34" s="527"/>
      <c r="DS34" s="525"/>
      <c r="DT34" s="526"/>
      <c r="DU34" s="526"/>
      <c r="DV34" s="526"/>
      <c r="DW34" s="526"/>
      <c r="DX34" s="526"/>
      <c r="DY34" s="526"/>
      <c r="DZ34" s="526"/>
      <c r="EA34" s="526"/>
      <c r="EB34" s="526"/>
      <c r="EC34" s="526"/>
      <c r="ED34" s="526"/>
      <c r="EE34" s="526"/>
      <c r="EF34" s="526"/>
      <c r="EG34" s="526"/>
      <c r="EH34" s="526"/>
      <c r="EI34" s="526"/>
      <c r="EJ34" s="526"/>
      <c r="EK34" s="526"/>
      <c r="EL34" s="526"/>
      <c r="EM34" s="526"/>
      <c r="EN34" s="526"/>
      <c r="EO34" s="526"/>
      <c r="EP34" s="535"/>
    </row>
    <row r="35" spans="1:146" ht="44.25" customHeight="1" x14ac:dyDescent="0.15">
      <c r="A35" s="624" t="s">
        <v>215</v>
      </c>
      <c r="B35" s="385" t="s">
        <v>626</v>
      </c>
      <c r="C35" s="525"/>
      <c r="D35" s="526"/>
      <c r="E35" s="526"/>
      <c r="F35" s="526"/>
      <c r="G35" s="526"/>
      <c r="H35" s="526"/>
      <c r="I35" s="526"/>
      <c r="J35" s="526"/>
      <c r="K35" s="526"/>
      <c r="L35" s="526"/>
      <c r="M35" s="526"/>
      <c r="N35" s="526"/>
      <c r="O35" s="526"/>
      <c r="P35" s="526"/>
      <c r="Q35" s="526"/>
      <c r="R35" s="526"/>
      <c r="S35" s="526"/>
      <c r="T35" s="526"/>
      <c r="U35" s="526"/>
      <c r="V35" s="526"/>
      <c r="W35" s="526"/>
      <c r="X35" s="526"/>
      <c r="Y35" s="526"/>
      <c r="Z35" s="527"/>
      <c r="AA35" s="525"/>
      <c r="AB35" s="526"/>
      <c r="AC35" s="526"/>
      <c r="AD35" s="526"/>
      <c r="AE35" s="526"/>
      <c r="AF35" s="526"/>
      <c r="AG35" s="526"/>
      <c r="AH35" s="526"/>
      <c r="AI35" s="526"/>
      <c r="AJ35" s="526"/>
      <c r="AK35" s="526"/>
      <c r="AL35" s="526"/>
      <c r="AM35" s="526"/>
      <c r="AN35" s="526"/>
      <c r="AO35" s="526"/>
      <c r="AP35" s="526"/>
      <c r="AQ35" s="526"/>
      <c r="AR35" s="526"/>
      <c r="AS35" s="526"/>
      <c r="AT35" s="526"/>
      <c r="AU35" s="526"/>
      <c r="AV35" s="526"/>
      <c r="AW35" s="526"/>
      <c r="AX35" s="527"/>
      <c r="AY35" s="525"/>
      <c r="AZ35" s="526"/>
      <c r="BA35" s="526"/>
      <c r="BB35" s="526"/>
      <c r="BC35" s="526"/>
      <c r="BD35" s="526"/>
      <c r="BE35" s="526"/>
      <c r="BF35" s="526"/>
      <c r="BG35" s="526"/>
      <c r="BH35" s="526"/>
      <c r="BI35" s="526"/>
      <c r="BJ35" s="526"/>
      <c r="BK35" s="526"/>
      <c r="BL35" s="526"/>
      <c r="BM35" s="526"/>
      <c r="BN35" s="526"/>
      <c r="BO35" s="526"/>
      <c r="BP35" s="526"/>
      <c r="BQ35" s="526"/>
      <c r="BR35" s="526"/>
      <c r="BS35" s="526"/>
      <c r="BT35" s="526"/>
      <c r="BU35" s="526"/>
      <c r="BV35" s="535"/>
      <c r="BW35" s="529"/>
      <c r="BX35" s="530"/>
      <c r="BY35" s="530"/>
      <c r="BZ35" s="530"/>
      <c r="CA35" s="530"/>
      <c r="CB35" s="530"/>
      <c r="CC35" s="530"/>
      <c r="CD35" s="530"/>
      <c r="CE35" s="530"/>
      <c r="CF35" s="530"/>
      <c r="CG35" s="530"/>
      <c r="CH35" s="530"/>
      <c r="CI35" s="530"/>
      <c r="CJ35" s="530"/>
      <c r="CK35" s="530"/>
      <c r="CL35" s="530"/>
      <c r="CM35" s="530"/>
      <c r="CN35" s="530"/>
      <c r="CO35" s="530"/>
      <c r="CP35" s="530"/>
      <c r="CQ35" s="530"/>
      <c r="CR35" s="530"/>
      <c r="CS35" s="530"/>
      <c r="CT35" s="531"/>
      <c r="CU35" s="525"/>
      <c r="CV35" s="526"/>
      <c r="CW35" s="526"/>
      <c r="CX35" s="526"/>
      <c r="CY35" s="526"/>
      <c r="CZ35" s="526"/>
      <c r="DA35" s="526"/>
      <c r="DB35" s="526"/>
      <c r="DC35" s="526"/>
      <c r="DD35" s="526"/>
      <c r="DE35" s="526"/>
      <c r="DF35" s="526"/>
      <c r="DG35" s="526"/>
      <c r="DH35" s="526"/>
      <c r="DI35" s="526"/>
      <c r="DJ35" s="526"/>
      <c r="DK35" s="526"/>
      <c r="DL35" s="526"/>
      <c r="DM35" s="526"/>
      <c r="DN35" s="526"/>
      <c r="DO35" s="526"/>
      <c r="DP35" s="526"/>
      <c r="DQ35" s="526"/>
      <c r="DR35" s="527"/>
      <c r="DS35" s="525"/>
      <c r="DT35" s="526"/>
      <c r="DU35" s="526"/>
      <c r="DV35" s="526"/>
      <c r="DW35" s="526"/>
      <c r="DX35" s="526"/>
      <c r="DY35" s="526"/>
      <c r="DZ35" s="526"/>
      <c r="EA35" s="526"/>
      <c r="EB35" s="526"/>
      <c r="EC35" s="526"/>
      <c r="ED35" s="526"/>
      <c r="EE35" s="526"/>
      <c r="EF35" s="526"/>
      <c r="EG35" s="526"/>
      <c r="EH35" s="526"/>
      <c r="EI35" s="526"/>
      <c r="EJ35" s="526"/>
      <c r="EK35" s="526"/>
      <c r="EL35" s="526"/>
      <c r="EM35" s="526"/>
      <c r="EN35" s="526"/>
      <c r="EO35" s="526"/>
      <c r="EP35" s="535"/>
    </row>
    <row r="36" spans="1:146" ht="44.25" customHeight="1" x14ac:dyDescent="0.15">
      <c r="A36" s="624" t="s">
        <v>226</v>
      </c>
      <c r="B36" s="385" t="s">
        <v>580</v>
      </c>
      <c r="C36" s="525"/>
      <c r="D36" s="526"/>
      <c r="E36" s="526"/>
      <c r="F36" s="526"/>
      <c r="G36" s="526"/>
      <c r="H36" s="526"/>
      <c r="I36" s="526"/>
      <c r="J36" s="526"/>
      <c r="K36" s="526"/>
      <c r="L36" s="526"/>
      <c r="M36" s="526"/>
      <c r="N36" s="526"/>
      <c r="O36" s="526"/>
      <c r="P36" s="526"/>
      <c r="Q36" s="526"/>
      <c r="R36" s="526"/>
      <c r="S36" s="526"/>
      <c r="T36" s="526"/>
      <c r="U36" s="526"/>
      <c r="V36" s="526"/>
      <c r="W36" s="526"/>
      <c r="X36" s="526"/>
      <c r="Y36" s="526"/>
      <c r="Z36" s="527"/>
      <c r="AA36" s="525"/>
      <c r="AB36" s="526"/>
      <c r="AC36" s="526"/>
      <c r="AD36" s="526"/>
      <c r="AE36" s="526"/>
      <c r="AF36" s="526"/>
      <c r="AG36" s="526"/>
      <c r="AH36" s="526"/>
      <c r="AI36" s="526"/>
      <c r="AJ36" s="526"/>
      <c r="AK36" s="526"/>
      <c r="AL36" s="526"/>
      <c r="AM36" s="526"/>
      <c r="AN36" s="526"/>
      <c r="AO36" s="526"/>
      <c r="AP36" s="526"/>
      <c r="AQ36" s="526"/>
      <c r="AR36" s="526"/>
      <c r="AS36" s="526"/>
      <c r="AT36" s="526"/>
      <c r="AU36" s="526"/>
      <c r="AV36" s="526"/>
      <c r="AW36" s="526"/>
      <c r="AX36" s="527"/>
      <c r="AY36" s="525"/>
      <c r="AZ36" s="526"/>
      <c r="BA36" s="526"/>
      <c r="BB36" s="526"/>
      <c r="BC36" s="526"/>
      <c r="BD36" s="526"/>
      <c r="BE36" s="526"/>
      <c r="BF36" s="526"/>
      <c r="BG36" s="526"/>
      <c r="BH36" s="526"/>
      <c r="BI36" s="526"/>
      <c r="BJ36" s="526"/>
      <c r="BK36" s="526"/>
      <c r="BL36" s="526"/>
      <c r="BM36" s="526"/>
      <c r="BN36" s="526"/>
      <c r="BO36" s="526"/>
      <c r="BP36" s="526"/>
      <c r="BQ36" s="526"/>
      <c r="BR36" s="526"/>
      <c r="BS36" s="526"/>
      <c r="BT36" s="526"/>
      <c r="BU36" s="526"/>
      <c r="BV36" s="535"/>
      <c r="BW36" s="529"/>
      <c r="BX36" s="530"/>
      <c r="BY36" s="530"/>
      <c r="BZ36" s="530"/>
      <c r="CA36" s="530"/>
      <c r="CB36" s="530"/>
      <c r="CC36" s="530"/>
      <c r="CD36" s="530"/>
      <c r="CE36" s="530"/>
      <c r="CF36" s="530"/>
      <c r="CG36" s="530"/>
      <c r="CH36" s="530"/>
      <c r="CI36" s="526"/>
      <c r="CJ36" s="526"/>
      <c r="CK36" s="526"/>
      <c r="CL36" s="526"/>
      <c r="CM36" s="526"/>
      <c r="CN36" s="526"/>
      <c r="CO36" s="526"/>
      <c r="CP36" s="526"/>
      <c r="CQ36" s="526"/>
      <c r="CR36" s="526"/>
      <c r="CS36" s="526"/>
      <c r="CT36" s="527"/>
      <c r="CU36" s="525"/>
      <c r="CV36" s="526"/>
      <c r="CW36" s="526"/>
      <c r="CX36" s="526"/>
      <c r="CY36" s="526"/>
      <c r="CZ36" s="526"/>
      <c r="DA36" s="526"/>
      <c r="DB36" s="526"/>
      <c r="DC36" s="526"/>
      <c r="DD36" s="526"/>
      <c r="DE36" s="526"/>
      <c r="DF36" s="526"/>
      <c r="DG36" s="526"/>
      <c r="DH36" s="526"/>
      <c r="DI36" s="526"/>
      <c r="DJ36" s="526"/>
      <c r="DK36" s="526"/>
      <c r="DL36" s="526"/>
      <c r="DM36" s="526"/>
      <c r="DN36" s="526"/>
      <c r="DO36" s="526"/>
      <c r="DP36" s="526"/>
      <c r="DQ36" s="526"/>
      <c r="DR36" s="527"/>
      <c r="DS36" s="525"/>
      <c r="DT36" s="526"/>
      <c r="DU36" s="526"/>
      <c r="DV36" s="526"/>
      <c r="DW36" s="526"/>
      <c r="DX36" s="526"/>
      <c r="DY36" s="526"/>
      <c r="DZ36" s="526"/>
      <c r="EA36" s="526"/>
      <c r="EB36" s="526"/>
      <c r="EC36" s="526"/>
      <c r="ED36" s="526"/>
      <c r="EE36" s="526"/>
      <c r="EF36" s="526"/>
      <c r="EG36" s="526"/>
      <c r="EH36" s="526"/>
      <c r="EI36" s="526"/>
      <c r="EJ36" s="526"/>
      <c r="EK36" s="526"/>
      <c r="EL36" s="526"/>
      <c r="EM36" s="526"/>
      <c r="EN36" s="526"/>
      <c r="EO36" s="526"/>
      <c r="EP36" s="535"/>
    </row>
    <row r="37" spans="1:146" ht="44.25" customHeight="1" x14ac:dyDescent="0.15">
      <c r="A37" s="624" t="s">
        <v>227</v>
      </c>
      <c r="B37" s="385" t="s">
        <v>589</v>
      </c>
      <c r="C37" s="525"/>
      <c r="D37" s="526"/>
      <c r="E37" s="526"/>
      <c r="F37" s="526"/>
      <c r="G37" s="526"/>
      <c r="H37" s="526"/>
      <c r="I37" s="526"/>
      <c r="J37" s="526"/>
      <c r="K37" s="526"/>
      <c r="L37" s="526"/>
      <c r="M37" s="526"/>
      <c r="N37" s="526"/>
      <c r="O37" s="526"/>
      <c r="P37" s="526"/>
      <c r="Q37" s="526"/>
      <c r="R37" s="526"/>
      <c r="S37" s="526"/>
      <c r="T37" s="526"/>
      <c r="U37" s="526"/>
      <c r="V37" s="526"/>
      <c r="W37" s="526"/>
      <c r="X37" s="526"/>
      <c r="Y37" s="526"/>
      <c r="Z37" s="527"/>
      <c r="AA37" s="525"/>
      <c r="AB37" s="526"/>
      <c r="AC37" s="526"/>
      <c r="AD37" s="526"/>
      <c r="AE37" s="526"/>
      <c r="AF37" s="526"/>
      <c r="AG37" s="526"/>
      <c r="AH37" s="526"/>
      <c r="AI37" s="526"/>
      <c r="AJ37" s="526"/>
      <c r="AK37" s="526"/>
      <c r="AL37" s="526"/>
      <c r="AM37" s="526"/>
      <c r="AN37" s="526"/>
      <c r="AO37" s="526"/>
      <c r="AP37" s="526"/>
      <c r="AQ37" s="526"/>
      <c r="AR37" s="526"/>
      <c r="AS37" s="526"/>
      <c r="AT37" s="526"/>
      <c r="AU37" s="526"/>
      <c r="AV37" s="526"/>
      <c r="AW37" s="526"/>
      <c r="AX37" s="527"/>
      <c r="AY37" s="525"/>
      <c r="AZ37" s="526"/>
      <c r="BA37" s="526"/>
      <c r="BB37" s="526"/>
      <c r="BC37" s="526"/>
      <c r="BD37" s="526"/>
      <c r="BE37" s="526"/>
      <c r="BF37" s="526"/>
      <c r="BG37" s="526"/>
      <c r="BH37" s="526"/>
      <c r="BI37" s="526"/>
      <c r="BJ37" s="526"/>
      <c r="BK37" s="526"/>
      <c r="BL37" s="526"/>
      <c r="BM37" s="526"/>
      <c r="BN37" s="526"/>
      <c r="BO37" s="526"/>
      <c r="BP37" s="526"/>
      <c r="BQ37" s="526"/>
      <c r="BR37" s="526"/>
      <c r="BS37" s="526"/>
      <c r="BT37" s="526"/>
      <c r="BU37" s="526"/>
      <c r="BV37" s="535"/>
      <c r="BW37" s="525"/>
      <c r="BX37" s="526"/>
      <c r="BY37" s="526"/>
      <c r="BZ37" s="526"/>
      <c r="CA37" s="526"/>
      <c r="CB37" s="526"/>
      <c r="CC37" s="530"/>
      <c r="CD37" s="530"/>
      <c r="CE37" s="530"/>
      <c r="CF37" s="530"/>
      <c r="CG37" s="530"/>
      <c r="CH37" s="530"/>
      <c r="CI37" s="526"/>
      <c r="CJ37" s="526"/>
      <c r="CK37" s="526"/>
      <c r="CL37" s="526"/>
      <c r="CM37" s="526"/>
      <c r="CN37" s="526"/>
      <c r="CO37" s="526"/>
      <c r="CP37" s="526"/>
      <c r="CQ37" s="526"/>
      <c r="CR37" s="526"/>
      <c r="CS37" s="526"/>
      <c r="CT37" s="527"/>
      <c r="CU37" s="525"/>
      <c r="CV37" s="526"/>
      <c r="CW37" s="526"/>
      <c r="CX37" s="526"/>
      <c r="CY37" s="526"/>
      <c r="CZ37" s="526"/>
      <c r="DA37" s="526"/>
      <c r="DB37" s="526"/>
      <c r="DC37" s="526"/>
      <c r="DD37" s="526"/>
      <c r="DE37" s="526"/>
      <c r="DF37" s="526"/>
      <c r="DG37" s="526"/>
      <c r="DH37" s="526"/>
      <c r="DI37" s="526"/>
      <c r="DJ37" s="526"/>
      <c r="DK37" s="526"/>
      <c r="DL37" s="526"/>
      <c r="DM37" s="526"/>
      <c r="DN37" s="526"/>
      <c r="DO37" s="526"/>
      <c r="DP37" s="526"/>
      <c r="DQ37" s="526"/>
      <c r="DR37" s="527"/>
      <c r="DS37" s="525"/>
      <c r="DT37" s="526"/>
      <c r="DU37" s="526"/>
      <c r="DV37" s="526"/>
      <c r="DW37" s="526"/>
      <c r="DX37" s="526"/>
      <c r="DY37" s="526"/>
      <c r="DZ37" s="526"/>
      <c r="EA37" s="526"/>
      <c r="EB37" s="526"/>
      <c r="EC37" s="526"/>
      <c r="ED37" s="526"/>
      <c r="EE37" s="526"/>
      <c r="EF37" s="526"/>
      <c r="EG37" s="526"/>
      <c r="EH37" s="526"/>
      <c r="EI37" s="526"/>
      <c r="EJ37" s="526"/>
      <c r="EK37" s="526"/>
      <c r="EL37" s="526"/>
      <c r="EM37" s="526"/>
      <c r="EN37" s="526"/>
      <c r="EO37" s="526"/>
      <c r="EP37" s="535"/>
    </row>
    <row r="38" spans="1:146" ht="44.25" customHeight="1" x14ac:dyDescent="0.15">
      <c r="A38" s="624" t="s">
        <v>228</v>
      </c>
      <c r="B38" s="385" t="s">
        <v>642</v>
      </c>
      <c r="C38" s="525"/>
      <c r="D38" s="526"/>
      <c r="E38" s="526"/>
      <c r="F38" s="526"/>
      <c r="G38" s="526"/>
      <c r="H38" s="526"/>
      <c r="I38" s="526"/>
      <c r="J38" s="526"/>
      <c r="K38" s="526"/>
      <c r="L38" s="526"/>
      <c r="M38" s="526"/>
      <c r="N38" s="526"/>
      <c r="O38" s="526"/>
      <c r="P38" s="526"/>
      <c r="Q38" s="526"/>
      <c r="R38" s="526"/>
      <c r="S38" s="526"/>
      <c r="T38" s="526"/>
      <c r="U38" s="526"/>
      <c r="V38" s="526"/>
      <c r="W38" s="526"/>
      <c r="X38" s="526"/>
      <c r="Y38" s="526"/>
      <c r="Z38" s="527"/>
      <c r="AA38" s="525"/>
      <c r="AB38" s="526"/>
      <c r="AC38" s="526"/>
      <c r="AD38" s="526"/>
      <c r="AE38" s="526"/>
      <c r="AF38" s="526"/>
      <c r="AG38" s="526"/>
      <c r="AH38" s="526"/>
      <c r="AI38" s="526"/>
      <c r="AJ38" s="526"/>
      <c r="AK38" s="526"/>
      <c r="AL38" s="526"/>
      <c r="AM38" s="526"/>
      <c r="AN38" s="526"/>
      <c r="AO38" s="526"/>
      <c r="AP38" s="526"/>
      <c r="AQ38" s="526"/>
      <c r="AR38" s="526"/>
      <c r="AS38" s="526"/>
      <c r="AT38" s="526"/>
      <c r="AU38" s="526"/>
      <c r="AV38" s="526"/>
      <c r="AW38" s="526"/>
      <c r="AX38" s="527"/>
      <c r="AY38" s="525"/>
      <c r="AZ38" s="526"/>
      <c r="BA38" s="526"/>
      <c r="BB38" s="526"/>
      <c r="BC38" s="526"/>
      <c r="BD38" s="526"/>
      <c r="BE38" s="526"/>
      <c r="BF38" s="526"/>
      <c r="BG38" s="526"/>
      <c r="BH38" s="526"/>
      <c r="BI38" s="526"/>
      <c r="BJ38" s="526"/>
      <c r="BK38" s="526"/>
      <c r="BL38" s="526"/>
      <c r="BM38" s="526"/>
      <c r="BN38" s="526"/>
      <c r="BO38" s="526"/>
      <c r="BP38" s="526"/>
      <c r="BQ38" s="526"/>
      <c r="BR38" s="526"/>
      <c r="BS38" s="526"/>
      <c r="BT38" s="526"/>
      <c r="BU38" s="526"/>
      <c r="BV38" s="535"/>
      <c r="BW38" s="525"/>
      <c r="BX38" s="526"/>
      <c r="BY38" s="526"/>
      <c r="BZ38" s="526"/>
      <c r="CA38" s="526"/>
      <c r="CB38" s="526"/>
      <c r="CC38" s="526"/>
      <c r="CD38" s="526"/>
      <c r="CE38" s="526"/>
      <c r="CF38" s="526"/>
      <c r="CG38" s="526"/>
      <c r="CH38" s="526"/>
      <c r="CI38" s="530"/>
      <c r="CJ38" s="530"/>
      <c r="CK38" s="530"/>
      <c r="CL38" s="530"/>
      <c r="CM38" s="530"/>
      <c r="CN38" s="530"/>
      <c r="CO38" s="530"/>
      <c r="CP38" s="530"/>
      <c r="CQ38" s="530"/>
      <c r="CR38" s="530"/>
      <c r="CS38" s="530"/>
      <c r="CT38" s="531"/>
      <c r="CU38" s="532"/>
      <c r="CV38" s="533"/>
      <c r="CW38" s="533"/>
      <c r="CX38" s="533"/>
      <c r="CY38" s="533"/>
      <c r="CZ38" s="533"/>
      <c r="DA38" s="526"/>
      <c r="DB38" s="526"/>
      <c r="DC38" s="526"/>
      <c r="DD38" s="526"/>
      <c r="DE38" s="526"/>
      <c r="DF38" s="526"/>
      <c r="DG38" s="526"/>
      <c r="DH38" s="526"/>
      <c r="DI38" s="526"/>
      <c r="DJ38" s="526"/>
      <c r="DK38" s="526"/>
      <c r="DL38" s="526"/>
      <c r="DM38" s="526"/>
      <c r="DN38" s="526"/>
      <c r="DO38" s="526"/>
      <c r="DP38" s="526"/>
      <c r="DQ38" s="526"/>
      <c r="DR38" s="527"/>
      <c r="DS38" s="525"/>
      <c r="DT38" s="526"/>
      <c r="DU38" s="526"/>
      <c r="DV38" s="526"/>
      <c r="DW38" s="526"/>
      <c r="DX38" s="526"/>
      <c r="DY38" s="526"/>
      <c r="DZ38" s="526"/>
      <c r="EA38" s="526"/>
      <c r="EB38" s="526"/>
      <c r="EC38" s="526"/>
      <c r="ED38" s="526"/>
      <c r="EE38" s="526"/>
      <c r="EF38" s="526"/>
      <c r="EG38" s="526"/>
      <c r="EH38" s="526"/>
      <c r="EI38" s="526"/>
      <c r="EJ38" s="526"/>
      <c r="EK38" s="526"/>
      <c r="EL38" s="526"/>
      <c r="EM38" s="526"/>
      <c r="EN38" s="526"/>
      <c r="EO38" s="526"/>
      <c r="EP38" s="535"/>
    </row>
    <row r="39" spans="1:146" ht="44.25" customHeight="1" x14ac:dyDescent="0.15">
      <c r="A39" s="624" t="s">
        <v>229</v>
      </c>
      <c r="B39" s="385" t="s">
        <v>599</v>
      </c>
      <c r="C39" s="525"/>
      <c r="D39" s="526"/>
      <c r="E39" s="526"/>
      <c r="F39" s="526"/>
      <c r="G39" s="526"/>
      <c r="H39" s="526"/>
      <c r="I39" s="526"/>
      <c r="J39" s="526"/>
      <c r="K39" s="526"/>
      <c r="L39" s="526"/>
      <c r="M39" s="526"/>
      <c r="N39" s="526"/>
      <c r="O39" s="526"/>
      <c r="P39" s="526"/>
      <c r="Q39" s="526"/>
      <c r="R39" s="526"/>
      <c r="S39" s="526"/>
      <c r="T39" s="526"/>
      <c r="U39" s="526"/>
      <c r="V39" s="526"/>
      <c r="W39" s="526"/>
      <c r="X39" s="526"/>
      <c r="Y39" s="526"/>
      <c r="Z39" s="527"/>
      <c r="AA39" s="525"/>
      <c r="AB39" s="526"/>
      <c r="AC39" s="526"/>
      <c r="AD39" s="526"/>
      <c r="AE39" s="526"/>
      <c r="AF39" s="526"/>
      <c r="AG39" s="526"/>
      <c r="AH39" s="526"/>
      <c r="AI39" s="526"/>
      <c r="AJ39" s="526"/>
      <c r="AK39" s="526"/>
      <c r="AL39" s="526"/>
      <c r="AM39" s="526"/>
      <c r="AN39" s="526"/>
      <c r="AO39" s="526"/>
      <c r="AP39" s="526"/>
      <c r="AQ39" s="526"/>
      <c r="AR39" s="526"/>
      <c r="AS39" s="526"/>
      <c r="AT39" s="526"/>
      <c r="AU39" s="526"/>
      <c r="AV39" s="526"/>
      <c r="AW39" s="526"/>
      <c r="AX39" s="527"/>
      <c r="AY39" s="525"/>
      <c r="AZ39" s="526"/>
      <c r="BA39" s="526"/>
      <c r="BB39" s="526"/>
      <c r="BC39" s="526"/>
      <c r="BD39" s="526"/>
      <c r="BE39" s="526"/>
      <c r="BF39" s="526"/>
      <c r="BG39" s="526"/>
      <c r="BH39" s="526"/>
      <c r="BI39" s="526"/>
      <c r="BJ39" s="526"/>
      <c r="BK39" s="526"/>
      <c r="BL39" s="526"/>
      <c r="BM39" s="526"/>
      <c r="BN39" s="526"/>
      <c r="BO39" s="526"/>
      <c r="BP39" s="526"/>
      <c r="BQ39" s="526"/>
      <c r="BR39" s="526"/>
      <c r="BS39" s="526"/>
      <c r="BT39" s="526"/>
      <c r="BU39" s="526"/>
      <c r="BV39" s="535"/>
      <c r="BW39" s="525"/>
      <c r="BX39" s="526"/>
      <c r="BY39" s="526"/>
      <c r="BZ39" s="526"/>
      <c r="CA39" s="526"/>
      <c r="CB39" s="526"/>
      <c r="CC39" s="526"/>
      <c r="CD39" s="526"/>
      <c r="CE39" s="526"/>
      <c r="CF39" s="526"/>
      <c r="CG39" s="526"/>
      <c r="CH39" s="526"/>
      <c r="CI39" s="526"/>
      <c r="CJ39" s="526"/>
      <c r="CK39" s="526"/>
      <c r="CL39" s="526"/>
      <c r="CM39" s="526"/>
      <c r="CN39" s="526"/>
      <c r="CO39" s="526"/>
      <c r="CP39" s="526"/>
      <c r="CQ39" s="526"/>
      <c r="CR39" s="526"/>
      <c r="CS39" s="526"/>
      <c r="CT39" s="527"/>
      <c r="CU39" s="532"/>
      <c r="CV39" s="533"/>
      <c r="CW39" s="533"/>
      <c r="CX39" s="533"/>
      <c r="CY39" s="533"/>
      <c r="CZ39" s="533"/>
      <c r="DA39" s="533"/>
      <c r="DB39" s="533"/>
      <c r="DC39" s="533"/>
      <c r="DD39" s="533"/>
      <c r="DE39" s="533"/>
      <c r="DF39" s="533"/>
      <c r="DG39" s="533"/>
      <c r="DH39" s="533"/>
      <c r="DI39" s="533"/>
      <c r="DJ39" s="533"/>
      <c r="DK39" s="533"/>
      <c r="DL39" s="533"/>
      <c r="DM39" s="526"/>
      <c r="DN39" s="526"/>
      <c r="DO39" s="526"/>
      <c r="DP39" s="526"/>
      <c r="DQ39" s="526"/>
      <c r="DR39" s="527"/>
      <c r="DS39" s="525"/>
      <c r="DT39" s="526"/>
      <c r="DU39" s="526"/>
      <c r="DV39" s="526"/>
      <c r="DW39" s="526"/>
      <c r="DX39" s="526"/>
      <c r="DY39" s="526"/>
      <c r="DZ39" s="526"/>
      <c r="EA39" s="526"/>
      <c r="EB39" s="526"/>
      <c r="EC39" s="526"/>
      <c r="ED39" s="526"/>
      <c r="EE39" s="526"/>
      <c r="EF39" s="526"/>
      <c r="EG39" s="526"/>
      <c r="EH39" s="526"/>
      <c r="EI39" s="526"/>
      <c r="EJ39" s="526"/>
      <c r="EK39" s="526"/>
      <c r="EL39" s="526"/>
      <c r="EM39" s="526"/>
      <c r="EN39" s="526"/>
      <c r="EO39" s="526"/>
      <c r="EP39" s="535"/>
    </row>
    <row r="40" spans="1:146" ht="44.25" customHeight="1" x14ac:dyDescent="0.15">
      <c r="A40" s="624" t="s">
        <v>230</v>
      </c>
      <c r="B40" s="385" t="s">
        <v>633</v>
      </c>
      <c r="C40" s="525"/>
      <c r="D40" s="526"/>
      <c r="E40" s="526"/>
      <c r="F40" s="526"/>
      <c r="G40" s="526"/>
      <c r="H40" s="526"/>
      <c r="I40" s="526"/>
      <c r="J40" s="526"/>
      <c r="K40" s="526"/>
      <c r="L40" s="526"/>
      <c r="M40" s="526"/>
      <c r="N40" s="526"/>
      <c r="O40" s="526"/>
      <c r="P40" s="526"/>
      <c r="Q40" s="526"/>
      <c r="R40" s="526"/>
      <c r="S40" s="526"/>
      <c r="T40" s="526"/>
      <c r="U40" s="526"/>
      <c r="V40" s="526"/>
      <c r="W40" s="526"/>
      <c r="X40" s="526"/>
      <c r="Y40" s="526"/>
      <c r="Z40" s="527"/>
      <c r="AA40" s="525"/>
      <c r="AB40" s="526"/>
      <c r="AC40" s="526"/>
      <c r="AD40" s="526"/>
      <c r="AE40" s="526"/>
      <c r="AF40" s="526"/>
      <c r="AG40" s="526"/>
      <c r="AH40" s="526"/>
      <c r="AI40" s="526"/>
      <c r="AJ40" s="526"/>
      <c r="AK40" s="526"/>
      <c r="AL40" s="526"/>
      <c r="AM40" s="526"/>
      <c r="AN40" s="526"/>
      <c r="AO40" s="526"/>
      <c r="AP40" s="526"/>
      <c r="AQ40" s="526"/>
      <c r="AR40" s="526"/>
      <c r="AS40" s="526"/>
      <c r="AT40" s="526"/>
      <c r="AU40" s="526"/>
      <c r="AV40" s="526"/>
      <c r="AW40" s="526"/>
      <c r="AX40" s="527"/>
      <c r="AY40" s="525"/>
      <c r="AZ40" s="526"/>
      <c r="BA40" s="526"/>
      <c r="BB40" s="526"/>
      <c r="BC40" s="526"/>
      <c r="BD40" s="526"/>
      <c r="BE40" s="526"/>
      <c r="BF40" s="526"/>
      <c r="BG40" s="526"/>
      <c r="BH40" s="526"/>
      <c r="BI40" s="526"/>
      <c r="BJ40" s="526"/>
      <c r="BK40" s="526"/>
      <c r="BL40" s="526"/>
      <c r="BM40" s="526"/>
      <c r="BN40" s="526"/>
      <c r="BO40" s="526"/>
      <c r="BP40" s="526"/>
      <c r="BQ40" s="526"/>
      <c r="BR40" s="526"/>
      <c r="BS40" s="526"/>
      <c r="BT40" s="526"/>
      <c r="BU40" s="526"/>
      <c r="BV40" s="535"/>
      <c r="BW40" s="525"/>
      <c r="BX40" s="526"/>
      <c r="BY40" s="526"/>
      <c r="BZ40" s="526"/>
      <c r="CA40" s="526"/>
      <c r="CB40" s="526"/>
      <c r="CC40" s="526"/>
      <c r="CD40" s="526"/>
      <c r="CE40" s="526"/>
      <c r="CF40" s="526"/>
      <c r="CG40" s="526"/>
      <c r="CH40" s="526"/>
      <c r="CI40" s="526"/>
      <c r="CJ40" s="526"/>
      <c r="CK40" s="526"/>
      <c r="CL40" s="526"/>
      <c r="CM40" s="526"/>
      <c r="CN40" s="526"/>
      <c r="CO40" s="526"/>
      <c r="CP40" s="526"/>
      <c r="CQ40" s="526"/>
      <c r="CR40" s="526"/>
      <c r="CS40" s="526"/>
      <c r="CT40" s="527"/>
      <c r="CU40" s="532"/>
      <c r="CV40" s="533"/>
      <c r="CW40" s="533"/>
      <c r="CX40" s="533"/>
      <c r="CY40" s="533"/>
      <c r="CZ40" s="533"/>
      <c r="DA40" s="526"/>
      <c r="DB40" s="526"/>
      <c r="DC40" s="526"/>
      <c r="DD40" s="526"/>
      <c r="DE40" s="526"/>
      <c r="DF40" s="526"/>
      <c r="DG40" s="526"/>
      <c r="DH40" s="526"/>
      <c r="DI40" s="526"/>
      <c r="DJ40" s="526"/>
      <c r="DK40" s="526"/>
      <c r="DL40" s="526"/>
      <c r="DM40" s="526"/>
      <c r="DN40" s="526"/>
      <c r="DO40" s="526"/>
      <c r="DP40" s="526"/>
      <c r="DQ40" s="526"/>
      <c r="DR40" s="527"/>
      <c r="DS40" s="525"/>
      <c r="DT40" s="526"/>
      <c r="DU40" s="526"/>
      <c r="DV40" s="526"/>
      <c r="DW40" s="526"/>
      <c r="DX40" s="526"/>
      <c r="DY40" s="526"/>
      <c r="DZ40" s="526"/>
      <c r="EA40" s="526"/>
      <c r="EB40" s="526"/>
      <c r="EC40" s="526"/>
      <c r="ED40" s="526"/>
      <c r="EE40" s="526"/>
      <c r="EF40" s="526"/>
      <c r="EG40" s="526"/>
      <c r="EH40" s="526"/>
      <c r="EI40" s="526"/>
      <c r="EJ40" s="526"/>
      <c r="EK40" s="526"/>
      <c r="EL40" s="526"/>
      <c r="EM40" s="526"/>
      <c r="EN40" s="526"/>
      <c r="EO40" s="526"/>
      <c r="EP40" s="535"/>
    </row>
    <row r="41" spans="1:146" ht="36" customHeight="1" x14ac:dyDescent="0.15">
      <c r="A41" s="624" t="s">
        <v>602</v>
      </c>
      <c r="B41" s="385" t="s">
        <v>583</v>
      </c>
      <c r="C41" s="525"/>
      <c r="D41" s="526"/>
      <c r="E41" s="526"/>
      <c r="F41" s="526"/>
      <c r="G41" s="526"/>
      <c r="H41" s="526"/>
      <c r="I41" s="526"/>
      <c r="J41" s="526"/>
      <c r="K41" s="526"/>
      <c r="L41" s="526"/>
      <c r="M41" s="526"/>
      <c r="N41" s="526"/>
      <c r="O41" s="526"/>
      <c r="P41" s="526"/>
      <c r="Q41" s="526"/>
      <c r="R41" s="526"/>
      <c r="S41" s="526"/>
      <c r="T41" s="526"/>
      <c r="U41" s="526"/>
      <c r="V41" s="526"/>
      <c r="W41" s="526"/>
      <c r="X41" s="526"/>
      <c r="Y41" s="526"/>
      <c r="Z41" s="527"/>
      <c r="AA41" s="525"/>
      <c r="AB41" s="526"/>
      <c r="AC41" s="526"/>
      <c r="AD41" s="526"/>
      <c r="AE41" s="526"/>
      <c r="AF41" s="526"/>
      <c r="AG41" s="526"/>
      <c r="AH41" s="526"/>
      <c r="AI41" s="526"/>
      <c r="AJ41" s="526"/>
      <c r="AK41" s="526"/>
      <c r="AL41" s="526"/>
      <c r="AM41" s="526"/>
      <c r="AN41" s="526"/>
      <c r="AO41" s="526"/>
      <c r="AP41" s="526"/>
      <c r="AQ41" s="526"/>
      <c r="AR41" s="526"/>
      <c r="AS41" s="526"/>
      <c r="AT41" s="526"/>
      <c r="AU41" s="526"/>
      <c r="AV41" s="526"/>
      <c r="AW41" s="526"/>
      <c r="AX41" s="527"/>
      <c r="AY41" s="525"/>
      <c r="AZ41" s="526"/>
      <c r="BA41" s="526"/>
      <c r="BB41" s="526"/>
      <c r="BC41" s="526"/>
      <c r="BD41" s="526"/>
      <c r="BE41" s="526"/>
      <c r="BF41" s="526"/>
      <c r="BG41" s="526"/>
      <c r="BH41" s="526"/>
      <c r="BI41" s="526"/>
      <c r="BJ41" s="526"/>
      <c r="BK41" s="526"/>
      <c r="BL41" s="526"/>
      <c r="BM41" s="526"/>
      <c r="BN41" s="526"/>
      <c r="BO41" s="526"/>
      <c r="BP41" s="526"/>
      <c r="BQ41" s="526"/>
      <c r="BR41" s="526"/>
      <c r="BS41" s="526"/>
      <c r="BT41" s="526"/>
      <c r="BU41" s="526"/>
      <c r="BV41" s="535"/>
      <c r="BW41" s="525"/>
      <c r="BX41" s="526"/>
      <c r="BY41" s="526"/>
      <c r="BZ41" s="526"/>
      <c r="CA41" s="526"/>
      <c r="CB41" s="526"/>
      <c r="CC41" s="526"/>
      <c r="CD41" s="526"/>
      <c r="CE41" s="526"/>
      <c r="CF41" s="526"/>
      <c r="CG41" s="526"/>
      <c r="CH41" s="526"/>
      <c r="CI41" s="526"/>
      <c r="CJ41" s="526"/>
      <c r="CK41" s="526"/>
      <c r="CL41" s="526"/>
      <c r="CM41" s="526"/>
      <c r="CN41" s="526"/>
      <c r="CO41" s="530"/>
      <c r="CP41" s="530"/>
      <c r="CQ41" s="530"/>
      <c r="CR41" s="530"/>
      <c r="CS41" s="530"/>
      <c r="CT41" s="531"/>
      <c r="CU41" s="532"/>
      <c r="CV41" s="533"/>
      <c r="CW41" s="533"/>
      <c r="CX41" s="533"/>
      <c r="CY41" s="533"/>
      <c r="CZ41" s="533"/>
      <c r="DA41" s="526"/>
      <c r="DB41" s="526"/>
      <c r="DC41" s="526"/>
      <c r="DD41" s="526"/>
      <c r="DE41" s="526"/>
      <c r="DF41" s="526"/>
      <c r="DG41" s="526"/>
      <c r="DH41" s="526"/>
      <c r="DI41" s="526"/>
      <c r="DJ41" s="526"/>
      <c r="DK41" s="526"/>
      <c r="DL41" s="526"/>
      <c r="DM41" s="526"/>
      <c r="DN41" s="526"/>
      <c r="DO41" s="526"/>
      <c r="DP41" s="526"/>
      <c r="DQ41" s="526"/>
      <c r="DR41" s="527"/>
      <c r="DS41" s="525"/>
      <c r="DT41" s="526"/>
      <c r="DU41" s="526"/>
      <c r="DV41" s="526"/>
      <c r="DW41" s="526"/>
      <c r="DX41" s="526"/>
      <c r="DY41" s="526"/>
      <c r="DZ41" s="526"/>
      <c r="EA41" s="526"/>
      <c r="EB41" s="526"/>
      <c r="EC41" s="526"/>
      <c r="ED41" s="526"/>
      <c r="EE41" s="526"/>
      <c r="EF41" s="526"/>
      <c r="EG41" s="526"/>
      <c r="EH41" s="526"/>
      <c r="EI41" s="526"/>
      <c r="EJ41" s="526"/>
      <c r="EK41" s="526"/>
      <c r="EL41" s="526"/>
      <c r="EM41" s="526"/>
      <c r="EN41" s="526"/>
      <c r="EO41" s="526"/>
      <c r="EP41" s="535"/>
    </row>
    <row r="42" spans="1:146" ht="44.25" customHeight="1" x14ac:dyDescent="0.15">
      <c r="A42" s="624" t="s">
        <v>631</v>
      </c>
      <c r="B42" s="385" t="s">
        <v>588</v>
      </c>
      <c r="C42" s="525"/>
      <c r="D42" s="526"/>
      <c r="E42" s="526"/>
      <c r="F42" s="526"/>
      <c r="G42" s="526"/>
      <c r="H42" s="526"/>
      <c r="I42" s="526"/>
      <c r="J42" s="526"/>
      <c r="K42" s="526"/>
      <c r="L42" s="526"/>
      <c r="M42" s="526"/>
      <c r="N42" s="526"/>
      <c r="O42" s="526"/>
      <c r="P42" s="526"/>
      <c r="Q42" s="526"/>
      <c r="R42" s="526"/>
      <c r="S42" s="526"/>
      <c r="T42" s="526"/>
      <c r="U42" s="526"/>
      <c r="V42" s="526"/>
      <c r="W42" s="526"/>
      <c r="X42" s="526"/>
      <c r="Y42" s="526"/>
      <c r="Z42" s="527"/>
      <c r="AA42" s="525"/>
      <c r="AB42" s="526"/>
      <c r="AC42" s="526"/>
      <c r="AD42" s="526"/>
      <c r="AE42" s="526"/>
      <c r="AF42" s="526"/>
      <c r="AG42" s="526"/>
      <c r="AH42" s="526"/>
      <c r="AI42" s="526"/>
      <c r="AJ42" s="526"/>
      <c r="AK42" s="526"/>
      <c r="AL42" s="526"/>
      <c r="AM42" s="526"/>
      <c r="AN42" s="526"/>
      <c r="AO42" s="526"/>
      <c r="AP42" s="526"/>
      <c r="AQ42" s="526"/>
      <c r="AR42" s="526"/>
      <c r="AS42" s="526"/>
      <c r="AT42" s="526"/>
      <c r="AU42" s="526"/>
      <c r="AV42" s="526"/>
      <c r="AW42" s="526"/>
      <c r="AX42" s="527"/>
      <c r="AY42" s="525"/>
      <c r="AZ42" s="526"/>
      <c r="BA42" s="526"/>
      <c r="BB42" s="526"/>
      <c r="BC42" s="526"/>
      <c r="BD42" s="526"/>
      <c r="BE42" s="526"/>
      <c r="BF42" s="526"/>
      <c r="BG42" s="526"/>
      <c r="BH42" s="526"/>
      <c r="BI42" s="526"/>
      <c r="BJ42" s="526"/>
      <c r="BK42" s="526"/>
      <c r="BL42" s="526"/>
      <c r="BM42" s="526"/>
      <c r="BN42" s="526"/>
      <c r="BO42" s="526"/>
      <c r="BP42" s="526"/>
      <c r="BQ42" s="526"/>
      <c r="BR42" s="526"/>
      <c r="BS42" s="526"/>
      <c r="BT42" s="526"/>
      <c r="BU42" s="526"/>
      <c r="BV42" s="535"/>
      <c r="BW42" s="525"/>
      <c r="BX42" s="526"/>
      <c r="BY42" s="526"/>
      <c r="BZ42" s="526"/>
      <c r="CA42" s="526"/>
      <c r="CB42" s="526"/>
      <c r="CC42" s="526"/>
      <c r="CD42" s="526"/>
      <c r="CE42" s="526"/>
      <c r="CF42" s="526"/>
      <c r="CG42" s="526"/>
      <c r="CH42" s="526"/>
      <c r="CI42" s="526"/>
      <c r="CJ42" s="526"/>
      <c r="CK42" s="526"/>
      <c r="CL42" s="526"/>
      <c r="CM42" s="526"/>
      <c r="CN42" s="526"/>
      <c r="CO42" s="526"/>
      <c r="CP42" s="526"/>
      <c r="CQ42" s="526"/>
      <c r="CR42" s="526"/>
      <c r="CS42" s="526"/>
      <c r="CT42" s="527"/>
      <c r="CU42" s="525"/>
      <c r="CV42" s="526"/>
      <c r="CW42" s="526"/>
      <c r="CX42" s="526"/>
      <c r="CY42" s="526"/>
      <c r="CZ42" s="526"/>
      <c r="DA42" s="533"/>
      <c r="DB42" s="533"/>
      <c r="DC42" s="533"/>
      <c r="DD42" s="533"/>
      <c r="DE42" s="533"/>
      <c r="DF42" s="533"/>
      <c r="DG42" s="526"/>
      <c r="DH42" s="526"/>
      <c r="DI42" s="526"/>
      <c r="DJ42" s="526"/>
      <c r="DK42" s="526"/>
      <c r="DL42" s="526"/>
      <c r="DM42" s="526"/>
      <c r="DN42" s="526"/>
      <c r="DO42" s="526"/>
      <c r="DP42" s="526"/>
      <c r="DQ42" s="526"/>
      <c r="DR42" s="527"/>
      <c r="DS42" s="525"/>
      <c r="DT42" s="526"/>
      <c r="DU42" s="526"/>
      <c r="DV42" s="526"/>
      <c r="DW42" s="526"/>
      <c r="DX42" s="526"/>
      <c r="DY42" s="526"/>
      <c r="DZ42" s="526"/>
      <c r="EA42" s="526"/>
      <c r="EB42" s="526"/>
      <c r="EC42" s="526"/>
      <c r="ED42" s="526"/>
      <c r="EE42" s="526"/>
      <c r="EF42" s="526"/>
      <c r="EG42" s="526"/>
      <c r="EH42" s="526"/>
      <c r="EI42" s="526"/>
      <c r="EJ42" s="526"/>
      <c r="EK42" s="526"/>
      <c r="EL42" s="526"/>
      <c r="EM42" s="526"/>
      <c r="EN42" s="526"/>
      <c r="EO42" s="526"/>
      <c r="EP42" s="535"/>
    </row>
    <row r="43" spans="1:146" ht="44.25" customHeight="1" x14ac:dyDescent="0.15">
      <c r="A43" s="624" t="s">
        <v>632</v>
      </c>
      <c r="B43" s="385" t="s">
        <v>738</v>
      </c>
      <c r="C43" s="525"/>
      <c r="D43" s="526"/>
      <c r="E43" s="526"/>
      <c r="F43" s="526"/>
      <c r="G43" s="526"/>
      <c r="H43" s="526"/>
      <c r="I43" s="526"/>
      <c r="J43" s="526"/>
      <c r="K43" s="526"/>
      <c r="L43" s="526"/>
      <c r="M43" s="526"/>
      <c r="N43" s="526"/>
      <c r="O43" s="526"/>
      <c r="P43" s="526"/>
      <c r="Q43" s="526"/>
      <c r="R43" s="526"/>
      <c r="S43" s="526"/>
      <c r="T43" s="526"/>
      <c r="U43" s="526"/>
      <c r="V43" s="526"/>
      <c r="W43" s="526"/>
      <c r="X43" s="526"/>
      <c r="Y43" s="526"/>
      <c r="Z43" s="527"/>
      <c r="AA43" s="525"/>
      <c r="AB43" s="526"/>
      <c r="AC43" s="526"/>
      <c r="AD43" s="526"/>
      <c r="AE43" s="526"/>
      <c r="AF43" s="526"/>
      <c r="AG43" s="526"/>
      <c r="AH43" s="526"/>
      <c r="AI43" s="526"/>
      <c r="AJ43" s="526"/>
      <c r="AK43" s="526"/>
      <c r="AL43" s="526"/>
      <c r="AM43" s="526"/>
      <c r="AN43" s="526"/>
      <c r="AO43" s="526"/>
      <c r="AP43" s="526"/>
      <c r="AQ43" s="526"/>
      <c r="AR43" s="526"/>
      <c r="AS43" s="526"/>
      <c r="AT43" s="526"/>
      <c r="AU43" s="526"/>
      <c r="AV43" s="526"/>
      <c r="AW43" s="526"/>
      <c r="AX43" s="527"/>
      <c r="AY43" s="616"/>
      <c r="AZ43" s="617"/>
      <c r="BA43" s="617"/>
      <c r="BB43" s="617"/>
      <c r="BC43" s="617"/>
      <c r="BD43" s="617"/>
      <c r="BE43" s="617"/>
      <c r="BF43" s="617"/>
      <c r="BG43" s="617"/>
      <c r="BH43" s="617"/>
      <c r="BI43" s="617"/>
      <c r="BJ43" s="617"/>
      <c r="BK43" s="617"/>
      <c r="BL43" s="617"/>
      <c r="BM43" s="617"/>
      <c r="BN43" s="617"/>
      <c r="BO43" s="617"/>
      <c r="BP43" s="617"/>
      <c r="BQ43" s="617"/>
      <c r="BR43" s="617"/>
      <c r="BS43" s="617"/>
      <c r="BT43" s="617"/>
      <c r="BU43" s="617"/>
      <c r="BV43" s="618"/>
      <c r="BW43" s="525"/>
      <c r="BX43" s="526"/>
      <c r="BY43" s="526"/>
      <c r="BZ43" s="526"/>
      <c r="CA43" s="526"/>
      <c r="CB43" s="526"/>
      <c r="CC43" s="526"/>
      <c r="CD43" s="526"/>
      <c r="CE43" s="526"/>
      <c r="CF43" s="526"/>
      <c r="CG43" s="526"/>
      <c r="CH43" s="526"/>
      <c r="CI43" s="526"/>
      <c r="CJ43" s="526"/>
      <c r="CK43" s="526"/>
      <c r="CL43" s="526"/>
      <c r="CM43" s="526"/>
      <c r="CN43" s="526"/>
      <c r="CO43" s="526"/>
      <c r="CP43" s="526"/>
      <c r="CQ43" s="526"/>
      <c r="CR43" s="526"/>
      <c r="CS43" s="526"/>
      <c r="CT43" s="527"/>
      <c r="CU43" s="525"/>
      <c r="CV43" s="526"/>
      <c r="CW43" s="526"/>
      <c r="CX43" s="526"/>
      <c r="CY43" s="526"/>
      <c r="CZ43" s="526"/>
      <c r="DA43" s="526"/>
      <c r="DB43" s="526"/>
      <c r="DC43" s="526"/>
      <c r="DD43" s="526"/>
      <c r="DE43" s="526"/>
      <c r="DF43" s="526"/>
      <c r="DG43" s="526"/>
      <c r="DH43" s="526"/>
      <c r="DI43" s="526"/>
      <c r="DJ43" s="526"/>
      <c r="DK43" s="526"/>
      <c r="DL43" s="526"/>
      <c r="DM43" s="526"/>
      <c r="DN43" s="526"/>
      <c r="DO43" s="526"/>
      <c r="DP43" s="526"/>
      <c r="DQ43" s="526"/>
      <c r="DR43" s="527"/>
      <c r="DS43" s="525"/>
      <c r="DT43" s="526"/>
      <c r="DU43" s="526"/>
      <c r="DV43" s="526"/>
      <c r="DW43" s="526"/>
      <c r="DX43" s="526"/>
      <c r="DY43" s="526"/>
      <c r="DZ43" s="526"/>
      <c r="EA43" s="526"/>
      <c r="EB43" s="526"/>
      <c r="EC43" s="526"/>
      <c r="ED43" s="526"/>
      <c r="EE43" s="526"/>
      <c r="EF43" s="526"/>
      <c r="EG43" s="526"/>
      <c r="EH43" s="526"/>
      <c r="EI43" s="526"/>
      <c r="EJ43" s="526"/>
      <c r="EK43" s="526"/>
      <c r="EL43" s="526"/>
      <c r="EM43" s="526"/>
      <c r="EN43" s="526"/>
      <c r="EO43" s="526"/>
      <c r="EP43" s="535"/>
    </row>
    <row r="44" spans="1:146" ht="44.25" customHeight="1" x14ac:dyDescent="0.15">
      <c r="A44" s="624" t="s">
        <v>661</v>
      </c>
      <c r="B44" s="385" t="s">
        <v>735</v>
      </c>
      <c r="C44" s="525"/>
      <c r="D44" s="526"/>
      <c r="E44" s="526"/>
      <c r="F44" s="526"/>
      <c r="G44" s="526"/>
      <c r="H44" s="526"/>
      <c r="I44" s="526"/>
      <c r="J44" s="526"/>
      <c r="K44" s="526"/>
      <c r="L44" s="526"/>
      <c r="M44" s="526"/>
      <c r="N44" s="526"/>
      <c r="O44" s="526"/>
      <c r="P44" s="526"/>
      <c r="Q44" s="526"/>
      <c r="R44" s="526"/>
      <c r="S44" s="526"/>
      <c r="T44" s="526"/>
      <c r="U44" s="526"/>
      <c r="V44" s="526"/>
      <c r="W44" s="526"/>
      <c r="X44" s="526"/>
      <c r="Y44" s="526"/>
      <c r="Z44" s="527"/>
      <c r="AA44" s="525"/>
      <c r="AB44" s="526"/>
      <c r="AC44" s="526"/>
      <c r="AD44" s="526"/>
      <c r="AE44" s="526"/>
      <c r="AF44" s="526"/>
      <c r="AG44" s="526"/>
      <c r="AH44" s="526"/>
      <c r="AI44" s="526"/>
      <c r="AJ44" s="526"/>
      <c r="AK44" s="526"/>
      <c r="AL44" s="526"/>
      <c r="AM44" s="526"/>
      <c r="AN44" s="526"/>
      <c r="AO44" s="526"/>
      <c r="AP44" s="526"/>
      <c r="AQ44" s="526"/>
      <c r="AR44" s="526"/>
      <c r="AS44" s="526"/>
      <c r="AT44" s="526"/>
      <c r="AU44" s="526"/>
      <c r="AV44" s="526"/>
      <c r="AW44" s="526"/>
      <c r="AX44" s="527"/>
      <c r="AY44" s="525"/>
      <c r="AZ44" s="526"/>
      <c r="BA44" s="526"/>
      <c r="BB44" s="526"/>
      <c r="BC44" s="526"/>
      <c r="BD44" s="526"/>
      <c r="BE44" s="526"/>
      <c r="BF44" s="526"/>
      <c r="BG44" s="526"/>
      <c r="BH44" s="526"/>
      <c r="BI44" s="526"/>
      <c r="BJ44" s="526"/>
      <c r="BK44" s="526"/>
      <c r="BL44" s="526"/>
      <c r="BM44" s="526"/>
      <c r="BN44" s="526"/>
      <c r="BO44" s="526"/>
      <c r="BP44" s="526"/>
      <c r="BQ44" s="617"/>
      <c r="BR44" s="617"/>
      <c r="BS44" s="617"/>
      <c r="BT44" s="617"/>
      <c r="BU44" s="617"/>
      <c r="BV44" s="618"/>
      <c r="BW44" s="529"/>
      <c r="BX44" s="530"/>
      <c r="BY44" s="530"/>
      <c r="BZ44" s="530"/>
      <c r="CA44" s="530"/>
      <c r="CB44" s="530"/>
      <c r="CC44" s="526"/>
      <c r="CD44" s="526"/>
      <c r="CE44" s="526"/>
      <c r="CF44" s="526"/>
      <c r="CG44" s="526"/>
      <c r="CH44" s="526"/>
      <c r="CI44" s="526"/>
      <c r="CJ44" s="526"/>
      <c r="CK44" s="526"/>
      <c r="CL44" s="526"/>
      <c r="CM44" s="526"/>
      <c r="CN44" s="526"/>
      <c r="CO44" s="526"/>
      <c r="CP44" s="526"/>
      <c r="CQ44" s="526"/>
      <c r="CR44" s="526"/>
      <c r="CS44" s="526"/>
      <c r="CT44" s="527"/>
      <c r="CU44" s="525"/>
      <c r="CV44" s="526"/>
      <c r="CW44" s="526"/>
      <c r="CX44" s="526"/>
      <c r="CY44" s="526"/>
      <c r="CZ44" s="526"/>
      <c r="DA44" s="526"/>
      <c r="DB44" s="526"/>
      <c r="DC44" s="526"/>
      <c r="DD44" s="526"/>
      <c r="DE44" s="526"/>
      <c r="DF44" s="526"/>
      <c r="DG44" s="526"/>
      <c r="DH44" s="526"/>
      <c r="DI44" s="526"/>
      <c r="DJ44" s="526"/>
      <c r="DK44" s="526"/>
      <c r="DL44" s="526"/>
      <c r="DM44" s="526"/>
      <c r="DN44" s="526"/>
      <c r="DO44" s="526"/>
      <c r="DP44" s="526"/>
      <c r="DQ44" s="526"/>
      <c r="DR44" s="527"/>
      <c r="DS44" s="525"/>
      <c r="DT44" s="526"/>
      <c r="DU44" s="526"/>
      <c r="DV44" s="526"/>
      <c r="DW44" s="526"/>
      <c r="DX44" s="526"/>
      <c r="DY44" s="526"/>
      <c r="DZ44" s="526"/>
      <c r="EA44" s="526"/>
      <c r="EB44" s="526"/>
      <c r="EC44" s="526"/>
      <c r="ED44" s="526"/>
      <c r="EE44" s="526"/>
      <c r="EF44" s="526"/>
      <c r="EG44" s="526"/>
      <c r="EH44" s="526"/>
      <c r="EI44" s="526"/>
      <c r="EJ44" s="526"/>
      <c r="EK44" s="526"/>
      <c r="EL44" s="526"/>
      <c r="EM44" s="526"/>
      <c r="EN44" s="526"/>
      <c r="EO44" s="526"/>
      <c r="EP44" s="535"/>
    </row>
    <row r="45" spans="1:146" ht="33.75" customHeight="1" thickBot="1" x14ac:dyDescent="0.2">
      <c r="A45" s="624" t="s">
        <v>662</v>
      </c>
      <c r="B45" s="385" t="s">
        <v>663</v>
      </c>
      <c r="C45" s="508"/>
      <c r="D45" s="509"/>
      <c r="E45" s="509"/>
      <c r="F45" s="509"/>
      <c r="G45" s="509"/>
      <c r="H45" s="509"/>
      <c r="I45" s="509"/>
      <c r="J45" s="509"/>
      <c r="K45" s="509"/>
      <c r="L45" s="509"/>
      <c r="M45" s="509"/>
      <c r="N45" s="509"/>
      <c r="O45" s="509"/>
      <c r="P45" s="509"/>
      <c r="Q45" s="509"/>
      <c r="R45" s="509"/>
      <c r="S45" s="509"/>
      <c r="T45" s="509"/>
      <c r="U45" s="509"/>
      <c r="V45" s="509"/>
      <c r="W45" s="509"/>
      <c r="X45" s="509"/>
      <c r="Y45" s="509"/>
      <c r="Z45" s="515"/>
      <c r="AA45" s="508"/>
      <c r="AB45" s="509"/>
      <c r="AC45" s="509"/>
      <c r="AD45" s="509"/>
      <c r="AE45" s="509"/>
      <c r="AF45" s="509"/>
      <c r="AG45" s="509"/>
      <c r="AH45" s="509"/>
      <c r="AI45" s="509"/>
      <c r="AJ45" s="509"/>
      <c r="AK45" s="509"/>
      <c r="AL45" s="509"/>
      <c r="AM45" s="509"/>
      <c r="AN45" s="509"/>
      <c r="AO45" s="509"/>
      <c r="AP45" s="509"/>
      <c r="AQ45" s="509"/>
      <c r="AR45" s="509"/>
      <c r="AS45" s="509"/>
      <c r="AT45" s="509"/>
      <c r="AU45" s="509"/>
      <c r="AV45" s="509"/>
      <c r="AW45" s="509"/>
      <c r="AX45" s="515"/>
      <c r="AY45" s="508"/>
      <c r="AZ45" s="509"/>
      <c r="BA45" s="509"/>
      <c r="BB45" s="509"/>
      <c r="BC45" s="509"/>
      <c r="BD45" s="509"/>
      <c r="BE45" s="509"/>
      <c r="BF45" s="509"/>
      <c r="BG45" s="509"/>
      <c r="BH45" s="509"/>
      <c r="BI45" s="509"/>
      <c r="BJ45" s="509"/>
      <c r="BK45" s="509"/>
      <c r="BL45" s="509"/>
      <c r="BM45" s="509"/>
      <c r="BN45" s="509"/>
      <c r="BO45" s="509"/>
      <c r="BP45" s="509"/>
      <c r="BQ45" s="509"/>
      <c r="BR45" s="509"/>
      <c r="BS45" s="509"/>
      <c r="BT45" s="509"/>
      <c r="BU45" s="509"/>
      <c r="BV45" s="514"/>
      <c r="BW45" s="621"/>
      <c r="BX45" s="520"/>
      <c r="BY45" s="520"/>
      <c r="BZ45" s="520"/>
      <c r="CA45" s="520"/>
      <c r="CB45" s="520"/>
      <c r="CC45" s="520"/>
      <c r="CD45" s="520"/>
      <c r="CE45" s="520"/>
      <c r="CF45" s="520"/>
      <c r="CG45" s="520"/>
      <c r="CH45" s="520"/>
      <c r="CI45" s="509"/>
      <c r="CJ45" s="509"/>
      <c r="CK45" s="509"/>
      <c r="CL45" s="509"/>
      <c r="CM45" s="509"/>
      <c r="CN45" s="509"/>
      <c r="CO45" s="509"/>
      <c r="CP45" s="509"/>
      <c r="CQ45" s="509"/>
      <c r="CR45" s="509"/>
      <c r="CS45" s="509"/>
      <c r="CT45" s="515"/>
      <c r="CU45" s="508"/>
      <c r="CV45" s="509"/>
      <c r="CW45" s="509"/>
      <c r="CX45" s="509"/>
      <c r="CY45" s="509"/>
      <c r="CZ45" s="509"/>
      <c r="DA45" s="509"/>
      <c r="DB45" s="509"/>
      <c r="DC45" s="509"/>
      <c r="DD45" s="509"/>
      <c r="DE45" s="509"/>
      <c r="DF45" s="509"/>
      <c r="DG45" s="509"/>
      <c r="DH45" s="509"/>
      <c r="DI45" s="509"/>
      <c r="DJ45" s="509"/>
      <c r="DK45" s="509"/>
      <c r="DL45" s="509"/>
      <c r="DM45" s="509"/>
      <c r="DN45" s="509"/>
      <c r="DO45" s="509"/>
      <c r="DP45" s="509"/>
      <c r="DQ45" s="509"/>
      <c r="DR45" s="515"/>
      <c r="DS45" s="508"/>
      <c r="DT45" s="509"/>
      <c r="DU45" s="509"/>
      <c r="DV45" s="509"/>
      <c r="DW45" s="509"/>
      <c r="DX45" s="509"/>
      <c r="DY45" s="509"/>
      <c r="DZ45" s="509"/>
      <c r="EA45" s="509"/>
      <c r="EB45" s="509"/>
      <c r="EC45" s="509"/>
      <c r="ED45" s="509"/>
      <c r="EE45" s="509"/>
      <c r="EF45" s="509"/>
      <c r="EG45" s="509"/>
      <c r="EH45" s="509"/>
      <c r="EI45" s="509"/>
      <c r="EJ45" s="509"/>
      <c r="EK45" s="509"/>
      <c r="EL45" s="509"/>
      <c r="EM45" s="509"/>
      <c r="EN45" s="509"/>
      <c r="EO45" s="509"/>
      <c r="EP45" s="514"/>
    </row>
    <row r="46" spans="1:146" ht="9" customHeight="1" x14ac:dyDescent="0.15">
      <c r="A46" s="1079"/>
      <c r="B46" s="1080"/>
      <c r="C46" s="1081"/>
      <c r="D46" s="1081"/>
      <c r="E46" s="1081"/>
      <c r="F46" s="1081"/>
      <c r="G46" s="1081"/>
      <c r="H46" s="1081"/>
      <c r="I46" s="1081"/>
      <c r="J46" s="1081"/>
      <c r="K46" s="1081"/>
      <c r="L46" s="1081"/>
      <c r="M46" s="1081"/>
      <c r="N46" s="1081"/>
      <c r="O46" s="1081"/>
      <c r="P46" s="1081"/>
      <c r="Q46" s="1081"/>
      <c r="R46" s="1081"/>
      <c r="S46" s="1081"/>
      <c r="T46" s="1081"/>
      <c r="U46" s="1081"/>
      <c r="V46" s="1081"/>
      <c r="W46" s="1081"/>
      <c r="X46" s="1081"/>
      <c r="Y46" s="1081"/>
      <c r="Z46" s="1081"/>
      <c r="AA46" s="1081"/>
      <c r="AB46" s="1081"/>
      <c r="AC46" s="1081"/>
      <c r="AD46" s="1081"/>
      <c r="AE46" s="1081"/>
      <c r="AF46" s="1081"/>
      <c r="AG46" s="1081"/>
      <c r="AH46" s="1081"/>
      <c r="AI46" s="1081"/>
      <c r="AJ46" s="1081"/>
      <c r="AK46" s="1081"/>
      <c r="AL46" s="1081"/>
      <c r="AM46" s="1081"/>
      <c r="AN46" s="1081"/>
      <c r="AO46" s="1081"/>
      <c r="AP46" s="1081"/>
      <c r="AQ46" s="1081"/>
      <c r="AR46" s="1081"/>
      <c r="AS46" s="1081"/>
      <c r="AT46" s="1081"/>
      <c r="AU46" s="1081"/>
      <c r="AV46" s="1081"/>
      <c r="AW46" s="1081"/>
      <c r="AX46" s="1081"/>
      <c r="AY46" s="1081"/>
      <c r="AZ46" s="1081"/>
      <c r="BA46" s="1081"/>
      <c r="BB46" s="1081"/>
      <c r="BC46" s="1081"/>
      <c r="BD46" s="1081"/>
      <c r="BE46" s="1081"/>
      <c r="BF46" s="1081"/>
      <c r="BG46" s="1081"/>
      <c r="BH46" s="1081"/>
      <c r="BI46" s="1081"/>
      <c r="BJ46" s="1081"/>
      <c r="BK46" s="1081"/>
      <c r="BL46" s="1081"/>
      <c r="BM46" s="1081"/>
      <c r="BN46" s="1081"/>
      <c r="BO46" s="1081"/>
      <c r="BP46" s="1081"/>
      <c r="BQ46" s="1081"/>
      <c r="BR46" s="1081"/>
      <c r="BS46" s="1081"/>
      <c r="BT46" s="1081"/>
      <c r="BU46" s="1081"/>
      <c r="BV46" s="1081"/>
      <c r="BW46" s="1081"/>
      <c r="BX46" s="1081"/>
      <c r="BY46" s="1081"/>
      <c r="BZ46" s="1081"/>
      <c r="CA46" s="1081"/>
      <c r="CB46" s="1081"/>
      <c r="CC46" s="1081"/>
      <c r="CD46" s="1081"/>
      <c r="CE46" s="1081"/>
      <c r="CF46" s="1081"/>
      <c r="CG46" s="1081"/>
      <c r="CH46" s="1081"/>
      <c r="CI46" s="1081"/>
      <c r="CJ46" s="1081"/>
      <c r="CK46" s="1081"/>
      <c r="CL46" s="1081"/>
      <c r="CM46" s="1081"/>
      <c r="CN46" s="1081"/>
      <c r="CO46" s="1081"/>
      <c r="CP46" s="1081"/>
      <c r="CQ46" s="1081"/>
      <c r="CR46" s="1081"/>
      <c r="CS46" s="1081"/>
      <c r="CT46" s="1081"/>
      <c r="CU46" s="1081"/>
      <c r="CV46" s="1081"/>
      <c r="CW46" s="1081"/>
      <c r="CX46" s="1081"/>
      <c r="CY46" s="1081"/>
      <c r="CZ46" s="1081"/>
      <c r="DA46" s="1081"/>
      <c r="DB46" s="1081"/>
      <c r="DC46" s="1081"/>
      <c r="DD46" s="1081"/>
      <c r="DE46" s="1081"/>
      <c r="DF46" s="1081"/>
      <c r="DG46" s="1081"/>
      <c r="DH46" s="1081"/>
      <c r="DI46" s="1081"/>
      <c r="DJ46" s="1081"/>
      <c r="DK46" s="1081"/>
      <c r="DL46" s="1081"/>
      <c r="DM46" s="1081"/>
      <c r="DN46" s="1081"/>
      <c r="DO46" s="1081"/>
      <c r="DP46" s="1081"/>
      <c r="DQ46" s="1081"/>
      <c r="DR46" s="1081"/>
      <c r="DS46" s="1081"/>
      <c r="DT46" s="1081"/>
      <c r="DU46" s="1081"/>
      <c r="DV46" s="1081"/>
      <c r="DW46" s="1081"/>
      <c r="DX46" s="1081"/>
      <c r="DY46" s="1081"/>
      <c r="DZ46" s="1081"/>
      <c r="EA46" s="1081"/>
      <c r="EB46" s="1081"/>
      <c r="EC46" s="1081"/>
      <c r="ED46" s="1081"/>
      <c r="EE46" s="1081"/>
      <c r="EF46" s="1081"/>
      <c r="EG46" s="1081"/>
      <c r="EH46" s="1081"/>
      <c r="EI46" s="1081"/>
      <c r="EJ46" s="1081"/>
      <c r="EK46" s="1081"/>
      <c r="EL46" s="1081"/>
      <c r="EM46" s="1081"/>
      <c r="EN46" s="1081"/>
      <c r="EO46" s="1081"/>
      <c r="EP46" s="1082"/>
    </row>
    <row r="47" spans="1:146" s="12" customFormat="1" ht="21.75" customHeight="1" thickBot="1" x14ac:dyDescent="0.2">
      <c r="A47" s="488">
        <v>4</v>
      </c>
      <c r="B47" s="1058" t="s">
        <v>80</v>
      </c>
      <c r="C47" s="1058"/>
      <c r="D47" s="1058"/>
      <c r="E47" s="1058"/>
      <c r="F47" s="1058"/>
      <c r="G47" s="1058"/>
      <c r="H47" s="1058"/>
      <c r="I47" s="1058"/>
      <c r="J47" s="1058"/>
      <c r="K47" s="1058"/>
      <c r="L47" s="1058"/>
      <c r="M47" s="1058"/>
      <c r="N47" s="1058"/>
      <c r="O47" s="1058"/>
      <c r="P47" s="1058"/>
      <c r="Q47" s="1058"/>
      <c r="R47" s="1058"/>
      <c r="S47" s="1058"/>
      <c r="T47" s="1058"/>
      <c r="U47" s="1058"/>
      <c r="V47" s="1058"/>
      <c r="W47" s="1058"/>
      <c r="X47" s="1058"/>
      <c r="Y47" s="1058"/>
      <c r="Z47" s="1058"/>
      <c r="AA47" s="1058"/>
      <c r="AB47" s="1058"/>
      <c r="AC47" s="1058"/>
      <c r="AD47" s="1058"/>
      <c r="AE47" s="1058"/>
      <c r="AF47" s="1058"/>
      <c r="AG47" s="1058"/>
      <c r="AH47" s="1058"/>
      <c r="AI47" s="1058"/>
      <c r="AJ47" s="1058"/>
      <c r="AK47" s="1058"/>
      <c r="AL47" s="1058"/>
      <c r="AM47" s="1058"/>
      <c r="AN47" s="1058"/>
      <c r="AO47" s="1058"/>
      <c r="AP47" s="1058"/>
      <c r="AQ47" s="1058"/>
      <c r="AR47" s="1058"/>
      <c r="AS47" s="1058"/>
      <c r="AT47" s="1058"/>
      <c r="AU47" s="1058"/>
      <c r="AV47" s="1058"/>
      <c r="AW47" s="1058"/>
      <c r="AX47" s="1058"/>
      <c r="AY47" s="1058"/>
      <c r="AZ47" s="1058"/>
      <c r="BA47" s="1058"/>
      <c r="BB47" s="1058"/>
      <c r="BC47" s="1058"/>
      <c r="BD47" s="1058"/>
      <c r="BE47" s="1058"/>
      <c r="BF47" s="1058"/>
      <c r="BG47" s="1058"/>
      <c r="BH47" s="1058"/>
      <c r="BI47" s="1058"/>
      <c r="BJ47" s="1058"/>
      <c r="BK47" s="1058"/>
      <c r="BL47" s="1058"/>
      <c r="BM47" s="1058"/>
      <c r="BN47" s="1058"/>
      <c r="BO47" s="1058"/>
      <c r="BP47" s="1058"/>
      <c r="BQ47" s="1058"/>
      <c r="BR47" s="1058"/>
      <c r="BS47" s="1058"/>
      <c r="BT47" s="1058"/>
      <c r="BU47" s="1058"/>
      <c r="BV47" s="1058"/>
      <c r="BW47" s="1058"/>
      <c r="BX47" s="1058"/>
      <c r="BY47" s="1058"/>
      <c r="BZ47" s="1058"/>
      <c r="CA47" s="1058"/>
      <c r="CB47" s="1058"/>
      <c r="CC47" s="1058"/>
      <c r="CD47" s="1058"/>
      <c r="CE47" s="1058"/>
      <c r="CF47" s="1058"/>
      <c r="CG47" s="1058"/>
      <c r="CH47" s="1058"/>
      <c r="CI47" s="1058"/>
      <c r="CJ47" s="1058"/>
      <c r="CK47" s="1058"/>
      <c r="CL47" s="1058"/>
      <c r="CM47" s="1058"/>
      <c r="CN47" s="1058"/>
      <c r="CO47" s="1058"/>
      <c r="CP47" s="1058"/>
      <c r="CQ47" s="1058"/>
      <c r="CR47" s="1058"/>
      <c r="CS47" s="1058"/>
      <c r="CT47" s="1058"/>
      <c r="CU47" s="1058"/>
      <c r="CV47" s="1058"/>
      <c r="CW47" s="1058"/>
      <c r="CX47" s="1058"/>
      <c r="CY47" s="1058"/>
      <c r="CZ47" s="1058"/>
      <c r="DA47" s="1058"/>
      <c r="DB47" s="1058"/>
      <c r="DC47" s="1058"/>
      <c r="DD47" s="1058"/>
      <c r="DE47" s="1058"/>
      <c r="DF47" s="1058"/>
      <c r="DG47" s="1058"/>
      <c r="DH47" s="1058"/>
      <c r="DI47" s="1058"/>
      <c r="DJ47" s="1058"/>
      <c r="DK47" s="1058"/>
      <c r="DL47" s="1058"/>
      <c r="DM47" s="1058"/>
      <c r="DN47" s="1058"/>
      <c r="DO47" s="1058"/>
      <c r="DP47" s="1058"/>
      <c r="DQ47" s="1058"/>
      <c r="DR47" s="1058"/>
      <c r="DS47" s="1058"/>
      <c r="DT47" s="1058"/>
      <c r="DU47" s="1058"/>
      <c r="DV47" s="1058"/>
      <c r="DW47" s="1058"/>
      <c r="DX47" s="1058"/>
      <c r="DY47" s="1058"/>
      <c r="DZ47" s="1058"/>
      <c r="EA47" s="1058"/>
      <c r="EB47" s="1058"/>
      <c r="EC47" s="1058"/>
      <c r="ED47" s="1058"/>
      <c r="EE47" s="1058"/>
      <c r="EF47" s="1058"/>
      <c r="EG47" s="1058"/>
      <c r="EH47" s="1058"/>
      <c r="EI47" s="1058"/>
      <c r="EJ47" s="1058"/>
      <c r="EK47" s="1058"/>
      <c r="EL47" s="1058"/>
      <c r="EM47" s="1058"/>
      <c r="EN47" s="1058"/>
      <c r="EO47" s="1058"/>
      <c r="EP47" s="1059"/>
    </row>
    <row r="48" spans="1:146" ht="15" customHeight="1" x14ac:dyDescent="0.15">
      <c r="A48" s="1060" t="s">
        <v>0</v>
      </c>
      <c r="B48" s="1061" t="s">
        <v>743</v>
      </c>
      <c r="C48" s="1052" t="s">
        <v>744</v>
      </c>
      <c r="D48" s="1053"/>
      <c r="E48" s="1053"/>
      <c r="F48" s="1053"/>
      <c r="G48" s="1053"/>
      <c r="H48" s="1053"/>
      <c r="I48" s="1053"/>
      <c r="J48" s="1053"/>
      <c r="K48" s="1053"/>
      <c r="L48" s="1053"/>
      <c r="M48" s="1053"/>
      <c r="N48" s="1053"/>
      <c r="O48" s="1053"/>
      <c r="P48" s="1053"/>
      <c r="Q48" s="1053"/>
      <c r="R48" s="1053"/>
      <c r="S48" s="1053"/>
      <c r="T48" s="1053"/>
      <c r="U48" s="1053"/>
      <c r="V48" s="1053"/>
      <c r="W48" s="1053"/>
      <c r="X48" s="1053"/>
      <c r="Y48" s="1053"/>
      <c r="Z48" s="1054"/>
      <c r="AA48" s="1052" t="s">
        <v>745</v>
      </c>
      <c r="AB48" s="1053"/>
      <c r="AC48" s="1053"/>
      <c r="AD48" s="1053"/>
      <c r="AE48" s="1053"/>
      <c r="AF48" s="1053"/>
      <c r="AG48" s="1053"/>
      <c r="AH48" s="1053"/>
      <c r="AI48" s="1053"/>
      <c r="AJ48" s="1053"/>
      <c r="AK48" s="1053"/>
      <c r="AL48" s="1053"/>
      <c r="AM48" s="1053"/>
      <c r="AN48" s="1053"/>
      <c r="AO48" s="1053"/>
      <c r="AP48" s="1053"/>
      <c r="AQ48" s="1053"/>
      <c r="AR48" s="1053"/>
      <c r="AS48" s="1053"/>
      <c r="AT48" s="1053"/>
      <c r="AU48" s="1053"/>
      <c r="AV48" s="1053"/>
      <c r="AW48" s="1053"/>
      <c r="AX48" s="1054"/>
      <c r="AY48" s="1052" t="s">
        <v>746</v>
      </c>
      <c r="AZ48" s="1053"/>
      <c r="BA48" s="1053"/>
      <c r="BB48" s="1053"/>
      <c r="BC48" s="1053"/>
      <c r="BD48" s="1053"/>
      <c r="BE48" s="1053"/>
      <c r="BF48" s="1053"/>
      <c r="BG48" s="1053"/>
      <c r="BH48" s="1053"/>
      <c r="BI48" s="1053"/>
      <c r="BJ48" s="1053"/>
      <c r="BK48" s="1053"/>
      <c r="BL48" s="1053"/>
      <c r="BM48" s="1053"/>
      <c r="BN48" s="1053"/>
      <c r="BO48" s="1053"/>
      <c r="BP48" s="1053"/>
      <c r="BQ48" s="1053"/>
      <c r="BR48" s="1053"/>
      <c r="BS48" s="1053"/>
      <c r="BT48" s="1053"/>
      <c r="BU48" s="1053"/>
      <c r="BV48" s="1054"/>
      <c r="BW48" s="1052" t="s">
        <v>747</v>
      </c>
      <c r="BX48" s="1053"/>
      <c r="BY48" s="1053"/>
      <c r="BZ48" s="1053"/>
      <c r="CA48" s="1053"/>
      <c r="CB48" s="1053"/>
      <c r="CC48" s="1053"/>
      <c r="CD48" s="1053"/>
      <c r="CE48" s="1053"/>
      <c r="CF48" s="1053"/>
      <c r="CG48" s="1053"/>
      <c r="CH48" s="1053"/>
      <c r="CI48" s="1053"/>
      <c r="CJ48" s="1053"/>
      <c r="CK48" s="1053"/>
      <c r="CL48" s="1053"/>
      <c r="CM48" s="1053"/>
      <c r="CN48" s="1053"/>
      <c r="CO48" s="1053"/>
      <c r="CP48" s="1053"/>
      <c r="CQ48" s="1053"/>
      <c r="CR48" s="1053"/>
      <c r="CS48" s="1053"/>
      <c r="CT48" s="1054"/>
      <c r="CU48" s="1052" t="s">
        <v>748</v>
      </c>
      <c r="CV48" s="1053"/>
      <c r="CW48" s="1053"/>
      <c r="CX48" s="1053"/>
      <c r="CY48" s="1053"/>
      <c r="CZ48" s="1053"/>
      <c r="DA48" s="1053"/>
      <c r="DB48" s="1053"/>
      <c r="DC48" s="1053"/>
      <c r="DD48" s="1053"/>
      <c r="DE48" s="1053"/>
      <c r="DF48" s="1053"/>
      <c r="DG48" s="1053"/>
      <c r="DH48" s="1053"/>
      <c r="DI48" s="1053"/>
      <c r="DJ48" s="1053"/>
      <c r="DK48" s="1053"/>
      <c r="DL48" s="1053"/>
      <c r="DM48" s="1053"/>
      <c r="DN48" s="1053"/>
      <c r="DO48" s="1053"/>
      <c r="DP48" s="1053"/>
      <c r="DQ48" s="1053"/>
      <c r="DR48" s="1054"/>
      <c r="DS48" s="1052" t="s">
        <v>749</v>
      </c>
      <c r="DT48" s="1053"/>
      <c r="DU48" s="1053"/>
      <c r="DV48" s="1053"/>
      <c r="DW48" s="1053"/>
      <c r="DX48" s="1053"/>
      <c r="DY48" s="1053"/>
      <c r="DZ48" s="1053"/>
      <c r="EA48" s="1053"/>
      <c r="EB48" s="1053"/>
      <c r="EC48" s="1053"/>
      <c r="ED48" s="1053"/>
      <c r="EE48" s="1053"/>
      <c r="EF48" s="1053"/>
      <c r="EG48" s="1053"/>
      <c r="EH48" s="1053"/>
      <c r="EI48" s="1053"/>
      <c r="EJ48" s="1053"/>
      <c r="EK48" s="1053"/>
      <c r="EL48" s="1053"/>
      <c r="EM48" s="1053"/>
      <c r="EN48" s="1053"/>
      <c r="EO48" s="1053"/>
      <c r="EP48" s="1054"/>
    </row>
    <row r="49" spans="1:146" ht="14.25" customHeight="1" x14ac:dyDescent="0.15">
      <c r="A49" s="1060"/>
      <c r="B49" s="1061"/>
      <c r="C49" s="1057" t="s">
        <v>750</v>
      </c>
      <c r="D49" s="1055"/>
      <c r="E49" s="1055"/>
      <c r="F49" s="1055"/>
      <c r="G49" s="1055"/>
      <c r="H49" s="1055"/>
      <c r="I49" s="1055" t="s">
        <v>751</v>
      </c>
      <c r="J49" s="1055"/>
      <c r="K49" s="1055"/>
      <c r="L49" s="1055"/>
      <c r="M49" s="1055"/>
      <c r="N49" s="1055"/>
      <c r="O49" s="1055" t="s">
        <v>752</v>
      </c>
      <c r="P49" s="1055"/>
      <c r="Q49" s="1055"/>
      <c r="R49" s="1055"/>
      <c r="S49" s="1055"/>
      <c r="T49" s="1055"/>
      <c r="U49" s="1055" t="s">
        <v>753</v>
      </c>
      <c r="V49" s="1055"/>
      <c r="W49" s="1055"/>
      <c r="X49" s="1055"/>
      <c r="Y49" s="1055"/>
      <c r="Z49" s="1056"/>
      <c r="AA49" s="1057" t="s">
        <v>754</v>
      </c>
      <c r="AB49" s="1055"/>
      <c r="AC49" s="1055"/>
      <c r="AD49" s="1055"/>
      <c r="AE49" s="1055"/>
      <c r="AF49" s="1055"/>
      <c r="AG49" s="1055" t="s">
        <v>751</v>
      </c>
      <c r="AH49" s="1055"/>
      <c r="AI49" s="1055"/>
      <c r="AJ49" s="1055"/>
      <c r="AK49" s="1055"/>
      <c r="AL49" s="1055"/>
      <c r="AM49" s="1055" t="s">
        <v>752</v>
      </c>
      <c r="AN49" s="1055"/>
      <c r="AO49" s="1055"/>
      <c r="AP49" s="1055"/>
      <c r="AQ49" s="1055"/>
      <c r="AR49" s="1055"/>
      <c r="AS49" s="1055" t="s">
        <v>753</v>
      </c>
      <c r="AT49" s="1055"/>
      <c r="AU49" s="1055"/>
      <c r="AV49" s="1055"/>
      <c r="AW49" s="1055"/>
      <c r="AX49" s="1056"/>
      <c r="AY49" s="1057" t="s">
        <v>754</v>
      </c>
      <c r="AZ49" s="1055"/>
      <c r="BA49" s="1055"/>
      <c r="BB49" s="1055"/>
      <c r="BC49" s="1055"/>
      <c r="BD49" s="1055"/>
      <c r="BE49" s="1055" t="s">
        <v>751</v>
      </c>
      <c r="BF49" s="1055"/>
      <c r="BG49" s="1055"/>
      <c r="BH49" s="1055"/>
      <c r="BI49" s="1055"/>
      <c r="BJ49" s="1055"/>
      <c r="BK49" s="1055" t="s">
        <v>752</v>
      </c>
      <c r="BL49" s="1055"/>
      <c r="BM49" s="1055"/>
      <c r="BN49" s="1055"/>
      <c r="BO49" s="1055"/>
      <c r="BP49" s="1055"/>
      <c r="BQ49" s="1055" t="s">
        <v>753</v>
      </c>
      <c r="BR49" s="1055"/>
      <c r="BS49" s="1055"/>
      <c r="BT49" s="1055"/>
      <c r="BU49" s="1055"/>
      <c r="BV49" s="1056"/>
      <c r="BW49" s="1057" t="s">
        <v>750</v>
      </c>
      <c r="BX49" s="1055"/>
      <c r="BY49" s="1055"/>
      <c r="BZ49" s="1055"/>
      <c r="CA49" s="1055"/>
      <c r="CB49" s="1055"/>
      <c r="CC49" s="1055" t="s">
        <v>751</v>
      </c>
      <c r="CD49" s="1055"/>
      <c r="CE49" s="1055"/>
      <c r="CF49" s="1055"/>
      <c r="CG49" s="1055"/>
      <c r="CH49" s="1055"/>
      <c r="CI49" s="1055" t="s">
        <v>752</v>
      </c>
      <c r="CJ49" s="1055"/>
      <c r="CK49" s="1055"/>
      <c r="CL49" s="1055"/>
      <c r="CM49" s="1055"/>
      <c r="CN49" s="1055"/>
      <c r="CO49" s="1055" t="s">
        <v>753</v>
      </c>
      <c r="CP49" s="1055"/>
      <c r="CQ49" s="1055"/>
      <c r="CR49" s="1055"/>
      <c r="CS49" s="1055"/>
      <c r="CT49" s="1056"/>
      <c r="CU49" s="1057" t="s">
        <v>754</v>
      </c>
      <c r="CV49" s="1055"/>
      <c r="CW49" s="1055"/>
      <c r="CX49" s="1055"/>
      <c r="CY49" s="1055"/>
      <c r="CZ49" s="1055"/>
      <c r="DA49" s="1055" t="s">
        <v>751</v>
      </c>
      <c r="DB49" s="1055"/>
      <c r="DC49" s="1055"/>
      <c r="DD49" s="1055"/>
      <c r="DE49" s="1055"/>
      <c r="DF49" s="1055"/>
      <c r="DG49" s="1055" t="s">
        <v>752</v>
      </c>
      <c r="DH49" s="1055"/>
      <c r="DI49" s="1055"/>
      <c r="DJ49" s="1055"/>
      <c r="DK49" s="1055"/>
      <c r="DL49" s="1055"/>
      <c r="DM49" s="1055" t="s">
        <v>753</v>
      </c>
      <c r="DN49" s="1055"/>
      <c r="DO49" s="1055"/>
      <c r="DP49" s="1055"/>
      <c r="DQ49" s="1055"/>
      <c r="DR49" s="1056"/>
      <c r="DS49" s="1057" t="s">
        <v>754</v>
      </c>
      <c r="DT49" s="1055"/>
      <c r="DU49" s="1055"/>
      <c r="DV49" s="1055"/>
      <c r="DW49" s="1055"/>
      <c r="DX49" s="1055"/>
      <c r="DY49" s="1055" t="s">
        <v>751</v>
      </c>
      <c r="DZ49" s="1055"/>
      <c r="EA49" s="1055"/>
      <c r="EB49" s="1055"/>
      <c r="EC49" s="1055"/>
      <c r="ED49" s="1055"/>
      <c r="EE49" s="1055" t="s">
        <v>752</v>
      </c>
      <c r="EF49" s="1055"/>
      <c r="EG49" s="1055"/>
      <c r="EH49" s="1055"/>
      <c r="EI49" s="1055"/>
      <c r="EJ49" s="1055"/>
      <c r="EK49" s="1055" t="s">
        <v>753</v>
      </c>
      <c r="EL49" s="1055"/>
      <c r="EM49" s="1055"/>
      <c r="EN49" s="1055"/>
      <c r="EO49" s="1055"/>
      <c r="EP49" s="1056"/>
    </row>
    <row r="50" spans="1:146" ht="24.75" customHeight="1" thickBot="1" x14ac:dyDescent="0.2">
      <c r="A50" s="1060"/>
      <c r="B50" s="1061"/>
      <c r="C50" s="1049" t="s">
        <v>755</v>
      </c>
      <c r="D50" s="1047"/>
      <c r="E50" s="1047"/>
      <c r="F50" s="1047"/>
      <c r="G50" s="1047"/>
      <c r="H50" s="1047"/>
      <c r="I50" s="1047" t="s">
        <v>755</v>
      </c>
      <c r="J50" s="1047"/>
      <c r="K50" s="1047"/>
      <c r="L50" s="1047"/>
      <c r="M50" s="1047"/>
      <c r="N50" s="1047"/>
      <c r="O50" s="1047" t="s">
        <v>755</v>
      </c>
      <c r="P50" s="1047"/>
      <c r="Q50" s="1047"/>
      <c r="R50" s="1047"/>
      <c r="S50" s="1047"/>
      <c r="T50" s="1047"/>
      <c r="U50" s="1047" t="s">
        <v>755</v>
      </c>
      <c r="V50" s="1047"/>
      <c r="W50" s="1047"/>
      <c r="X50" s="1047"/>
      <c r="Y50" s="1047"/>
      <c r="Z50" s="1048"/>
      <c r="AA50" s="1049" t="s">
        <v>755</v>
      </c>
      <c r="AB50" s="1047"/>
      <c r="AC50" s="1047"/>
      <c r="AD50" s="1047"/>
      <c r="AE50" s="1047"/>
      <c r="AF50" s="1047"/>
      <c r="AG50" s="1047" t="s">
        <v>755</v>
      </c>
      <c r="AH50" s="1047"/>
      <c r="AI50" s="1047"/>
      <c r="AJ50" s="1047"/>
      <c r="AK50" s="1047"/>
      <c r="AL50" s="1047"/>
      <c r="AM50" s="1047" t="s">
        <v>755</v>
      </c>
      <c r="AN50" s="1047"/>
      <c r="AO50" s="1047"/>
      <c r="AP50" s="1047"/>
      <c r="AQ50" s="1047"/>
      <c r="AR50" s="1047"/>
      <c r="AS50" s="1047" t="s">
        <v>755</v>
      </c>
      <c r="AT50" s="1047"/>
      <c r="AU50" s="1047"/>
      <c r="AV50" s="1047"/>
      <c r="AW50" s="1047"/>
      <c r="AX50" s="1048"/>
      <c r="AY50" s="1049" t="s">
        <v>755</v>
      </c>
      <c r="AZ50" s="1047"/>
      <c r="BA50" s="1047"/>
      <c r="BB50" s="1047"/>
      <c r="BC50" s="1047"/>
      <c r="BD50" s="1047"/>
      <c r="BE50" s="1047" t="s">
        <v>755</v>
      </c>
      <c r="BF50" s="1047"/>
      <c r="BG50" s="1047"/>
      <c r="BH50" s="1047"/>
      <c r="BI50" s="1047"/>
      <c r="BJ50" s="1047"/>
      <c r="BK50" s="1047" t="s">
        <v>755</v>
      </c>
      <c r="BL50" s="1047"/>
      <c r="BM50" s="1047"/>
      <c r="BN50" s="1047"/>
      <c r="BO50" s="1047"/>
      <c r="BP50" s="1047"/>
      <c r="BQ50" s="1047" t="s">
        <v>755</v>
      </c>
      <c r="BR50" s="1047"/>
      <c r="BS50" s="1047"/>
      <c r="BT50" s="1047"/>
      <c r="BU50" s="1047"/>
      <c r="BV50" s="1048"/>
      <c r="BW50" s="1049" t="s">
        <v>755</v>
      </c>
      <c r="BX50" s="1047"/>
      <c r="BY50" s="1047"/>
      <c r="BZ50" s="1047"/>
      <c r="CA50" s="1047"/>
      <c r="CB50" s="1047"/>
      <c r="CC50" s="1047" t="s">
        <v>755</v>
      </c>
      <c r="CD50" s="1047"/>
      <c r="CE50" s="1047"/>
      <c r="CF50" s="1047"/>
      <c r="CG50" s="1047"/>
      <c r="CH50" s="1047"/>
      <c r="CI50" s="1047" t="s">
        <v>755</v>
      </c>
      <c r="CJ50" s="1047"/>
      <c r="CK50" s="1047"/>
      <c r="CL50" s="1047"/>
      <c r="CM50" s="1047"/>
      <c r="CN50" s="1047"/>
      <c r="CO50" s="1047" t="s">
        <v>755</v>
      </c>
      <c r="CP50" s="1047"/>
      <c r="CQ50" s="1047"/>
      <c r="CR50" s="1047"/>
      <c r="CS50" s="1047"/>
      <c r="CT50" s="1048"/>
      <c r="CU50" s="1049" t="s">
        <v>755</v>
      </c>
      <c r="CV50" s="1047"/>
      <c r="CW50" s="1047"/>
      <c r="CX50" s="1047"/>
      <c r="CY50" s="1047"/>
      <c r="CZ50" s="1047"/>
      <c r="DA50" s="1047" t="s">
        <v>755</v>
      </c>
      <c r="DB50" s="1047"/>
      <c r="DC50" s="1047"/>
      <c r="DD50" s="1047"/>
      <c r="DE50" s="1047"/>
      <c r="DF50" s="1047"/>
      <c r="DG50" s="1047" t="s">
        <v>755</v>
      </c>
      <c r="DH50" s="1047"/>
      <c r="DI50" s="1047"/>
      <c r="DJ50" s="1047"/>
      <c r="DK50" s="1047"/>
      <c r="DL50" s="1047"/>
      <c r="DM50" s="1047" t="s">
        <v>755</v>
      </c>
      <c r="DN50" s="1047"/>
      <c r="DO50" s="1047"/>
      <c r="DP50" s="1047"/>
      <c r="DQ50" s="1047"/>
      <c r="DR50" s="1048"/>
      <c r="DS50" s="1049" t="s">
        <v>755</v>
      </c>
      <c r="DT50" s="1047"/>
      <c r="DU50" s="1047"/>
      <c r="DV50" s="1047"/>
      <c r="DW50" s="1047"/>
      <c r="DX50" s="1047"/>
      <c r="DY50" s="1047" t="s">
        <v>755</v>
      </c>
      <c r="DZ50" s="1047"/>
      <c r="EA50" s="1047"/>
      <c r="EB50" s="1047"/>
      <c r="EC50" s="1047"/>
      <c r="ED50" s="1047"/>
      <c r="EE50" s="1047" t="s">
        <v>755</v>
      </c>
      <c r="EF50" s="1047"/>
      <c r="EG50" s="1047"/>
      <c r="EH50" s="1047"/>
      <c r="EI50" s="1047"/>
      <c r="EJ50" s="1047"/>
      <c r="EK50" s="1047" t="s">
        <v>755</v>
      </c>
      <c r="EL50" s="1047"/>
      <c r="EM50" s="1047"/>
      <c r="EN50" s="1047"/>
      <c r="EO50" s="1047"/>
      <c r="EP50" s="1048"/>
    </row>
    <row r="51" spans="1:146" ht="22.5" customHeight="1" thickBot="1" x14ac:dyDescent="0.2">
      <c r="A51" s="624" t="s">
        <v>265</v>
      </c>
      <c r="B51" s="385" t="s">
        <v>167</v>
      </c>
      <c r="C51" s="489"/>
      <c r="D51" s="490"/>
      <c r="E51" s="490"/>
      <c r="F51" s="490"/>
      <c r="G51" s="490"/>
      <c r="H51" s="490"/>
      <c r="I51" s="490"/>
      <c r="J51" s="490"/>
      <c r="K51" s="490"/>
      <c r="L51" s="490"/>
      <c r="M51" s="490"/>
      <c r="N51" s="490"/>
      <c r="O51" s="490"/>
      <c r="P51" s="490"/>
      <c r="Q51" s="490"/>
      <c r="R51" s="490"/>
      <c r="S51" s="490"/>
      <c r="T51" s="490"/>
      <c r="U51" s="490"/>
      <c r="V51" s="490"/>
      <c r="W51" s="490"/>
      <c r="X51" s="490"/>
      <c r="Y51" s="490"/>
      <c r="Z51" s="516"/>
      <c r="AA51" s="489"/>
      <c r="AB51" s="490"/>
      <c r="AC51" s="490"/>
      <c r="AD51" s="490"/>
      <c r="AE51" s="490"/>
      <c r="AF51" s="490"/>
      <c r="AG51" s="490"/>
      <c r="AH51" s="490"/>
      <c r="AI51" s="490"/>
      <c r="AJ51" s="490"/>
      <c r="AK51" s="490"/>
      <c r="AL51" s="490"/>
      <c r="AM51" s="490"/>
      <c r="AN51" s="490"/>
      <c r="AO51" s="490"/>
      <c r="AP51" s="490"/>
      <c r="AQ51" s="490"/>
      <c r="AR51" s="490"/>
      <c r="AS51" s="490"/>
      <c r="AT51" s="490"/>
      <c r="AU51" s="490"/>
      <c r="AV51" s="490"/>
      <c r="AW51" s="490"/>
      <c r="AX51" s="516"/>
      <c r="AY51" s="517"/>
      <c r="AZ51" s="490"/>
      <c r="BA51" s="490"/>
      <c r="BB51" s="490"/>
      <c r="BC51" s="490"/>
      <c r="BD51" s="490"/>
      <c r="BE51" s="490"/>
      <c r="BF51" s="490"/>
      <c r="BG51" s="490"/>
      <c r="BH51" s="490"/>
      <c r="BI51" s="490"/>
      <c r="BJ51" s="490"/>
      <c r="BK51" s="490"/>
      <c r="BL51" s="490"/>
      <c r="BM51" s="490"/>
      <c r="BN51" s="490"/>
      <c r="BO51" s="490"/>
      <c r="BP51" s="490"/>
      <c r="BQ51" s="490"/>
      <c r="BR51" s="490"/>
      <c r="BS51" s="490"/>
      <c r="BT51" s="490"/>
      <c r="BU51" s="490"/>
      <c r="BV51" s="507"/>
      <c r="BW51" s="489"/>
      <c r="BX51" s="490"/>
      <c r="BY51" s="490"/>
      <c r="BZ51" s="490"/>
      <c r="CA51" s="490"/>
      <c r="CB51" s="490"/>
      <c r="CC51" s="500"/>
      <c r="CD51" s="500"/>
      <c r="CE51" s="500"/>
      <c r="CF51" s="500"/>
      <c r="CG51" s="500"/>
      <c r="CH51" s="500"/>
      <c r="CI51" s="490"/>
      <c r="CJ51" s="490"/>
      <c r="CK51" s="490"/>
      <c r="CL51" s="490"/>
      <c r="CM51" s="490"/>
      <c r="CN51" s="490"/>
      <c r="CO51" s="490"/>
      <c r="CP51" s="490"/>
      <c r="CQ51" s="490"/>
      <c r="CR51" s="490"/>
      <c r="CS51" s="490"/>
      <c r="CT51" s="516"/>
      <c r="CU51" s="489"/>
      <c r="CV51" s="490"/>
      <c r="CW51" s="490"/>
      <c r="CX51" s="490"/>
      <c r="CY51" s="490"/>
      <c r="CZ51" s="490"/>
      <c r="DA51" s="490"/>
      <c r="DB51" s="490"/>
      <c r="DC51" s="490"/>
      <c r="DD51" s="490"/>
      <c r="DE51" s="490"/>
      <c r="DF51" s="490"/>
      <c r="DG51" s="490"/>
      <c r="DH51" s="490"/>
      <c r="DI51" s="490"/>
      <c r="DJ51" s="490"/>
      <c r="DK51" s="490"/>
      <c r="DL51" s="490"/>
      <c r="DM51" s="490"/>
      <c r="DN51" s="490"/>
      <c r="DO51" s="490"/>
      <c r="DP51" s="490"/>
      <c r="DQ51" s="490"/>
      <c r="DR51" s="516"/>
      <c r="DS51" s="517"/>
      <c r="DT51" s="490"/>
      <c r="DU51" s="490"/>
      <c r="DV51" s="490"/>
      <c r="DW51" s="490"/>
      <c r="DX51" s="490"/>
      <c r="DY51" s="490"/>
      <c r="DZ51" s="490"/>
      <c r="EA51" s="490"/>
      <c r="EB51" s="490"/>
      <c r="EC51" s="490"/>
      <c r="ED51" s="490"/>
      <c r="EE51" s="490"/>
      <c r="EF51" s="490"/>
      <c r="EG51" s="490"/>
      <c r="EH51" s="490"/>
      <c r="EI51" s="490"/>
      <c r="EJ51" s="490"/>
      <c r="EK51" s="490"/>
      <c r="EL51" s="490"/>
      <c r="EM51" s="490"/>
      <c r="EN51" s="490"/>
      <c r="EO51" s="490"/>
      <c r="EP51" s="507"/>
    </row>
    <row r="52" spans="1:146" ht="33.75" customHeight="1" x14ac:dyDescent="0.15">
      <c r="A52" s="624" t="s">
        <v>266</v>
      </c>
      <c r="B52" s="385" t="s">
        <v>248</v>
      </c>
      <c r="C52" s="525"/>
      <c r="D52" s="526"/>
      <c r="E52" s="526"/>
      <c r="F52" s="526"/>
      <c r="G52" s="526"/>
      <c r="H52" s="526"/>
      <c r="I52" s="526"/>
      <c r="J52" s="526"/>
      <c r="K52" s="526"/>
      <c r="L52" s="526"/>
      <c r="M52" s="526"/>
      <c r="N52" s="526"/>
      <c r="O52" s="526"/>
      <c r="P52" s="526"/>
      <c r="Q52" s="526"/>
      <c r="R52" s="526"/>
      <c r="S52" s="526"/>
      <c r="T52" s="526"/>
      <c r="U52" s="526"/>
      <c r="V52" s="526"/>
      <c r="W52" s="526"/>
      <c r="X52" s="526"/>
      <c r="Y52" s="526"/>
      <c r="Z52" s="527"/>
      <c r="AA52" s="525"/>
      <c r="AB52" s="526"/>
      <c r="AC52" s="526"/>
      <c r="AD52" s="526"/>
      <c r="AE52" s="526"/>
      <c r="AF52" s="526"/>
      <c r="AG52" s="526"/>
      <c r="AH52" s="526"/>
      <c r="AI52" s="526"/>
      <c r="AJ52" s="526"/>
      <c r="AK52" s="526"/>
      <c r="AL52" s="526"/>
      <c r="AM52" s="526"/>
      <c r="AN52" s="526"/>
      <c r="AO52" s="526"/>
      <c r="AP52" s="526"/>
      <c r="AQ52" s="526"/>
      <c r="AR52" s="526"/>
      <c r="AS52" s="526"/>
      <c r="AT52" s="526"/>
      <c r="AU52" s="526"/>
      <c r="AV52" s="526"/>
      <c r="AW52" s="526"/>
      <c r="AX52" s="527"/>
      <c r="AY52" s="525"/>
      <c r="AZ52" s="526"/>
      <c r="BA52" s="526"/>
      <c r="BB52" s="526"/>
      <c r="BC52" s="526"/>
      <c r="BD52" s="526"/>
      <c r="BE52" s="526"/>
      <c r="BF52" s="526"/>
      <c r="BG52" s="526"/>
      <c r="BH52" s="526"/>
      <c r="BI52" s="526"/>
      <c r="BJ52" s="526"/>
      <c r="BK52" s="526"/>
      <c r="BL52" s="526"/>
      <c r="BM52" s="526"/>
      <c r="BN52" s="526"/>
      <c r="BO52" s="526"/>
      <c r="BP52" s="526"/>
      <c r="BQ52" s="526"/>
      <c r="BR52" s="526"/>
      <c r="BS52" s="526"/>
      <c r="BT52" s="526"/>
      <c r="BU52" s="526"/>
      <c r="BV52" s="535"/>
      <c r="BW52" s="525"/>
      <c r="BX52" s="526"/>
      <c r="BY52" s="526"/>
      <c r="BZ52" s="526"/>
      <c r="CA52" s="526"/>
      <c r="CB52" s="526"/>
      <c r="CC52" s="526"/>
      <c r="CD52" s="526"/>
      <c r="CE52" s="526"/>
      <c r="CF52" s="526"/>
      <c r="CG52" s="526"/>
      <c r="CH52" s="526"/>
      <c r="CI52" s="530"/>
      <c r="CJ52" s="530"/>
      <c r="CK52" s="530"/>
      <c r="CL52" s="530"/>
      <c r="CM52" s="530"/>
      <c r="CN52" s="530"/>
      <c r="CO52" s="526"/>
      <c r="CP52" s="526"/>
      <c r="CQ52" s="526"/>
      <c r="CR52" s="526"/>
      <c r="CS52" s="526"/>
      <c r="CT52" s="527"/>
      <c r="CU52" s="525"/>
      <c r="CV52" s="526"/>
      <c r="CW52" s="526"/>
      <c r="CX52" s="526"/>
      <c r="CY52" s="526"/>
      <c r="CZ52" s="526"/>
      <c r="DA52" s="526"/>
      <c r="DB52" s="526"/>
      <c r="DC52" s="526"/>
      <c r="DD52" s="526"/>
      <c r="DE52" s="526"/>
      <c r="DF52" s="526"/>
      <c r="DG52" s="526"/>
      <c r="DH52" s="526"/>
      <c r="DI52" s="526"/>
      <c r="DJ52" s="526"/>
      <c r="DK52" s="526"/>
      <c r="DL52" s="526"/>
      <c r="DM52" s="526"/>
      <c r="DN52" s="526"/>
      <c r="DO52" s="526"/>
      <c r="DP52" s="526"/>
      <c r="DQ52" s="526"/>
      <c r="DR52" s="527"/>
      <c r="DS52" s="525"/>
      <c r="DT52" s="526"/>
      <c r="DU52" s="526"/>
      <c r="DV52" s="526"/>
      <c r="DW52" s="526"/>
      <c r="DX52" s="526"/>
      <c r="DY52" s="526"/>
      <c r="DZ52" s="526"/>
      <c r="EA52" s="526"/>
      <c r="EB52" s="526"/>
      <c r="EC52" s="526"/>
      <c r="ED52" s="526"/>
      <c r="EE52" s="526"/>
      <c r="EF52" s="526"/>
      <c r="EG52" s="526"/>
      <c r="EH52" s="526"/>
      <c r="EI52" s="526"/>
      <c r="EJ52" s="526"/>
      <c r="EK52" s="526"/>
      <c r="EL52" s="526"/>
      <c r="EM52" s="526"/>
      <c r="EN52" s="526"/>
      <c r="EO52" s="526"/>
      <c r="EP52" s="535"/>
    </row>
    <row r="53" spans="1:146" ht="21" customHeight="1" x14ac:dyDescent="0.15">
      <c r="A53" s="624" t="s">
        <v>267</v>
      </c>
      <c r="B53" s="385" t="s">
        <v>184</v>
      </c>
      <c r="C53" s="525"/>
      <c r="D53" s="526"/>
      <c r="E53" s="526"/>
      <c r="F53" s="526"/>
      <c r="G53" s="526"/>
      <c r="H53" s="526"/>
      <c r="I53" s="526"/>
      <c r="J53" s="526"/>
      <c r="K53" s="526"/>
      <c r="L53" s="526"/>
      <c r="M53" s="526"/>
      <c r="N53" s="526"/>
      <c r="O53" s="526"/>
      <c r="P53" s="526"/>
      <c r="Q53" s="526"/>
      <c r="R53" s="526"/>
      <c r="S53" s="526"/>
      <c r="T53" s="526"/>
      <c r="U53" s="526"/>
      <c r="V53" s="526"/>
      <c r="W53" s="526"/>
      <c r="X53" s="526"/>
      <c r="Y53" s="526"/>
      <c r="Z53" s="527"/>
      <c r="AA53" s="525"/>
      <c r="AB53" s="526"/>
      <c r="AC53" s="526"/>
      <c r="AD53" s="526"/>
      <c r="AE53" s="526"/>
      <c r="AF53" s="526"/>
      <c r="AG53" s="526"/>
      <c r="AH53" s="526"/>
      <c r="AI53" s="526"/>
      <c r="AJ53" s="526"/>
      <c r="AK53" s="526"/>
      <c r="AL53" s="526"/>
      <c r="AM53" s="526"/>
      <c r="AN53" s="526"/>
      <c r="AO53" s="526"/>
      <c r="AP53" s="526"/>
      <c r="AQ53" s="526"/>
      <c r="AR53" s="526"/>
      <c r="AS53" s="526"/>
      <c r="AT53" s="526"/>
      <c r="AU53" s="526"/>
      <c r="AV53" s="526"/>
      <c r="AW53" s="526"/>
      <c r="AX53" s="527"/>
      <c r="AY53" s="525"/>
      <c r="AZ53" s="526"/>
      <c r="BA53" s="526"/>
      <c r="BB53" s="526"/>
      <c r="BC53" s="526"/>
      <c r="BD53" s="526"/>
      <c r="BE53" s="526"/>
      <c r="BF53" s="526"/>
      <c r="BG53" s="526"/>
      <c r="BH53" s="526"/>
      <c r="BI53" s="526"/>
      <c r="BJ53" s="526"/>
      <c r="BK53" s="526"/>
      <c r="BL53" s="526"/>
      <c r="BM53" s="526"/>
      <c r="BN53" s="526"/>
      <c r="BO53" s="526"/>
      <c r="BP53" s="526"/>
      <c r="BQ53" s="526"/>
      <c r="BR53" s="526"/>
      <c r="BS53" s="526"/>
      <c r="BT53" s="526"/>
      <c r="BU53" s="526"/>
      <c r="BV53" s="535"/>
      <c r="BW53" s="525"/>
      <c r="BX53" s="526"/>
      <c r="BY53" s="526"/>
      <c r="BZ53" s="526"/>
      <c r="CA53" s="526"/>
      <c r="CB53" s="526"/>
      <c r="CC53" s="526"/>
      <c r="CD53" s="526"/>
      <c r="CE53" s="526"/>
      <c r="CF53" s="526"/>
      <c r="CG53" s="526"/>
      <c r="CH53" s="526"/>
      <c r="CI53" s="526"/>
      <c r="CJ53" s="526"/>
      <c r="CK53" s="526"/>
      <c r="CL53" s="526"/>
      <c r="CM53" s="526"/>
      <c r="CN53" s="526"/>
      <c r="CO53" s="526"/>
      <c r="CP53" s="526"/>
      <c r="CQ53" s="526"/>
      <c r="CR53" s="526"/>
      <c r="CS53" s="526"/>
      <c r="CT53" s="527"/>
      <c r="CU53" s="525"/>
      <c r="CV53" s="526"/>
      <c r="CW53" s="526"/>
      <c r="CX53" s="526"/>
      <c r="CY53" s="526"/>
      <c r="CZ53" s="526"/>
      <c r="DA53" s="526"/>
      <c r="DB53" s="526"/>
      <c r="DC53" s="526"/>
      <c r="DD53" s="526"/>
      <c r="DE53" s="526"/>
      <c r="DF53" s="526"/>
      <c r="DG53" s="526"/>
      <c r="DH53" s="526"/>
      <c r="DI53" s="526"/>
      <c r="DJ53" s="526"/>
      <c r="DK53" s="526"/>
      <c r="DL53" s="526"/>
      <c r="DM53" s="526"/>
      <c r="DN53" s="526"/>
      <c r="DO53" s="526"/>
      <c r="DP53" s="526"/>
      <c r="DQ53" s="526"/>
      <c r="DR53" s="527"/>
      <c r="DS53" s="525"/>
      <c r="DT53" s="526"/>
      <c r="DU53" s="526"/>
      <c r="DV53" s="526"/>
      <c r="DW53" s="526"/>
      <c r="DX53" s="526"/>
      <c r="DY53" s="537"/>
      <c r="DZ53" s="537"/>
      <c r="EA53" s="537"/>
      <c r="EB53" s="537"/>
      <c r="EC53" s="537"/>
      <c r="ED53" s="537"/>
      <c r="EE53" s="537"/>
      <c r="EF53" s="537"/>
      <c r="EG53" s="537"/>
      <c r="EH53" s="537"/>
      <c r="EI53" s="537"/>
      <c r="EJ53" s="537"/>
      <c r="EK53" s="526"/>
      <c r="EL53" s="526"/>
      <c r="EM53" s="526"/>
      <c r="EN53" s="526"/>
      <c r="EO53" s="526"/>
      <c r="EP53" s="535"/>
    </row>
    <row r="54" spans="1:146" ht="21.75" customHeight="1" thickBot="1" x14ac:dyDescent="0.2">
      <c r="A54" s="624" t="s">
        <v>268</v>
      </c>
      <c r="B54" s="385" t="s">
        <v>207</v>
      </c>
      <c r="C54" s="508"/>
      <c r="D54" s="509"/>
      <c r="E54" s="509"/>
      <c r="F54" s="509"/>
      <c r="G54" s="509"/>
      <c r="H54" s="509"/>
      <c r="I54" s="509"/>
      <c r="J54" s="509"/>
      <c r="K54" s="509"/>
      <c r="L54" s="509"/>
      <c r="M54" s="509"/>
      <c r="N54" s="509"/>
      <c r="O54" s="509"/>
      <c r="P54" s="509"/>
      <c r="Q54" s="509"/>
      <c r="R54" s="509"/>
      <c r="S54" s="509"/>
      <c r="T54" s="509"/>
      <c r="U54" s="509"/>
      <c r="V54" s="509"/>
      <c r="W54" s="509"/>
      <c r="X54" s="509"/>
      <c r="Y54" s="509"/>
      <c r="Z54" s="515"/>
      <c r="AA54" s="508"/>
      <c r="AB54" s="509"/>
      <c r="AC54" s="509"/>
      <c r="AD54" s="509"/>
      <c r="AE54" s="509"/>
      <c r="AF54" s="509"/>
      <c r="AG54" s="509"/>
      <c r="AH54" s="509"/>
      <c r="AI54" s="509"/>
      <c r="AJ54" s="509"/>
      <c r="AK54" s="509"/>
      <c r="AL54" s="509"/>
      <c r="AM54" s="509"/>
      <c r="AN54" s="509"/>
      <c r="AO54" s="509"/>
      <c r="AP54" s="509"/>
      <c r="AQ54" s="509"/>
      <c r="AR54" s="509"/>
      <c r="AS54" s="509"/>
      <c r="AT54" s="509"/>
      <c r="AU54" s="509"/>
      <c r="AV54" s="509"/>
      <c r="AW54" s="509"/>
      <c r="AX54" s="515"/>
      <c r="AY54" s="508"/>
      <c r="AZ54" s="509"/>
      <c r="BA54" s="509"/>
      <c r="BB54" s="509"/>
      <c r="BC54" s="509"/>
      <c r="BD54" s="509"/>
      <c r="BE54" s="509"/>
      <c r="BF54" s="509"/>
      <c r="BG54" s="509"/>
      <c r="BH54" s="509"/>
      <c r="BI54" s="509"/>
      <c r="BJ54" s="509"/>
      <c r="BK54" s="509"/>
      <c r="BL54" s="509"/>
      <c r="BM54" s="509"/>
      <c r="BN54" s="509"/>
      <c r="BO54" s="509"/>
      <c r="BP54" s="509"/>
      <c r="BQ54" s="509"/>
      <c r="BR54" s="509"/>
      <c r="BS54" s="509"/>
      <c r="BT54" s="509"/>
      <c r="BU54" s="509"/>
      <c r="BV54" s="514"/>
      <c r="BW54" s="508"/>
      <c r="BX54" s="509"/>
      <c r="BY54" s="509"/>
      <c r="BZ54" s="509"/>
      <c r="CA54" s="509"/>
      <c r="CB54" s="509"/>
      <c r="CC54" s="509"/>
      <c r="CD54" s="509"/>
      <c r="CE54" s="509"/>
      <c r="CF54" s="509"/>
      <c r="CG54" s="509"/>
      <c r="CH54" s="509"/>
      <c r="CI54" s="509"/>
      <c r="CJ54" s="509"/>
      <c r="CK54" s="509"/>
      <c r="CL54" s="509"/>
      <c r="CM54" s="509"/>
      <c r="CN54" s="509"/>
      <c r="CO54" s="509"/>
      <c r="CP54" s="509"/>
      <c r="CQ54" s="509"/>
      <c r="CR54" s="509"/>
      <c r="CS54" s="509"/>
      <c r="CT54" s="515"/>
      <c r="CU54" s="508"/>
      <c r="CV54" s="509"/>
      <c r="CW54" s="509"/>
      <c r="CX54" s="509"/>
      <c r="CY54" s="509"/>
      <c r="CZ54" s="509"/>
      <c r="DA54" s="509"/>
      <c r="DB54" s="509"/>
      <c r="DC54" s="509"/>
      <c r="DD54" s="509"/>
      <c r="DE54" s="509"/>
      <c r="DF54" s="509"/>
      <c r="DG54" s="509"/>
      <c r="DH54" s="509"/>
      <c r="DI54" s="509"/>
      <c r="DJ54" s="509"/>
      <c r="DK54" s="509"/>
      <c r="DL54" s="509"/>
      <c r="DM54" s="509"/>
      <c r="DN54" s="509"/>
      <c r="DO54" s="509"/>
      <c r="DP54" s="509"/>
      <c r="DQ54" s="509"/>
      <c r="DR54" s="515"/>
      <c r="DS54" s="508"/>
      <c r="DT54" s="509"/>
      <c r="DU54" s="509"/>
      <c r="DV54" s="509"/>
      <c r="DW54" s="509"/>
      <c r="DX54" s="509"/>
      <c r="DY54" s="538"/>
      <c r="DZ54" s="538"/>
      <c r="EA54" s="538"/>
      <c r="EB54" s="538"/>
      <c r="EC54" s="538"/>
      <c r="ED54" s="538"/>
      <c r="EE54" s="538"/>
      <c r="EF54" s="538"/>
      <c r="EG54" s="538"/>
      <c r="EH54" s="538"/>
      <c r="EI54" s="538"/>
      <c r="EJ54" s="538"/>
      <c r="EK54" s="509"/>
      <c r="EL54" s="509"/>
      <c r="EM54" s="509"/>
      <c r="EN54" s="509"/>
      <c r="EO54" s="509"/>
      <c r="EP54" s="514"/>
    </row>
    <row r="55" spans="1:146" s="12" customFormat="1" ht="21.75" customHeight="1" thickBot="1" x14ac:dyDescent="0.2">
      <c r="A55" s="488">
        <v>5</v>
      </c>
      <c r="B55" s="1058" t="s">
        <v>9</v>
      </c>
      <c r="C55" s="1058"/>
      <c r="D55" s="1058"/>
      <c r="E55" s="1058"/>
      <c r="F55" s="1058"/>
      <c r="G55" s="1058"/>
      <c r="H55" s="1058"/>
      <c r="I55" s="1058"/>
      <c r="J55" s="1058"/>
      <c r="K55" s="1058"/>
      <c r="L55" s="1058"/>
      <c r="M55" s="1058"/>
      <c r="N55" s="1058"/>
      <c r="O55" s="1058"/>
      <c r="P55" s="1058"/>
      <c r="Q55" s="1058"/>
      <c r="R55" s="1058"/>
      <c r="S55" s="1058"/>
      <c r="T55" s="1058"/>
      <c r="U55" s="1058"/>
      <c r="V55" s="1058"/>
      <c r="W55" s="1058"/>
      <c r="X55" s="1058"/>
      <c r="Y55" s="1058"/>
      <c r="Z55" s="1058"/>
      <c r="AA55" s="1058"/>
      <c r="AB55" s="1058"/>
      <c r="AC55" s="1058"/>
      <c r="AD55" s="1058"/>
      <c r="AE55" s="1058"/>
      <c r="AF55" s="1058"/>
      <c r="AG55" s="1058"/>
      <c r="AH55" s="1058"/>
      <c r="AI55" s="1058"/>
      <c r="AJ55" s="1058"/>
      <c r="AK55" s="1058"/>
      <c r="AL55" s="1058"/>
      <c r="AM55" s="1058"/>
      <c r="AN55" s="1058"/>
      <c r="AO55" s="1058"/>
      <c r="AP55" s="1058"/>
      <c r="AQ55" s="1058"/>
      <c r="AR55" s="1058"/>
      <c r="AS55" s="1058"/>
      <c r="AT55" s="1058"/>
      <c r="AU55" s="1058"/>
      <c r="AV55" s="1058"/>
      <c r="AW55" s="1058"/>
      <c r="AX55" s="1058"/>
      <c r="AY55" s="1058"/>
      <c r="AZ55" s="1058"/>
      <c r="BA55" s="1058"/>
      <c r="BB55" s="1058"/>
      <c r="BC55" s="1058"/>
      <c r="BD55" s="1058"/>
      <c r="BE55" s="1058"/>
      <c r="BF55" s="1058"/>
      <c r="BG55" s="1058"/>
      <c r="BH55" s="1058"/>
      <c r="BI55" s="1058"/>
      <c r="BJ55" s="1058"/>
      <c r="BK55" s="1058"/>
      <c r="BL55" s="1058"/>
      <c r="BM55" s="1058"/>
      <c r="BN55" s="1058"/>
      <c r="BO55" s="1058"/>
      <c r="BP55" s="1058"/>
      <c r="BQ55" s="1058"/>
      <c r="BR55" s="1058"/>
      <c r="BS55" s="1058"/>
      <c r="BT55" s="1058"/>
      <c r="BU55" s="1058"/>
      <c r="BV55" s="1058"/>
      <c r="BW55" s="1058"/>
      <c r="BX55" s="1058"/>
      <c r="BY55" s="1058"/>
      <c r="BZ55" s="1058"/>
      <c r="CA55" s="1058"/>
      <c r="CB55" s="1058"/>
      <c r="CC55" s="1058"/>
      <c r="CD55" s="1058"/>
      <c r="CE55" s="1058"/>
      <c r="CF55" s="1058"/>
      <c r="CG55" s="1058"/>
      <c r="CH55" s="1058"/>
      <c r="CI55" s="1058"/>
      <c r="CJ55" s="1058"/>
      <c r="CK55" s="1058"/>
      <c r="CL55" s="1058"/>
      <c r="CM55" s="1058"/>
      <c r="CN55" s="1058"/>
      <c r="CO55" s="1058"/>
      <c r="CP55" s="1058"/>
      <c r="CQ55" s="1058"/>
      <c r="CR55" s="1058"/>
      <c r="CS55" s="1058"/>
      <c r="CT55" s="1058"/>
      <c r="CU55" s="1058"/>
      <c r="CV55" s="1058"/>
      <c r="CW55" s="1058"/>
      <c r="CX55" s="1058"/>
      <c r="CY55" s="1058"/>
      <c r="CZ55" s="1058"/>
      <c r="DA55" s="1058"/>
      <c r="DB55" s="1058"/>
      <c r="DC55" s="1058"/>
      <c r="DD55" s="1058"/>
      <c r="DE55" s="1058"/>
      <c r="DF55" s="1058"/>
      <c r="DG55" s="1058"/>
      <c r="DH55" s="1058"/>
      <c r="DI55" s="1058"/>
      <c r="DJ55" s="1058"/>
      <c r="DK55" s="1058"/>
      <c r="DL55" s="1058"/>
      <c r="DM55" s="1058"/>
      <c r="DN55" s="1058"/>
      <c r="DO55" s="1058"/>
      <c r="DP55" s="1058"/>
      <c r="DQ55" s="1058"/>
      <c r="DR55" s="1058"/>
      <c r="DS55" s="1058"/>
      <c r="DT55" s="1058"/>
      <c r="DU55" s="1058"/>
      <c r="DV55" s="1058"/>
      <c r="DW55" s="1058"/>
      <c r="DX55" s="1058"/>
      <c r="DY55" s="1058"/>
      <c r="DZ55" s="1058"/>
      <c r="EA55" s="1058"/>
      <c r="EB55" s="1058"/>
      <c r="EC55" s="1058"/>
      <c r="ED55" s="1058"/>
      <c r="EE55" s="1058"/>
      <c r="EF55" s="1058"/>
      <c r="EG55" s="1058"/>
      <c r="EH55" s="1058"/>
      <c r="EI55" s="1058"/>
      <c r="EJ55" s="1058"/>
      <c r="EK55" s="1058"/>
      <c r="EL55" s="1058"/>
      <c r="EM55" s="1058"/>
      <c r="EN55" s="1058"/>
      <c r="EO55" s="1058"/>
      <c r="EP55" s="1059"/>
    </row>
    <row r="56" spans="1:146" ht="15" customHeight="1" x14ac:dyDescent="0.15">
      <c r="A56" s="1060" t="s">
        <v>0</v>
      </c>
      <c r="B56" s="1061" t="s">
        <v>743</v>
      </c>
      <c r="C56" s="1052" t="s">
        <v>744</v>
      </c>
      <c r="D56" s="1053"/>
      <c r="E56" s="1053"/>
      <c r="F56" s="1053"/>
      <c r="G56" s="1053"/>
      <c r="H56" s="1053"/>
      <c r="I56" s="1053"/>
      <c r="J56" s="1053"/>
      <c r="K56" s="1053"/>
      <c r="L56" s="1053"/>
      <c r="M56" s="1053"/>
      <c r="N56" s="1053"/>
      <c r="O56" s="1053"/>
      <c r="P56" s="1053"/>
      <c r="Q56" s="1053"/>
      <c r="R56" s="1053"/>
      <c r="S56" s="1053"/>
      <c r="T56" s="1053"/>
      <c r="U56" s="1053"/>
      <c r="V56" s="1053"/>
      <c r="W56" s="1053"/>
      <c r="X56" s="1053"/>
      <c r="Y56" s="1053"/>
      <c r="Z56" s="1054"/>
      <c r="AA56" s="1052" t="s">
        <v>745</v>
      </c>
      <c r="AB56" s="1053"/>
      <c r="AC56" s="1053"/>
      <c r="AD56" s="1053"/>
      <c r="AE56" s="1053"/>
      <c r="AF56" s="1053"/>
      <c r="AG56" s="1053"/>
      <c r="AH56" s="1053"/>
      <c r="AI56" s="1053"/>
      <c r="AJ56" s="1053"/>
      <c r="AK56" s="1053"/>
      <c r="AL56" s="1053"/>
      <c r="AM56" s="1053"/>
      <c r="AN56" s="1053"/>
      <c r="AO56" s="1053"/>
      <c r="AP56" s="1053"/>
      <c r="AQ56" s="1053"/>
      <c r="AR56" s="1053"/>
      <c r="AS56" s="1053"/>
      <c r="AT56" s="1053"/>
      <c r="AU56" s="1053"/>
      <c r="AV56" s="1053"/>
      <c r="AW56" s="1053"/>
      <c r="AX56" s="1054"/>
      <c r="AY56" s="1052" t="s">
        <v>746</v>
      </c>
      <c r="AZ56" s="1053"/>
      <c r="BA56" s="1053"/>
      <c r="BB56" s="1053"/>
      <c r="BC56" s="1053"/>
      <c r="BD56" s="1053"/>
      <c r="BE56" s="1053"/>
      <c r="BF56" s="1053"/>
      <c r="BG56" s="1053"/>
      <c r="BH56" s="1053"/>
      <c r="BI56" s="1053"/>
      <c r="BJ56" s="1053"/>
      <c r="BK56" s="1053"/>
      <c r="BL56" s="1053"/>
      <c r="BM56" s="1053"/>
      <c r="BN56" s="1053"/>
      <c r="BO56" s="1053"/>
      <c r="BP56" s="1053"/>
      <c r="BQ56" s="1053"/>
      <c r="BR56" s="1053"/>
      <c r="BS56" s="1053"/>
      <c r="BT56" s="1053"/>
      <c r="BU56" s="1053"/>
      <c r="BV56" s="1054"/>
      <c r="BW56" s="1052" t="s">
        <v>747</v>
      </c>
      <c r="BX56" s="1053"/>
      <c r="BY56" s="1053"/>
      <c r="BZ56" s="1053"/>
      <c r="CA56" s="1053"/>
      <c r="CB56" s="1053"/>
      <c r="CC56" s="1053"/>
      <c r="CD56" s="1053"/>
      <c r="CE56" s="1053"/>
      <c r="CF56" s="1053"/>
      <c r="CG56" s="1053"/>
      <c r="CH56" s="1053"/>
      <c r="CI56" s="1053"/>
      <c r="CJ56" s="1053"/>
      <c r="CK56" s="1053"/>
      <c r="CL56" s="1053"/>
      <c r="CM56" s="1053"/>
      <c r="CN56" s="1053"/>
      <c r="CO56" s="1053"/>
      <c r="CP56" s="1053"/>
      <c r="CQ56" s="1053"/>
      <c r="CR56" s="1053"/>
      <c r="CS56" s="1053"/>
      <c r="CT56" s="1054"/>
      <c r="CU56" s="1052" t="s">
        <v>748</v>
      </c>
      <c r="CV56" s="1053"/>
      <c r="CW56" s="1053"/>
      <c r="CX56" s="1053"/>
      <c r="CY56" s="1053"/>
      <c r="CZ56" s="1053"/>
      <c r="DA56" s="1053"/>
      <c r="DB56" s="1053"/>
      <c r="DC56" s="1053"/>
      <c r="DD56" s="1053"/>
      <c r="DE56" s="1053"/>
      <c r="DF56" s="1053"/>
      <c r="DG56" s="1053"/>
      <c r="DH56" s="1053"/>
      <c r="DI56" s="1053"/>
      <c r="DJ56" s="1053"/>
      <c r="DK56" s="1053"/>
      <c r="DL56" s="1053"/>
      <c r="DM56" s="1053"/>
      <c r="DN56" s="1053"/>
      <c r="DO56" s="1053"/>
      <c r="DP56" s="1053"/>
      <c r="DQ56" s="1053"/>
      <c r="DR56" s="1054"/>
      <c r="DS56" s="1052" t="s">
        <v>749</v>
      </c>
      <c r="DT56" s="1053"/>
      <c r="DU56" s="1053"/>
      <c r="DV56" s="1053"/>
      <c r="DW56" s="1053"/>
      <c r="DX56" s="1053"/>
      <c r="DY56" s="1053"/>
      <c r="DZ56" s="1053"/>
      <c r="EA56" s="1053"/>
      <c r="EB56" s="1053"/>
      <c r="EC56" s="1053"/>
      <c r="ED56" s="1053"/>
      <c r="EE56" s="1053"/>
      <c r="EF56" s="1053"/>
      <c r="EG56" s="1053"/>
      <c r="EH56" s="1053"/>
      <c r="EI56" s="1053"/>
      <c r="EJ56" s="1053"/>
      <c r="EK56" s="1053"/>
      <c r="EL56" s="1053"/>
      <c r="EM56" s="1053"/>
      <c r="EN56" s="1053"/>
      <c r="EO56" s="1053"/>
      <c r="EP56" s="1054"/>
    </row>
    <row r="57" spans="1:146" ht="14.25" customHeight="1" x14ac:dyDescent="0.15">
      <c r="A57" s="1060"/>
      <c r="B57" s="1061"/>
      <c r="C57" s="1057" t="s">
        <v>750</v>
      </c>
      <c r="D57" s="1055"/>
      <c r="E57" s="1055"/>
      <c r="F57" s="1055"/>
      <c r="G57" s="1055"/>
      <c r="H57" s="1055"/>
      <c r="I57" s="1055" t="s">
        <v>751</v>
      </c>
      <c r="J57" s="1055"/>
      <c r="K57" s="1055"/>
      <c r="L57" s="1055"/>
      <c r="M57" s="1055"/>
      <c r="N57" s="1055"/>
      <c r="O57" s="1055" t="s">
        <v>752</v>
      </c>
      <c r="P57" s="1055"/>
      <c r="Q57" s="1055"/>
      <c r="R57" s="1055"/>
      <c r="S57" s="1055"/>
      <c r="T57" s="1055"/>
      <c r="U57" s="1055" t="s">
        <v>753</v>
      </c>
      <c r="V57" s="1055"/>
      <c r="W57" s="1055"/>
      <c r="X57" s="1055"/>
      <c r="Y57" s="1055"/>
      <c r="Z57" s="1056"/>
      <c r="AA57" s="1057" t="s">
        <v>754</v>
      </c>
      <c r="AB57" s="1055"/>
      <c r="AC57" s="1055"/>
      <c r="AD57" s="1055"/>
      <c r="AE57" s="1055"/>
      <c r="AF57" s="1055"/>
      <c r="AG57" s="1055" t="s">
        <v>751</v>
      </c>
      <c r="AH57" s="1055"/>
      <c r="AI57" s="1055"/>
      <c r="AJ57" s="1055"/>
      <c r="AK57" s="1055"/>
      <c r="AL57" s="1055"/>
      <c r="AM57" s="1055" t="s">
        <v>752</v>
      </c>
      <c r="AN57" s="1055"/>
      <c r="AO57" s="1055"/>
      <c r="AP57" s="1055"/>
      <c r="AQ57" s="1055"/>
      <c r="AR57" s="1055"/>
      <c r="AS57" s="1055" t="s">
        <v>753</v>
      </c>
      <c r="AT57" s="1055"/>
      <c r="AU57" s="1055"/>
      <c r="AV57" s="1055"/>
      <c r="AW57" s="1055"/>
      <c r="AX57" s="1056"/>
      <c r="AY57" s="1057" t="s">
        <v>754</v>
      </c>
      <c r="AZ57" s="1055"/>
      <c r="BA57" s="1055"/>
      <c r="BB57" s="1055"/>
      <c r="BC57" s="1055"/>
      <c r="BD57" s="1055"/>
      <c r="BE57" s="1055" t="s">
        <v>751</v>
      </c>
      <c r="BF57" s="1055"/>
      <c r="BG57" s="1055"/>
      <c r="BH57" s="1055"/>
      <c r="BI57" s="1055"/>
      <c r="BJ57" s="1055"/>
      <c r="BK57" s="1055" t="s">
        <v>752</v>
      </c>
      <c r="BL57" s="1055"/>
      <c r="BM57" s="1055"/>
      <c r="BN57" s="1055"/>
      <c r="BO57" s="1055"/>
      <c r="BP57" s="1055"/>
      <c r="BQ57" s="1055" t="s">
        <v>753</v>
      </c>
      <c r="BR57" s="1055"/>
      <c r="BS57" s="1055"/>
      <c r="BT57" s="1055"/>
      <c r="BU57" s="1055"/>
      <c r="BV57" s="1056"/>
      <c r="BW57" s="1057" t="s">
        <v>750</v>
      </c>
      <c r="BX57" s="1055"/>
      <c r="BY57" s="1055"/>
      <c r="BZ57" s="1055"/>
      <c r="CA57" s="1055"/>
      <c r="CB57" s="1055"/>
      <c r="CC57" s="1055" t="s">
        <v>751</v>
      </c>
      <c r="CD57" s="1055"/>
      <c r="CE57" s="1055"/>
      <c r="CF57" s="1055"/>
      <c r="CG57" s="1055"/>
      <c r="CH57" s="1055"/>
      <c r="CI57" s="1055" t="s">
        <v>752</v>
      </c>
      <c r="CJ57" s="1055"/>
      <c r="CK57" s="1055"/>
      <c r="CL57" s="1055"/>
      <c r="CM57" s="1055"/>
      <c r="CN57" s="1055"/>
      <c r="CO57" s="1055" t="s">
        <v>753</v>
      </c>
      <c r="CP57" s="1055"/>
      <c r="CQ57" s="1055"/>
      <c r="CR57" s="1055"/>
      <c r="CS57" s="1055"/>
      <c r="CT57" s="1056"/>
      <c r="CU57" s="1057" t="s">
        <v>754</v>
      </c>
      <c r="CV57" s="1055"/>
      <c r="CW57" s="1055"/>
      <c r="CX57" s="1055"/>
      <c r="CY57" s="1055"/>
      <c r="CZ57" s="1055"/>
      <c r="DA57" s="1055" t="s">
        <v>751</v>
      </c>
      <c r="DB57" s="1055"/>
      <c r="DC57" s="1055"/>
      <c r="DD57" s="1055"/>
      <c r="DE57" s="1055"/>
      <c r="DF57" s="1055"/>
      <c r="DG57" s="1055" t="s">
        <v>752</v>
      </c>
      <c r="DH57" s="1055"/>
      <c r="DI57" s="1055"/>
      <c r="DJ57" s="1055"/>
      <c r="DK57" s="1055"/>
      <c r="DL57" s="1055"/>
      <c r="DM57" s="1055" t="s">
        <v>753</v>
      </c>
      <c r="DN57" s="1055"/>
      <c r="DO57" s="1055"/>
      <c r="DP57" s="1055"/>
      <c r="DQ57" s="1055"/>
      <c r="DR57" s="1056"/>
      <c r="DS57" s="1057" t="s">
        <v>754</v>
      </c>
      <c r="DT57" s="1055"/>
      <c r="DU57" s="1055"/>
      <c r="DV57" s="1055"/>
      <c r="DW57" s="1055"/>
      <c r="DX57" s="1055"/>
      <c r="DY57" s="1055" t="s">
        <v>751</v>
      </c>
      <c r="DZ57" s="1055"/>
      <c r="EA57" s="1055"/>
      <c r="EB57" s="1055"/>
      <c r="EC57" s="1055"/>
      <c r="ED57" s="1055"/>
      <c r="EE57" s="1055" t="s">
        <v>752</v>
      </c>
      <c r="EF57" s="1055"/>
      <c r="EG57" s="1055"/>
      <c r="EH57" s="1055"/>
      <c r="EI57" s="1055"/>
      <c r="EJ57" s="1055"/>
      <c r="EK57" s="1055" t="s">
        <v>753</v>
      </c>
      <c r="EL57" s="1055"/>
      <c r="EM57" s="1055"/>
      <c r="EN57" s="1055"/>
      <c r="EO57" s="1055"/>
      <c r="EP57" s="1056"/>
    </row>
    <row r="58" spans="1:146" ht="24.75" customHeight="1" thickBot="1" x14ac:dyDescent="0.2">
      <c r="A58" s="1060"/>
      <c r="B58" s="1061"/>
      <c r="C58" s="1049" t="s">
        <v>755</v>
      </c>
      <c r="D58" s="1047"/>
      <c r="E58" s="1047"/>
      <c r="F58" s="1047"/>
      <c r="G58" s="1047"/>
      <c r="H58" s="1047"/>
      <c r="I58" s="1047" t="s">
        <v>755</v>
      </c>
      <c r="J58" s="1047"/>
      <c r="K58" s="1047"/>
      <c r="L58" s="1047"/>
      <c r="M58" s="1047"/>
      <c r="N58" s="1047"/>
      <c r="O58" s="1047" t="s">
        <v>755</v>
      </c>
      <c r="P58" s="1047"/>
      <c r="Q58" s="1047"/>
      <c r="R58" s="1047"/>
      <c r="S58" s="1047"/>
      <c r="T58" s="1047"/>
      <c r="U58" s="1047" t="s">
        <v>755</v>
      </c>
      <c r="V58" s="1047"/>
      <c r="W58" s="1047"/>
      <c r="X58" s="1047"/>
      <c r="Y58" s="1047"/>
      <c r="Z58" s="1048"/>
      <c r="AA58" s="1049" t="s">
        <v>755</v>
      </c>
      <c r="AB58" s="1047"/>
      <c r="AC58" s="1047"/>
      <c r="AD58" s="1047"/>
      <c r="AE58" s="1047"/>
      <c r="AF58" s="1047"/>
      <c r="AG58" s="1047" t="s">
        <v>755</v>
      </c>
      <c r="AH58" s="1047"/>
      <c r="AI58" s="1047"/>
      <c r="AJ58" s="1047"/>
      <c r="AK58" s="1047"/>
      <c r="AL58" s="1047"/>
      <c r="AM58" s="1047" t="s">
        <v>755</v>
      </c>
      <c r="AN58" s="1047"/>
      <c r="AO58" s="1047"/>
      <c r="AP58" s="1047"/>
      <c r="AQ58" s="1047"/>
      <c r="AR58" s="1047"/>
      <c r="AS58" s="1047" t="s">
        <v>755</v>
      </c>
      <c r="AT58" s="1047"/>
      <c r="AU58" s="1047"/>
      <c r="AV58" s="1047"/>
      <c r="AW58" s="1047"/>
      <c r="AX58" s="1048"/>
      <c r="AY58" s="1049" t="s">
        <v>755</v>
      </c>
      <c r="AZ58" s="1047"/>
      <c r="BA58" s="1047"/>
      <c r="BB58" s="1047"/>
      <c r="BC58" s="1047"/>
      <c r="BD58" s="1047"/>
      <c r="BE58" s="1047" t="s">
        <v>755</v>
      </c>
      <c r="BF58" s="1047"/>
      <c r="BG58" s="1047"/>
      <c r="BH58" s="1047"/>
      <c r="BI58" s="1047"/>
      <c r="BJ58" s="1047"/>
      <c r="BK58" s="1047" t="s">
        <v>755</v>
      </c>
      <c r="BL58" s="1047"/>
      <c r="BM58" s="1047"/>
      <c r="BN58" s="1047"/>
      <c r="BO58" s="1047"/>
      <c r="BP58" s="1047"/>
      <c r="BQ58" s="1047" t="s">
        <v>755</v>
      </c>
      <c r="BR58" s="1047"/>
      <c r="BS58" s="1047"/>
      <c r="BT58" s="1047"/>
      <c r="BU58" s="1047"/>
      <c r="BV58" s="1048"/>
      <c r="BW58" s="1049" t="s">
        <v>755</v>
      </c>
      <c r="BX58" s="1047"/>
      <c r="BY58" s="1047"/>
      <c r="BZ58" s="1047"/>
      <c r="CA58" s="1047"/>
      <c r="CB58" s="1047"/>
      <c r="CC58" s="1047" t="s">
        <v>755</v>
      </c>
      <c r="CD58" s="1047"/>
      <c r="CE58" s="1047"/>
      <c r="CF58" s="1047"/>
      <c r="CG58" s="1047"/>
      <c r="CH58" s="1047"/>
      <c r="CI58" s="1047" t="s">
        <v>755</v>
      </c>
      <c r="CJ58" s="1047"/>
      <c r="CK58" s="1047"/>
      <c r="CL58" s="1047"/>
      <c r="CM58" s="1047"/>
      <c r="CN58" s="1047"/>
      <c r="CO58" s="1047" t="s">
        <v>755</v>
      </c>
      <c r="CP58" s="1047"/>
      <c r="CQ58" s="1047"/>
      <c r="CR58" s="1047"/>
      <c r="CS58" s="1047"/>
      <c r="CT58" s="1048"/>
      <c r="CU58" s="1049" t="s">
        <v>755</v>
      </c>
      <c r="CV58" s="1047"/>
      <c r="CW58" s="1047"/>
      <c r="CX58" s="1047"/>
      <c r="CY58" s="1047"/>
      <c r="CZ58" s="1047"/>
      <c r="DA58" s="1047" t="s">
        <v>755</v>
      </c>
      <c r="DB58" s="1047"/>
      <c r="DC58" s="1047"/>
      <c r="DD58" s="1047"/>
      <c r="DE58" s="1047"/>
      <c r="DF58" s="1047"/>
      <c r="DG58" s="1047" t="s">
        <v>755</v>
      </c>
      <c r="DH58" s="1047"/>
      <c r="DI58" s="1047"/>
      <c r="DJ58" s="1047"/>
      <c r="DK58" s="1047"/>
      <c r="DL58" s="1047"/>
      <c r="DM58" s="1047" t="s">
        <v>755</v>
      </c>
      <c r="DN58" s="1047"/>
      <c r="DO58" s="1047"/>
      <c r="DP58" s="1047"/>
      <c r="DQ58" s="1047"/>
      <c r="DR58" s="1048"/>
      <c r="DS58" s="1049" t="s">
        <v>755</v>
      </c>
      <c r="DT58" s="1047"/>
      <c r="DU58" s="1047"/>
      <c r="DV58" s="1047"/>
      <c r="DW58" s="1047"/>
      <c r="DX58" s="1047"/>
      <c r="DY58" s="1047" t="s">
        <v>755</v>
      </c>
      <c r="DZ58" s="1047"/>
      <c r="EA58" s="1047"/>
      <c r="EB58" s="1047"/>
      <c r="EC58" s="1047"/>
      <c r="ED58" s="1047"/>
      <c r="EE58" s="1047" t="s">
        <v>755</v>
      </c>
      <c r="EF58" s="1047"/>
      <c r="EG58" s="1047"/>
      <c r="EH58" s="1047"/>
      <c r="EI58" s="1047"/>
      <c r="EJ58" s="1047"/>
      <c r="EK58" s="1047" t="s">
        <v>755</v>
      </c>
      <c r="EL58" s="1047"/>
      <c r="EM58" s="1047"/>
      <c r="EN58" s="1047"/>
      <c r="EO58" s="1047"/>
      <c r="EP58" s="1048"/>
    </row>
    <row r="59" spans="1:146" ht="30" customHeight="1" thickBot="1" x14ac:dyDescent="0.2">
      <c r="A59" s="624" t="s">
        <v>231</v>
      </c>
      <c r="B59" s="385" t="s">
        <v>669</v>
      </c>
      <c r="C59" s="489"/>
      <c r="D59" s="490"/>
      <c r="E59" s="490"/>
      <c r="F59" s="490"/>
      <c r="G59" s="490"/>
      <c r="H59" s="490"/>
      <c r="I59" s="490"/>
      <c r="J59" s="490"/>
      <c r="K59" s="490"/>
      <c r="L59" s="490"/>
      <c r="M59" s="490"/>
      <c r="N59" s="490"/>
      <c r="O59" s="490"/>
      <c r="P59" s="490"/>
      <c r="Q59" s="490"/>
      <c r="R59" s="490"/>
      <c r="S59" s="490"/>
      <c r="T59" s="490"/>
      <c r="U59" s="490"/>
      <c r="V59" s="490"/>
      <c r="W59" s="490"/>
      <c r="X59" s="490"/>
      <c r="Y59" s="490"/>
      <c r="Z59" s="516"/>
      <c r="AA59" s="489"/>
      <c r="AB59" s="490"/>
      <c r="AC59" s="490"/>
      <c r="AD59" s="490"/>
      <c r="AE59" s="490"/>
      <c r="AF59" s="490"/>
      <c r="AG59" s="490"/>
      <c r="AH59" s="490"/>
      <c r="AI59" s="490"/>
      <c r="AJ59" s="490"/>
      <c r="AK59" s="490"/>
      <c r="AL59" s="490"/>
      <c r="AM59" s="490"/>
      <c r="AN59" s="490"/>
      <c r="AO59" s="490"/>
      <c r="AP59" s="490"/>
      <c r="AQ59" s="490"/>
      <c r="AR59" s="490"/>
      <c r="AS59" s="490"/>
      <c r="AT59" s="490"/>
      <c r="AU59" s="490"/>
      <c r="AV59" s="490"/>
      <c r="AW59" s="490"/>
      <c r="AX59" s="516"/>
      <c r="AY59" s="517"/>
      <c r="AZ59" s="490"/>
      <c r="BA59" s="490"/>
      <c r="BB59" s="490"/>
      <c r="BC59" s="490"/>
      <c r="BD59" s="490"/>
      <c r="BE59" s="490"/>
      <c r="BF59" s="490"/>
      <c r="BG59" s="490"/>
      <c r="BH59" s="490"/>
      <c r="BI59" s="490"/>
      <c r="BJ59" s="490"/>
      <c r="BK59" s="490"/>
      <c r="BL59" s="490"/>
      <c r="BM59" s="490"/>
      <c r="BN59" s="490"/>
      <c r="BO59" s="490"/>
      <c r="BP59" s="490"/>
      <c r="BQ59" s="490"/>
      <c r="BR59" s="490"/>
      <c r="BS59" s="490"/>
      <c r="BT59" s="490"/>
      <c r="BU59" s="490"/>
      <c r="BV59" s="507"/>
      <c r="BW59" s="499"/>
      <c r="BX59" s="500"/>
      <c r="BY59" s="500"/>
      <c r="BZ59" s="500"/>
      <c r="CA59" s="500"/>
      <c r="CB59" s="500"/>
      <c r="CC59" s="500"/>
      <c r="CD59" s="500"/>
      <c r="CE59" s="500"/>
      <c r="CF59" s="500"/>
      <c r="CG59" s="500"/>
      <c r="CH59" s="500"/>
      <c r="CI59" s="490"/>
      <c r="CJ59" s="490"/>
      <c r="CK59" s="490"/>
      <c r="CL59" s="490"/>
      <c r="CM59" s="490"/>
      <c r="CN59" s="490"/>
      <c r="CO59" s="490"/>
      <c r="CP59" s="490"/>
      <c r="CQ59" s="490"/>
      <c r="CR59" s="490"/>
      <c r="CS59" s="490"/>
      <c r="CT59" s="516"/>
      <c r="CU59" s="489"/>
      <c r="CV59" s="490"/>
      <c r="CW59" s="490"/>
      <c r="CX59" s="490"/>
      <c r="CY59" s="490"/>
      <c r="CZ59" s="490"/>
      <c r="DA59" s="490"/>
      <c r="DB59" s="490"/>
      <c r="DC59" s="490"/>
      <c r="DD59" s="490"/>
      <c r="DE59" s="490"/>
      <c r="DF59" s="490"/>
      <c r="DG59" s="503"/>
      <c r="DH59" s="503"/>
      <c r="DI59" s="503"/>
      <c r="DJ59" s="503"/>
      <c r="DK59" s="503"/>
      <c r="DL59" s="503"/>
      <c r="DM59" s="503"/>
      <c r="DN59" s="503"/>
      <c r="DO59" s="503"/>
      <c r="DP59" s="503"/>
      <c r="DQ59" s="503"/>
      <c r="DR59" s="504"/>
      <c r="DS59" s="517"/>
      <c r="DT59" s="490"/>
      <c r="DU59" s="490"/>
      <c r="DV59" s="490"/>
      <c r="DW59" s="490"/>
      <c r="DX59" s="490"/>
      <c r="DY59" s="490"/>
      <c r="DZ59" s="490"/>
      <c r="EA59" s="490"/>
      <c r="EB59" s="490"/>
      <c r="EC59" s="490"/>
      <c r="ED59" s="490"/>
      <c r="EE59" s="490"/>
      <c r="EF59" s="490"/>
      <c r="EG59" s="490"/>
      <c r="EH59" s="490"/>
      <c r="EI59" s="490"/>
      <c r="EJ59" s="490"/>
      <c r="EK59" s="490"/>
      <c r="EL59" s="490"/>
      <c r="EM59" s="490"/>
      <c r="EN59" s="490"/>
      <c r="EO59" s="490"/>
      <c r="EP59" s="507"/>
    </row>
    <row r="60" spans="1:146" ht="19.5" customHeight="1" x14ac:dyDescent="0.15">
      <c r="A60" s="624" t="s">
        <v>232</v>
      </c>
      <c r="B60" s="385" t="s">
        <v>685</v>
      </c>
      <c r="C60" s="525"/>
      <c r="D60" s="526"/>
      <c r="E60" s="526"/>
      <c r="F60" s="526"/>
      <c r="G60" s="526"/>
      <c r="H60" s="526"/>
      <c r="I60" s="526"/>
      <c r="J60" s="526"/>
      <c r="K60" s="526"/>
      <c r="L60" s="526"/>
      <c r="M60" s="526"/>
      <c r="N60" s="526"/>
      <c r="O60" s="526"/>
      <c r="P60" s="526"/>
      <c r="Q60" s="526"/>
      <c r="R60" s="526"/>
      <c r="S60" s="526"/>
      <c r="T60" s="526"/>
      <c r="U60" s="526"/>
      <c r="V60" s="526"/>
      <c r="W60" s="526"/>
      <c r="X60" s="526"/>
      <c r="Y60" s="526"/>
      <c r="Z60" s="527"/>
      <c r="AA60" s="525"/>
      <c r="AB60" s="526"/>
      <c r="AC60" s="526"/>
      <c r="AD60" s="526"/>
      <c r="AE60" s="526"/>
      <c r="AF60" s="526"/>
      <c r="AG60" s="526"/>
      <c r="AH60" s="526"/>
      <c r="AI60" s="526"/>
      <c r="AJ60" s="526"/>
      <c r="AK60" s="526"/>
      <c r="AL60" s="526"/>
      <c r="AM60" s="526"/>
      <c r="AN60" s="526"/>
      <c r="AO60" s="526"/>
      <c r="AP60" s="526"/>
      <c r="AQ60" s="526"/>
      <c r="AR60" s="526"/>
      <c r="AS60" s="526"/>
      <c r="AT60" s="526"/>
      <c r="AU60" s="526"/>
      <c r="AV60" s="526"/>
      <c r="AW60" s="526"/>
      <c r="AX60" s="527"/>
      <c r="AY60" s="525"/>
      <c r="AZ60" s="526"/>
      <c r="BA60" s="526"/>
      <c r="BB60" s="526"/>
      <c r="BC60" s="526"/>
      <c r="BD60" s="526"/>
      <c r="BE60" s="526"/>
      <c r="BF60" s="526"/>
      <c r="BG60" s="526"/>
      <c r="BH60" s="526"/>
      <c r="BI60" s="526"/>
      <c r="BJ60" s="526"/>
      <c r="BK60" s="526"/>
      <c r="BL60" s="526"/>
      <c r="BM60" s="526"/>
      <c r="BN60" s="526"/>
      <c r="BO60" s="526"/>
      <c r="BP60" s="526"/>
      <c r="BQ60" s="526"/>
      <c r="BR60" s="526"/>
      <c r="BS60" s="526"/>
      <c r="BT60" s="526"/>
      <c r="BU60" s="526"/>
      <c r="BV60" s="535"/>
      <c r="BW60" s="529"/>
      <c r="BX60" s="530"/>
      <c r="BY60" s="530"/>
      <c r="BZ60" s="530"/>
      <c r="CA60" s="530"/>
      <c r="CB60" s="530"/>
      <c r="CC60" s="530"/>
      <c r="CD60" s="530"/>
      <c r="CE60" s="530"/>
      <c r="CF60" s="530"/>
      <c r="CG60" s="530"/>
      <c r="CH60" s="530"/>
      <c r="CI60" s="526"/>
      <c r="CJ60" s="526"/>
      <c r="CK60" s="526"/>
      <c r="CL60" s="526"/>
      <c r="CM60" s="526"/>
      <c r="CN60" s="526"/>
      <c r="CO60" s="526"/>
      <c r="CP60" s="526"/>
      <c r="CQ60" s="526"/>
      <c r="CR60" s="526"/>
      <c r="CS60" s="526"/>
      <c r="CT60" s="527"/>
      <c r="CU60" s="525"/>
      <c r="CV60" s="526"/>
      <c r="CW60" s="526"/>
      <c r="CX60" s="526"/>
      <c r="CY60" s="526"/>
      <c r="CZ60" s="526"/>
      <c r="DA60" s="526"/>
      <c r="DB60" s="526"/>
      <c r="DC60" s="526"/>
      <c r="DD60" s="526"/>
      <c r="DE60" s="526"/>
      <c r="DF60" s="526"/>
      <c r="DG60" s="526"/>
      <c r="DH60" s="526"/>
      <c r="DI60" s="526"/>
      <c r="DJ60" s="526"/>
      <c r="DK60" s="526"/>
      <c r="DL60" s="526"/>
      <c r="DM60" s="526"/>
      <c r="DN60" s="526"/>
      <c r="DO60" s="526"/>
      <c r="DP60" s="526"/>
      <c r="DQ60" s="526"/>
      <c r="DR60" s="527"/>
      <c r="DS60" s="525"/>
      <c r="DT60" s="526"/>
      <c r="DU60" s="526"/>
      <c r="DV60" s="526"/>
      <c r="DW60" s="526"/>
      <c r="DX60" s="526"/>
      <c r="DY60" s="526"/>
      <c r="DZ60" s="526"/>
      <c r="EA60" s="526"/>
      <c r="EB60" s="526"/>
      <c r="EC60" s="526"/>
      <c r="ED60" s="526"/>
      <c r="EE60" s="526"/>
      <c r="EF60" s="526"/>
      <c r="EG60" s="526"/>
      <c r="EH60" s="526"/>
      <c r="EI60" s="526"/>
      <c r="EJ60" s="526"/>
      <c r="EK60" s="526"/>
      <c r="EL60" s="526"/>
      <c r="EM60" s="526"/>
      <c r="EN60" s="526"/>
      <c r="EO60" s="526"/>
      <c r="EP60" s="535"/>
    </row>
    <row r="61" spans="1:146" ht="19.5" customHeight="1" x14ac:dyDescent="0.15">
      <c r="A61" s="624" t="s">
        <v>233</v>
      </c>
      <c r="B61" s="385" t="s">
        <v>670</v>
      </c>
      <c r="C61" s="525"/>
      <c r="D61" s="526"/>
      <c r="E61" s="526"/>
      <c r="F61" s="526"/>
      <c r="G61" s="526"/>
      <c r="H61" s="526"/>
      <c r="I61" s="526"/>
      <c r="J61" s="526"/>
      <c r="K61" s="526"/>
      <c r="L61" s="526"/>
      <c r="M61" s="526"/>
      <c r="N61" s="526"/>
      <c r="O61" s="526"/>
      <c r="P61" s="526"/>
      <c r="Q61" s="526"/>
      <c r="R61" s="526"/>
      <c r="S61" s="526"/>
      <c r="T61" s="526"/>
      <c r="U61" s="526"/>
      <c r="V61" s="526"/>
      <c r="W61" s="526"/>
      <c r="X61" s="526"/>
      <c r="Y61" s="526"/>
      <c r="Z61" s="527"/>
      <c r="AA61" s="525"/>
      <c r="AB61" s="526"/>
      <c r="AC61" s="526"/>
      <c r="AD61" s="526"/>
      <c r="AE61" s="526"/>
      <c r="AF61" s="526"/>
      <c r="AG61" s="526"/>
      <c r="AH61" s="526"/>
      <c r="AI61" s="526"/>
      <c r="AJ61" s="526"/>
      <c r="AK61" s="526"/>
      <c r="AL61" s="526"/>
      <c r="AM61" s="526"/>
      <c r="AN61" s="526"/>
      <c r="AO61" s="526"/>
      <c r="AP61" s="526"/>
      <c r="AQ61" s="526"/>
      <c r="AR61" s="526"/>
      <c r="AS61" s="526"/>
      <c r="AT61" s="526"/>
      <c r="AU61" s="526"/>
      <c r="AV61" s="526"/>
      <c r="AW61" s="526"/>
      <c r="AX61" s="527"/>
      <c r="AY61" s="525"/>
      <c r="AZ61" s="526"/>
      <c r="BA61" s="526"/>
      <c r="BB61" s="526"/>
      <c r="BC61" s="526"/>
      <c r="BD61" s="526"/>
      <c r="BE61" s="526"/>
      <c r="BF61" s="526"/>
      <c r="BG61" s="526"/>
      <c r="BH61" s="526"/>
      <c r="BI61" s="526"/>
      <c r="BJ61" s="526"/>
      <c r="BK61" s="526"/>
      <c r="BL61" s="526"/>
      <c r="BM61" s="526"/>
      <c r="BN61" s="526"/>
      <c r="BO61" s="526"/>
      <c r="BP61" s="526"/>
      <c r="BQ61" s="526"/>
      <c r="BR61" s="526"/>
      <c r="BS61" s="526"/>
      <c r="BT61" s="526"/>
      <c r="BU61" s="526"/>
      <c r="BV61" s="535"/>
      <c r="BW61" s="525"/>
      <c r="BX61" s="526"/>
      <c r="BY61" s="526"/>
      <c r="BZ61" s="526"/>
      <c r="CA61" s="526"/>
      <c r="CB61" s="526"/>
      <c r="CC61" s="526"/>
      <c r="CD61" s="526"/>
      <c r="CE61" s="526"/>
      <c r="CF61" s="526"/>
      <c r="CG61" s="526"/>
      <c r="CH61" s="526"/>
      <c r="CI61" s="526"/>
      <c r="CJ61" s="526"/>
      <c r="CK61" s="526"/>
      <c r="CL61" s="526"/>
      <c r="CM61" s="526"/>
      <c r="CN61" s="526"/>
      <c r="CO61" s="526"/>
      <c r="CP61" s="526"/>
      <c r="CQ61" s="526"/>
      <c r="CR61" s="526"/>
      <c r="CS61" s="526"/>
      <c r="CT61" s="527"/>
      <c r="CU61" s="525"/>
      <c r="CV61" s="526"/>
      <c r="CW61" s="526"/>
      <c r="CX61" s="526"/>
      <c r="CY61" s="526"/>
      <c r="CZ61" s="526"/>
      <c r="DA61" s="526"/>
      <c r="DB61" s="526"/>
      <c r="DC61" s="526"/>
      <c r="DD61" s="526"/>
      <c r="DE61" s="526"/>
      <c r="DF61" s="526"/>
      <c r="DG61" s="533"/>
      <c r="DH61" s="533"/>
      <c r="DI61" s="533"/>
      <c r="DJ61" s="533"/>
      <c r="DK61" s="533"/>
      <c r="DL61" s="533"/>
      <c r="DM61" s="533"/>
      <c r="DN61" s="533"/>
      <c r="DO61" s="533"/>
      <c r="DP61" s="533"/>
      <c r="DQ61" s="533"/>
      <c r="DR61" s="534"/>
      <c r="DS61" s="525"/>
      <c r="DT61" s="526"/>
      <c r="DU61" s="526"/>
      <c r="DV61" s="526"/>
      <c r="DW61" s="526"/>
      <c r="DX61" s="526"/>
      <c r="DY61" s="526"/>
      <c r="DZ61" s="526"/>
      <c r="EA61" s="526"/>
      <c r="EB61" s="526"/>
      <c r="EC61" s="526"/>
      <c r="ED61" s="526"/>
      <c r="EE61" s="526"/>
      <c r="EF61" s="526"/>
      <c r="EG61" s="526"/>
      <c r="EH61" s="526"/>
      <c r="EI61" s="526"/>
      <c r="EJ61" s="526"/>
      <c r="EK61" s="526"/>
      <c r="EL61" s="526"/>
      <c r="EM61" s="526"/>
      <c r="EN61" s="526"/>
      <c r="EO61" s="526"/>
      <c r="EP61" s="535"/>
    </row>
    <row r="62" spans="1:146" ht="24.75" customHeight="1" x14ac:dyDescent="0.15">
      <c r="A62" s="624" t="s">
        <v>243</v>
      </c>
      <c r="B62" s="385" t="s">
        <v>569</v>
      </c>
      <c r="C62" s="525"/>
      <c r="D62" s="526"/>
      <c r="E62" s="526"/>
      <c r="F62" s="526"/>
      <c r="G62" s="526"/>
      <c r="H62" s="526"/>
      <c r="I62" s="526"/>
      <c r="J62" s="526"/>
      <c r="K62" s="526"/>
      <c r="L62" s="526"/>
      <c r="M62" s="526"/>
      <c r="N62" s="526"/>
      <c r="O62" s="526"/>
      <c r="P62" s="526"/>
      <c r="Q62" s="526"/>
      <c r="R62" s="526"/>
      <c r="S62" s="526"/>
      <c r="T62" s="526"/>
      <c r="U62" s="526"/>
      <c r="V62" s="526"/>
      <c r="W62" s="526"/>
      <c r="X62" s="526"/>
      <c r="Y62" s="526"/>
      <c r="Z62" s="527"/>
      <c r="AA62" s="525"/>
      <c r="AB62" s="526"/>
      <c r="AC62" s="526"/>
      <c r="AD62" s="526"/>
      <c r="AE62" s="526"/>
      <c r="AF62" s="526"/>
      <c r="AG62" s="526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6"/>
      <c r="AT62" s="526"/>
      <c r="AU62" s="526"/>
      <c r="AV62" s="526"/>
      <c r="AW62" s="526"/>
      <c r="AX62" s="527"/>
      <c r="AY62" s="525"/>
      <c r="AZ62" s="526"/>
      <c r="BA62" s="526"/>
      <c r="BB62" s="526"/>
      <c r="BC62" s="526"/>
      <c r="BD62" s="526"/>
      <c r="BE62" s="526"/>
      <c r="BF62" s="526"/>
      <c r="BG62" s="526"/>
      <c r="BH62" s="526"/>
      <c r="BI62" s="526"/>
      <c r="BJ62" s="526"/>
      <c r="BK62" s="526"/>
      <c r="BL62" s="526"/>
      <c r="BM62" s="526"/>
      <c r="BN62" s="526"/>
      <c r="BO62" s="526"/>
      <c r="BP62" s="526"/>
      <c r="BQ62" s="526"/>
      <c r="BR62" s="526"/>
      <c r="BS62" s="526"/>
      <c r="BT62" s="526"/>
      <c r="BU62" s="526"/>
      <c r="BV62" s="535"/>
      <c r="BW62" s="525"/>
      <c r="BX62" s="526"/>
      <c r="BY62" s="526"/>
      <c r="BZ62" s="526"/>
      <c r="CA62" s="526"/>
      <c r="CB62" s="526"/>
      <c r="CC62" s="526"/>
      <c r="CD62" s="526"/>
      <c r="CE62" s="526"/>
      <c r="CF62" s="526"/>
      <c r="CG62" s="526"/>
      <c r="CH62" s="526"/>
      <c r="CI62" s="526"/>
      <c r="CJ62" s="526"/>
      <c r="CK62" s="526"/>
      <c r="CL62" s="526"/>
      <c r="CM62" s="526"/>
      <c r="CN62" s="526"/>
      <c r="CO62" s="526"/>
      <c r="CP62" s="526"/>
      <c r="CQ62" s="526"/>
      <c r="CR62" s="526"/>
      <c r="CS62" s="526"/>
      <c r="CT62" s="527"/>
      <c r="CU62" s="525"/>
      <c r="CV62" s="526"/>
      <c r="CW62" s="526"/>
      <c r="CX62" s="526"/>
      <c r="CY62" s="526"/>
      <c r="CZ62" s="526"/>
      <c r="DA62" s="526"/>
      <c r="DB62" s="526"/>
      <c r="DC62" s="526"/>
      <c r="DD62" s="526"/>
      <c r="DE62" s="526"/>
      <c r="DF62" s="526"/>
      <c r="DG62" s="526"/>
      <c r="DH62" s="526"/>
      <c r="DI62" s="526"/>
      <c r="DJ62" s="526"/>
      <c r="DK62" s="526"/>
      <c r="DL62" s="526"/>
      <c r="DM62" s="526"/>
      <c r="DN62" s="526"/>
      <c r="DO62" s="526"/>
      <c r="DP62" s="526"/>
      <c r="DQ62" s="526"/>
      <c r="DR62" s="527"/>
      <c r="DS62" s="536"/>
      <c r="DT62" s="537"/>
      <c r="DU62" s="537"/>
      <c r="DV62" s="537"/>
      <c r="DW62" s="537"/>
      <c r="DX62" s="537"/>
      <c r="DY62" s="526"/>
      <c r="DZ62" s="526"/>
      <c r="EA62" s="526"/>
      <c r="EB62" s="526"/>
      <c r="EC62" s="526"/>
      <c r="ED62" s="526"/>
      <c r="EE62" s="526"/>
      <c r="EF62" s="526"/>
      <c r="EG62" s="526"/>
      <c r="EH62" s="526"/>
      <c r="EI62" s="526"/>
      <c r="EJ62" s="526"/>
      <c r="EK62" s="526"/>
      <c r="EL62" s="526"/>
      <c r="EM62" s="526"/>
      <c r="EN62" s="526"/>
      <c r="EO62" s="526"/>
      <c r="EP62" s="535"/>
    </row>
    <row r="63" spans="1:146" ht="33.75" customHeight="1" x14ac:dyDescent="0.15">
      <c r="A63" s="624" t="s">
        <v>672</v>
      </c>
      <c r="B63" s="385" t="s">
        <v>671</v>
      </c>
      <c r="C63" s="525"/>
      <c r="D63" s="526"/>
      <c r="E63" s="526"/>
      <c r="F63" s="526"/>
      <c r="G63" s="526"/>
      <c r="H63" s="526"/>
      <c r="I63" s="526"/>
      <c r="J63" s="526"/>
      <c r="K63" s="526"/>
      <c r="L63" s="526"/>
      <c r="M63" s="526"/>
      <c r="N63" s="526"/>
      <c r="O63" s="526"/>
      <c r="P63" s="526"/>
      <c r="Q63" s="526"/>
      <c r="R63" s="526"/>
      <c r="S63" s="526"/>
      <c r="T63" s="526"/>
      <c r="U63" s="526"/>
      <c r="V63" s="526"/>
      <c r="W63" s="526"/>
      <c r="X63" s="526"/>
      <c r="Y63" s="526"/>
      <c r="Z63" s="527"/>
      <c r="AA63" s="525"/>
      <c r="AB63" s="526"/>
      <c r="AC63" s="526"/>
      <c r="AD63" s="526"/>
      <c r="AE63" s="526"/>
      <c r="AF63" s="526"/>
      <c r="AG63" s="526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6"/>
      <c r="AT63" s="526"/>
      <c r="AU63" s="526"/>
      <c r="AV63" s="526"/>
      <c r="AW63" s="526"/>
      <c r="AX63" s="527"/>
      <c r="AY63" s="525"/>
      <c r="AZ63" s="526"/>
      <c r="BA63" s="526"/>
      <c r="BB63" s="526"/>
      <c r="BC63" s="526"/>
      <c r="BD63" s="526"/>
      <c r="BE63" s="526"/>
      <c r="BF63" s="526"/>
      <c r="BG63" s="526"/>
      <c r="BH63" s="526"/>
      <c r="BI63" s="526"/>
      <c r="BJ63" s="526"/>
      <c r="BK63" s="526"/>
      <c r="BL63" s="526"/>
      <c r="BM63" s="526"/>
      <c r="BN63" s="526"/>
      <c r="BO63" s="526"/>
      <c r="BP63" s="526"/>
      <c r="BQ63" s="526"/>
      <c r="BR63" s="526"/>
      <c r="BS63" s="526"/>
      <c r="BT63" s="526"/>
      <c r="BU63" s="526"/>
      <c r="BV63" s="535"/>
      <c r="BW63" s="525"/>
      <c r="BX63" s="526"/>
      <c r="BY63" s="526"/>
      <c r="BZ63" s="526"/>
      <c r="CA63" s="526"/>
      <c r="CB63" s="526"/>
      <c r="CC63" s="526"/>
      <c r="CD63" s="526"/>
      <c r="CE63" s="526"/>
      <c r="CF63" s="526"/>
      <c r="CG63" s="526"/>
      <c r="CH63" s="526"/>
      <c r="CI63" s="526"/>
      <c r="CJ63" s="526"/>
      <c r="CK63" s="526"/>
      <c r="CL63" s="526"/>
      <c r="CM63" s="526"/>
      <c r="CN63" s="526"/>
      <c r="CO63" s="526"/>
      <c r="CP63" s="526"/>
      <c r="CQ63" s="526"/>
      <c r="CR63" s="526"/>
      <c r="CS63" s="526"/>
      <c r="CT63" s="527"/>
      <c r="CU63" s="525"/>
      <c r="CV63" s="526"/>
      <c r="CW63" s="526"/>
      <c r="CX63" s="526"/>
      <c r="CY63" s="526"/>
      <c r="CZ63" s="526"/>
      <c r="DA63" s="526"/>
      <c r="DB63" s="526"/>
      <c r="DC63" s="526"/>
      <c r="DD63" s="526"/>
      <c r="DE63" s="526"/>
      <c r="DF63" s="526"/>
      <c r="DG63" s="526"/>
      <c r="DH63" s="526"/>
      <c r="DI63" s="526"/>
      <c r="DJ63" s="526"/>
      <c r="DK63" s="526"/>
      <c r="DL63" s="526"/>
      <c r="DM63" s="526"/>
      <c r="DN63" s="526"/>
      <c r="DO63" s="526"/>
      <c r="DP63" s="526"/>
      <c r="DQ63" s="526"/>
      <c r="DR63" s="527"/>
      <c r="DS63" s="525"/>
      <c r="DT63" s="526"/>
      <c r="DU63" s="526"/>
      <c r="DV63" s="526"/>
      <c r="DW63" s="526"/>
      <c r="DX63" s="526"/>
      <c r="DY63" s="526"/>
      <c r="DZ63" s="526"/>
      <c r="EA63" s="526"/>
      <c r="EB63" s="526"/>
      <c r="EC63" s="526"/>
      <c r="ED63" s="526"/>
      <c r="EE63" s="537"/>
      <c r="EF63" s="537"/>
      <c r="EG63" s="537"/>
      <c r="EH63" s="537"/>
      <c r="EI63" s="537"/>
      <c r="EJ63" s="537"/>
      <c r="EK63" s="526"/>
      <c r="EL63" s="526"/>
      <c r="EM63" s="526"/>
      <c r="EN63" s="526"/>
      <c r="EO63" s="526"/>
      <c r="EP63" s="535"/>
    </row>
    <row r="64" spans="1:146" ht="28.5" customHeight="1" thickBot="1" x14ac:dyDescent="0.2">
      <c r="A64" s="624" t="s">
        <v>673</v>
      </c>
      <c r="B64" s="385" t="s">
        <v>674</v>
      </c>
      <c r="C64" s="508"/>
      <c r="D64" s="509"/>
      <c r="E64" s="509"/>
      <c r="F64" s="509"/>
      <c r="G64" s="509"/>
      <c r="H64" s="509"/>
      <c r="I64" s="509"/>
      <c r="J64" s="509"/>
      <c r="K64" s="509"/>
      <c r="L64" s="509"/>
      <c r="M64" s="509"/>
      <c r="N64" s="509"/>
      <c r="O64" s="509"/>
      <c r="P64" s="509"/>
      <c r="Q64" s="509"/>
      <c r="R64" s="509"/>
      <c r="S64" s="509"/>
      <c r="T64" s="509"/>
      <c r="U64" s="509"/>
      <c r="V64" s="509"/>
      <c r="W64" s="509"/>
      <c r="X64" s="509"/>
      <c r="Y64" s="509"/>
      <c r="Z64" s="515"/>
      <c r="AA64" s="508"/>
      <c r="AB64" s="509"/>
      <c r="AC64" s="509"/>
      <c r="AD64" s="509"/>
      <c r="AE64" s="509"/>
      <c r="AF64" s="509"/>
      <c r="AG64" s="509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09"/>
      <c r="AT64" s="509"/>
      <c r="AU64" s="509"/>
      <c r="AV64" s="509"/>
      <c r="AW64" s="509"/>
      <c r="AX64" s="515"/>
      <c r="AY64" s="508"/>
      <c r="AZ64" s="509"/>
      <c r="BA64" s="509"/>
      <c r="BB64" s="509"/>
      <c r="BC64" s="509"/>
      <c r="BD64" s="509"/>
      <c r="BE64" s="509"/>
      <c r="BF64" s="509"/>
      <c r="BG64" s="509"/>
      <c r="BH64" s="509"/>
      <c r="BI64" s="509"/>
      <c r="BJ64" s="509"/>
      <c r="BK64" s="509"/>
      <c r="BL64" s="509"/>
      <c r="BM64" s="509"/>
      <c r="BN64" s="509"/>
      <c r="BO64" s="509"/>
      <c r="BP64" s="509"/>
      <c r="BQ64" s="509"/>
      <c r="BR64" s="509"/>
      <c r="BS64" s="509"/>
      <c r="BT64" s="509"/>
      <c r="BU64" s="509"/>
      <c r="BV64" s="515"/>
      <c r="BW64" s="508"/>
      <c r="BX64" s="509"/>
      <c r="BY64" s="509"/>
      <c r="BZ64" s="509"/>
      <c r="CA64" s="509"/>
      <c r="CB64" s="509"/>
      <c r="CC64" s="509"/>
      <c r="CD64" s="509"/>
      <c r="CE64" s="509"/>
      <c r="CF64" s="509"/>
      <c r="CG64" s="509"/>
      <c r="CH64" s="509"/>
      <c r="CI64" s="509"/>
      <c r="CJ64" s="509"/>
      <c r="CK64" s="509"/>
      <c r="CL64" s="509"/>
      <c r="CM64" s="509"/>
      <c r="CN64" s="509"/>
      <c r="CO64" s="509"/>
      <c r="CP64" s="509"/>
      <c r="CQ64" s="509"/>
      <c r="CR64" s="509"/>
      <c r="CS64" s="509"/>
      <c r="CT64" s="515"/>
      <c r="CU64" s="522"/>
      <c r="CV64" s="523"/>
      <c r="CW64" s="523"/>
      <c r="CX64" s="523"/>
      <c r="CY64" s="523"/>
      <c r="CZ64" s="523"/>
      <c r="DA64" s="523"/>
      <c r="DB64" s="523"/>
      <c r="DC64" s="523"/>
      <c r="DD64" s="523"/>
      <c r="DE64" s="523"/>
      <c r="DF64" s="523"/>
      <c r="DG64" s="509"/>
      <c r="DH64" s="509"/>
      <c r="DI64" s="509"/>
      <c r="DJ64" s="509"/>
      <c r="DK64" s="509"/>
      <c r="DL64" s="509"/>
      <c r="DM64" s="509"/>
      <c r="DN64" s="509"/>
      <c r="DO64" s="509"/>
      <c r="DP64" s="509"/>
      <c r="DQ64" s="509"/>
      <c r="DR64" s="515"/>
      <c r="DS64" s="508"/>
      <c r="DT64" s="509"/>
      <c r="DU64" s="509"/>
      <c r="DV64" s="509"/>
      <c r="DW64" s="509"/>
      <c r="DX64" s="509"/>
      <c r="DY64" s="509"/>
      <c r="DZ64" s="509"/>
      <c r="EA64" s="509"/>
      <c r="EB64" s="509"/>
      <c r="EC64" s="509"/>
      <c r="ED64" s="509"/>
      <c r="EE64" s="509"/>
      <c r="EF64" s="509"/>
      <c r="EG64" s="509"/>
      <c r="EH64" s="509"/>
      <c r="EI64" s="509"/>
      <c r="EJ64" s="509"/>
      <c r="EK64" s="509"/>
      <c r="EL64" s="509"/>
      <c r="EM64" s="509"/>
      <c r="EN64" s="509"/>
      <c r="EO64" s="509"/>
      <c r="EP64" s="515"/>
    </row>
    <row r="65" spans="1:146" s="12" customFormat="1" ht="21.75" customHeight="1" thickBot="1" x14ac:dyDescent="0.2">
      <c r="A65" s="488">
        <v>6</v>
      </c>
      <c r="B65" s="1058" t="s">
        <v>684</v>
      </c>
      <c r="C65" s="1058"/>
      <c r="D65" s="1058"/>
      <c r="E65" s="1058"/>
      <c r="F65" s="1058"/>
      <c r="G65" s="1058"/>
      <c r="H65" s="1058"/>
      <c r="I65" s="1058"/>
      <c r="J65" s="1058"/>
      <c r="K65" s="1058"/>
      <c r="L65" s="1058"/>
      <c r="M65" s="1058"/>
      <c r="N65" s="1058"/>
      <c r="O65" s="1058"/>
      <c r="P65" s="1058"/>
      <c r="Q65" s="1058"/>
      <c r="R65" s="1058"/>
      <c r="S65" s="1058"/>
      <c r="T65" s="1058"/>
      <c r="U65" s="1058"/>
      <c r="V65" s="1058"/>
      <c r="W65" s="1058"/>
      <c r="X65" s="1058"/>
      <c r="Y65" s="1058"/>
      <c r="Z65" s="1058"/>
      <c r="AA65" s="1058"/>
      <c r="AB65" s="1058"/>
      <c r="AC65" s="1058"/>
      <c r="AD65" s="1058"/>
      <c r="AE65" s="1058"/>
      <c r="AF65" s="1058"/>
      <c r="AG65" s="1058"/>
      <c r="AH65" s="1058"/>
      <c r="AI65" s="1058"/>
      <c r="AJ65" s="1058"/>
      <c r="AK65" s="1058"/>
      <c r="AL65" s="1058"/>
      <c r="AM65" s="1058"/>
      <c r="AN65" s="1058"/>
      <c r="AO65" s="1058"/>
      <c r="AP65" s="1058"/>
      <c r="AQ65" s="1058"/>
      <c r="AR65" s="1058"/>
      <c r="AS65" s="1058"/>
      <c r="AT65" s="1058"/>
      <c r="AU65" s="1058"/>
      <c r="AV65" s="1058"/>
      <c r="AW65" s="1058"/>
      <c r="AX65" s="1058"/>
      <c r="AY65" s="1058"/>
      <c r="AZ65" s="1058"/>
      <c r="BA65" s="1058"/>
      <c r="BB65" s="1058"/>
      <c r="BC65" s="1058"/>
      <c r="BD65" s="1058"/>
      <c r="BE65" s="1058"/>
      <c r="BF65" s="1058"/>
      <c r="BG65" s="1058"/>
      <c r="BH65" s="1058"/>
      <c r="BI65" s="1058"/>
      <c r="BJ65" s="1058"/>
      <c r="BK65" s="1058"/>
      <c r="BL65" s="1058"/>
      <c r="BM65" s="1058"/>
      <c r="BN65" s="1058"/>
      <c r="BO65" s="1058"/>
      <c r="BP65" s="1058"/>
      <c r="BQ65" s="1058"/>
      <c r="BR65" s="1058"/>
      <c r="BS65" s="1058"/>
      <c r="BT65" s="1058"/>
      <c r="BU65" s="1058"/>
      <c r="BV65" s="1058"/>
      <c r="BW65" s="1058"/>
      <c r="BX65" s="1058"/>
      <c r="BY65" s="1058"/>
      <c r="BZ65" s="1058"/>
      <c r="CA65" s="1058"/>
      <c r="CB65" s="1058"/>
      <c r="CC65" s="1058"/>
      <c r="CD65" s="1058"/>
      <c r="CE65" s="1058"/>
      <c r="CF65" s="1058"/>
      <c r="CG65" s="1058"/>
      <c r="CH65" s="1058"/>
      <c r="CI65" s="1058"/>
      <c r="CJ65" s="1058"/>
      <c r="CK65" s="1058"/>
      <c r="CL65" s="1058"/>
      <c r="CM65" s="1058"/>
      <c r="CN65" s="1058"/>
      <c r="CO65" s="1058"/>
      <c r="CP65" s="1058"/>
      <c r="CQ65" s="1058"/>
      <c r="CR65" s="1058"/>
      <c r="CS65" s="1058"/>
      <c r="CT65" s="1058"/>
      <c r="CU65" s="1058"/>
      <c r="CV65" s="1058"/>
      <c r="CW65" s="1058"/>
      <c r="CX65" s="1058"/>
      <c r="CY65" s="1058"/>
      <c r="CZ65" s="1058"/>
      <c r="DA65" s="1058"/>
      <c r="DB65" s="1058"/>
      <c r="DC65" s="1058"/>
      <c r="DD65" s="1058"/>
      <c r="DE65" s="1058"/>
      <c r="DF65" s="1058"/>
      <c r="DG65" s="1058"/>
      <c r="DH65" s="1058"/>
      <c r="DI65" s="1058"/>
      <c r="DJ65" s="1058"/>
      <c r="DK65" s="1058"/>
      <c r="DL65" s="1058"/>
      <c r="DM65" s="1058"/>
      <c r="DN65" s="1058"/>
      <c r="DO65" s="1058"/>
      <c r="DP65" s="1058"/>
      <c r="DQ65" s="1058"/>
      <c r="DR65" s="1058"/>
      <c r="DS65" s="1058"/>
      <c r="DT65" s="1058"/>
      <c r="DU65" s="1058"/>
      <c r="DV65" s="1058"/>
      <c r="DW65" s="1058"/>
      <c r="DX65" s="1058"/>
      <c r="DY65" s="1058"/>
      <c r="DZ65" s="1058"/>
      <c r="EA65" s="1058"/>
      <c r="EB65" s="1058"/>
      <c r="EC65" s="1058"/>
      <c r="ED65" s="1058"/>
      <c r="EE65" s="1058"/>
      <c r="EF65" s="1058"/>
      <c r="EG65" s="1058"/>
      <c r="EH65" s="1058"/>
      <c r="EI65" s="1058"/>
      <c r="EJ65" s="1058"/>
      <c r="EK65" s="1058"/>
      <c r="EL65" s="1058"/>
      <c r="EM65" s="1058"/>
      <c r="EN65" s="1058"/>
      <c r="EO65" s="1058"/>
      <c r="EP65" s="1059"/>
    </row>
    <row r="66" spans="1:146" ht="15" customHeight="1" x14ac:dyDescent="0.15">
      <c r="A66" s="1060" t="s">
        <v>0</v>
      </c>
      <c r="B66" s="1061" t="s">
        <v>743</v>
      </c>
      <c r="C66" s="1052" t="s">
        <v>744</v>
      </c>
      <c r="D66" s="1053"/>
      <c r="E66" s="1053"/>
      <c r="F66" s="1053"/>
      <c r="G66" s="1053"/>
      <c r="H66" s="1053"/>
      <c r="I66" s="1053"/>
      <c r="J66" s="1053"/>
      <c r="K66" s="1053"/>
      <c r="L66" s="1053"/>
      <c r="M66" s="1053"/>
      <c r="N66" s="1053"/>
      <c r="O66" s="1053"/>
      <c r="P66" s="1053"/>
      <c r="Q66" s="1053"/>
      <c r="R66" s="1053"/>
      <c r="S66" s="1053"/>
      <c r="T66" s="1053"/>
      <c r="U66" s="1053"/>
      <c r="V66" s="1053"/>
      <c r="W66" s="1053"/>
      <c r="X66" s="1053"/>
      <c r="Y66" s="1053"/>
      <c r="Z66" s="1054"/>
      <c r="AA66" s="1052" t="s">
        <v>745</v>
      </c>
      <c r="AB66" s="1053"/>
      <c r="AC66" s="1053"/>
      <c r="AD66" s="1053"/>
      <c r="AE66" s="1053"/>
      <c r="AF66" s="1053"/>
      <c r="AG66" s="1053"/>
      <c r="AH66" s="1053"/>
      <c r="AI66" s="1053"/>
      <c r="AJ66" s="1053"/>
      <c r="AK66" s="1053"/>
      <c r="AL66" s="1053"/>
      <c r="AM66" s="1053"/>
      <c r="AN66" s="1053"/>
      <c r="AO66" s="1053"/>
      <c r="AP66" s="1053"/>
      <c r="AQ66" s="1053"/>
      <c r="AR66" s="1053"/>
      <c r="AS66" s="1053"/>
      <c r="AT66" s="1053"/>
      <c r="AU66" s="1053"/>
      <c r="AV66" s="1053"/>
      <c r="AW66" s="1053"/>
      <c r="AX66" s="1054"/>
      <c r="AY66" s="1052" t="s">
        <v>746</v>
      </c>
      <c r="AZ66" s="1053"/>
      <c r="BA66" s="1053"/>
      <c r="BB66" s="1053"/>
      <c r="BC66" s="1053"/>
      <c r="BD66" s="1053"/>
      <c r="BE66" s="1053"/>
      <c r="BF66" s="1053"/>
      <c r="BG66" s="1053"/>
      <c r="BH66" s="1053"/>
      <c r="BI66" s="1053"/>
      <c r="BJ66" s="1053"/>
      <c r="BK66" s="1053"/>
      <c r="BL66" s="1053"/>
      <c r="BM66" s="1053"/>
      <c r="BN66" s="1053"/>
      <c r="BO66" s="1053"/>
      <c r="BP66" s="1053"/>
      <c r="BQ66" s="1053"/>
      <c r="BR66" s="1053"/>
      <c r="BS66" s="1053"/>
      <c r="BT66" s="1053"/>
      <c r="BU66" s="1053"/>
      <c r="BV66" s="1054"/>
      <c r="BW66" s="1052" t="s">
        <v>747</v>
      </c>
      <c r="BX66" s="1053"/>
      <c r="BY66" s="1053"/>
      <c r="BZ66" s="1053"/>
      <c r="CA66" s="1053"/>
      <c r="CB66" s="1053"/>
      <c r="CC66" s="1053"/>
      <c r="CD66" s="1053"/>
      <c r="CE66" s="1053"/>
      <c r="CF66" s="1053"/>
      <c r="CG66" s="1053"/>
      <c r="CH66" s="1053"/>
      <c r="CI66" s="1053"/>
      <c r="CJ66" s="1053"/>
      <c r="CK66" s="1053"/>
      <c r="CL66" s="1053"/>
      <c r="CM66" s="1053"/>
      <c r="CN66" s="1053"/>
      <c r="CO66" s="1053"/>
      <c r="CP66" s="1053"/>
      <c r="CQ66" s="1053"/>
      <c r="CR66" s="1053"/>
      <c r="CS66" s="1053"/>
      <c r="CT66" s="1054"/>
      <c r="CU66" s="1052" t="s">
        <v>748</v>
      </c>
      <c r="CV66" s="1053"/>
      <c r="CW66" s="1053"/>
      <c r="CX66" s="1053"/>
      <c r="CY66" s="1053"/>
      <c r="CZ66" s="1053"/>
      <c r="DA66" s="1053"/>
      <c r="DB66" s="1053"/>
      <c r="DC66" s="1053"/>
      <c r="DD66" s="1053"/>
      <c r="DE66" s="1053"/>
      <c r="DF66" s="1053"/>
      <c r="DG66" s="1053"/>
      <c r="DH66" s="1053"/>
      <c r="DI66" s="1053"/>
      <c r="DJ66" s="1053"/>
      <c r="DK66" s="1053"/>
      <c r="DL66" s="1053"/>
      <c r="DM66" s="1053"/>
      <c r="DN66" s="1053"/>
      <c r="DO66" s="1053"/>
      <c r="DP66" s="1053"/>
      <c r="DQ66" s="1053"/>
      <c r="DR66" s="1054"/>
      <c r="DS66" s="1052" t="s">
        <v>749</v>
      </c>
      <c r="DT66" s="1053"/>
      <c r="DU66" s="1053"/>
      <c r="DV66" s="1053"/>
      <c r="DW66" s="1053"/>
      <c r="DX66" s="1053"/>
      <c r="DY66" s="1053"/>
      <c r="DZ66" s="1053"/>
      <c r="EA66" s="1053"/>
      <c r="EB66" s="1053"/>
      <c r="EC66" s="1053"/>
      <c r="ED66" s="1053"/>
      <c r="EE66" s="1053"/>
      <c r="EF66" s="1053"/>
      <c r="EG66" s="1053"/>
      <c r="EH66" s="1053"/>
      <c r="EI66" s="1053"/>
      <c r="EJ66" s="1053"/>
      <c r="EK66" s="1053"/>
      <c r="EL66" s="1053"/>
      <c r="EM66" s="1053"/>
      <c r="EN66" s="1053"/>
      <c r="EO66" s="1053"/>
      <c r="EP66" s="1054"/>
    </row>
    <row r="67" spans="1:146" ht="14.25" customHeight="1" x14ac:dyDescent="0.15">
      <c r="A67" s="1060"/>
      <c r="B67" s="1061"/>
      <c r="C67" s="1057" t="s">
        <v>750</v>
      </c>
      <c r="D67" s="1055"/>
      <c r="E67" s="1055"/>
      <c r="F67" s="1055"/>
      <c r="G67" s="1055"/>
      <c r="H67" s="1055"/>
      <c r="I67" s="1055" t="s">
        <v>751</v>
      </c>
      <c r="J67" s="1055"/>
      <c r="K67" s="1055"/>
      <c r="L67" s="1055"/>
      <c r="M67" s="1055"/>
      <c r="N67" s="1055"/>
      <c r="O67" s="1055" t="s">
        <v>752</v>
      </c>
      <c r="P67" s="1055"/>
      <c r="Q67" s="1055"/>
      <c r="R67" s="1055"/>
      <c r="S67" s="1055"/>
      <c r="T67" s="1055"/>
      <c r="U67" s="1055" t="s">
        <v>753</v>
      </c>
      <c r="V67" s="1055"/>
      <c r="W67" s="1055"/>
      <c r="X67" s="1055"/>
      <c r="Y67" s="1055"/>
      <c r="Z67" s="1056"/>
      <c r="AA67" s="1057" t="s">
        <v>754</v>
      </c>
      <c r="AB67" s="1055"/>
      <c r="AC67" s="1055"/>
      <c r="AD67" s="1055"/>
      <c r="AE67" s="1055"/>
      <c r="AF67" s="1055"/>
      <c r="AG67" s="1055" t="s">
        <v>751</v>
      </c>
      <c r="AH67" s="1055"/>
      <c r="AI67" s="1055"/>
      <c r="AJ67" s="1055"/>
      <c r="AK67" s="1055"/>
      <c r="AL67" s="1055"/>
      <c r="AM67" s="1055" t="s">
        <v>752</v>
      </c>
      <c r="AN67" s="1055"/>
      <c r="AO67" s="1055"/>
      <c r="AP67" s="1055"/>
      <c r="AQ67" s="1055"/>
      <c r="AR67" s="1055"/>
      <c r="AS67" s="1055" t="s">
        <v>753</v>
      </c>
      <c r="AT67" s="1055"/>
      <c r="AU67" s="1055"/>
      <c r="AV67" s="1055"/>
      <c r="AW67" s="1055"/>
      <c r="AX67" s="1056"/>
      <c r="AY67" s="1057" t="s">
        <v>754</v>
      </c>
      <c r="AZ67" s="1055"/>
      <c r="BA67" s="1055"/>
      <c r="BB67" s="1055"/>
      <c r="BC67" s="1055"/>
      <c r="BD67" s="1055"/>
      <c r="BE67" s="1055" t="s">
        <v>751</v>
      </c>
      <c r="BF67" s="1055"/>
      <c r="BG67" s="1055"/>
      <c r="BH67" s="1055"/>
      <c r="BI67" s="1055"/>
      <c r="BJ67" s="1055"/>
      <c r="BK67" s="1055" t="s">
        <v>752</v>
      </c>
      <c r="BL67" s="1055"/>
      <c r="BM67" s="1055"/>
      <c r="BN67" s="1055"/>
      <c r="BO67" s="1055"/>
      <c r="BP67" s="1055"/>
      <c r="BQ67" s="1055" t="s">
        <v>753</v>
      </c>
      <c r="BR67" s="1055"/>
      <c r="BS67" s="1055"/>
      <c r="BT67" s="1055"/>
      <c r="BU67" s="1055"/>
      <c r="BV67" s="1056"/>
      <c r="BW67" s="1057" t="s">
        <v>750</v>
      </c>
      <c r="BX67" s="1055"/>
      <c r="BY67" s="1055"/>
      <c r="BZ67" s="1055"/>
      <c r="CA67" s="1055"/>
      <c r="CB67" s="1055"/>
      <c r="CC67" s="1055" t="s">
        <v>751</v>
      </c>
      <c r="CD67" s="1055"/>
      <c r="CE67" s="1055"/>
      <c r="CF67" s="1055"/>
      <c r="CG67" s="1055"/>
      <c r="CH67" s="1055"/>
      <c r="CI67" s="1055" t="s">
        <v>752</v>
      </c>
      <c r="CJ67" s="1055"/>
      <c r="CK67" s="1055"/>
      <c r="CL67" s="1055"/>
      <c r="CM67" s="1055"/>
      <c r="CN67" s="1055"/>
      <c r="CO67" s="1055" t="s">
        <v>753</v>
      </c>
      <c r="CP67" s="1055"/>
      <c r="CQ67" s="1055"/>
      <c r="CR67" s="1055"/>
      <c r="CS67" s="1055"/>
      <c r="CT67" s="1056"/>
      <c r="CU67" s="1057" t="s">
        <v>754</v>
      </c>
      <c r="CV67" s="1055"/>
      <c r="CW67" s="1055"/>
      <c r="CX67" s="1055"/>
      <c r="CY67" s="1055"/>
      <c r="CZ67" s="1055"/>
      <c r="DA67" s="1055" t="s">
        <v>751</v>
      </c>
      <c r="DB67" s="1055"/>
      <c r="DC67" s="1055"/>
      <c r="DD67" s="1055"/>
      <c r="DE67" s="1055"/>
      <c r="DF67" s="1055"/>
      <c r="DG67" s="1055" t="s">
        <v>752</v>
      </c>
      <c r="DH67" s="1055"/>
      <c r="DI67" s="1055"/>
      <c r="DJ67" s="1055"/>
      <c r="DK67" s="1055"/>
      <c r="DL67" s="1055"/>
      <c r="DM67" s="1055" t="s">
        <v>753</v>
      </c>
      <c r="DN67" s="1055"/>
      <c r="DO67" s="1055"/>
      <c r="DP67" s="1055"/>
      <c r="DQ67" s="1055"/>
      <c r="DR67" s="1056"/>
      <c r="DS67" s="1057" t="s">
        <v>754</v>
      </c>
      <c r="DT67" s="1055"/>
      <c r="DU67" s="1055"/>
      <c r="DV67" s="1055"/>
      <c r="DW67" s="1055"/>
      <c r="DX67" s="1055"/>
      <c r="DY67" s="1055" t="s">
        <v>751</v>
      </c>
      <c r="DZ67" s="1055"/>
      <c r="EA67" s="1055"/>
      <c r="EB67" s="1055"/>
      <c r="EC67" s="1055"/>
      <c r="ED67" s="1055"/>
      <c r="EE67" s="1055" t="s">
        <v>752</v>
      </c>
      <c r="EF67" s="1055"/>
      <c r="EG67" s="1055"/>
      <c r="EH67" s="1055"/>
      <c r="EI67" s="1055"/>
      <c r="EJ67" s="1055"/>
      <c r="EK67" s="1055" t="s">
        <v>753</v>
      </c>
      <c r="EL67" s="1055"/>
      <c r="EM67" s="1055"/>
      <c r="EN67" s="1055"/>
      <c r="EO67" s="1055"/>
      <c r="EP67" s="1056"/>
    </row>
    <row r="68" spans="1:146" ht="24.75" customHeight="1" thickBot="1" x14ac:dyDescent="0.2">
      <c r="A68" s="1060"/>
      <c r="B68" s="1061"/>
      <c r="C68" s="1049" t="s">
        <v>755</v>
      </c>
      <c r="D68" s="1047"/>
      <c r="E68" s="1047"/>
      <c r="F68" s="1047"/>
      <c r="G68" s="1047"/>
      <c r="H68" s="1047"/>
      <c r="I68" s="1047" t="s">
        <v>755</v>
      </c>
      <c r="J68" s="1047"/>
      <c r="K68" s="1047"/>
      <c r="L68" s="1047"/>
      <c r="M68" s="1047"/>
      <c r="N68" s="1047"/>
      <c r="O68" s="1047" t="s">
        <v>755</v>
      </c>
      <c r="P68" s="1047"/>
      <c r="Q68" s="1047"/>
      <c r="R68" s="1047"/>
      <c r="S68" s="1047"/>
      <c r="T68" s="1047"/>
      <c r="U68" s="1047" t="s">
        <v>755</v>
      </c>
      <c r="V68" s="1047"/>
      <c r="W68" s="1047"/>
      <c r="X68" s="1047"/>
      <c r="Y68" s="1047"/>
      <c r="Z68" s="1048"/>
      <c r="AA68" s="1049" t="s">
        <v>755</v>
      </c>
      <c r="AB68" s="1047"/>
      <c r="AC68" s="1047"/>
      <c r="AD68" s="1047"/>
      <c r="AE68" s="1047"/>
      <c r="AF68" s="1047"/>
      <c r="AG68" s="1047" t="s">
        <v>755</v>
      </c>
      <c r="AH68" s="1047"/>
      <c r="AI68" s="1047"/>
      <c r="AJ68" s="1047"/>
      <c r="AK68" s="1047"/>
      <c r="AL68" s="1047"/>
      <c r="AM68" s="1047" t="s">
        <v>755</v>
      </c>
      <c r="AN68" s="1047"/>
      <c r="AO68" s="1047"/>
      <c r="AP68" s="1047"/>
      <c r="AQ68" s="1047"/>
      <c r="AR68" s="1047"/>
      <c r="AS68" s="1047" t="s">
        <v>755</v>
      </c>
      <c r="AT68" s="1047"/>
      <c r="AU68" s="1047"/>
      <c r="AV68" s="1047"/>
      <c r="AW68" s="1047"/>
      <c r="AX68" s="1048"/>
      <c r="AY68" s="1049" t="s">
        <v>755</v>
      </c>
      <c r="AZ68" s="1047"/>
      <c r="BA68" s="1047"/>
      <c r="BB68" s="1047"/>
      <c r="BC68" s="1047"/>
      <c r="BD68" s="1047"/>
      <c r="BE68" s="1047" t="s">
        <v>755</v>
      </c>
      <c r="BF68" s="1047"/>
      <c r="BG68" s="1047"/>
      <c r="BH68" s="1047"/>
      <c r="BI68" s="1047"/>
      <c r="BJ68" s="1047"/>
      <c r="BK68" s="1047" t="s">
        <v>755</v>
      </c>
      <c r="BL68" s="1047"/>
      <c r="BM68" s="1047"/>
      <c r="BN68" s="1047"/>
      <c r="BO68" s="1047"/>
      <c r="BP68" s="1047"/>
      <c r="BQ68" s="1047" t="s">
        <v>755</v>
      </c>
      <c r="BR68" s="1047"/>
      <c r="BS68" s="1047"/>
      <c r="BT68" s="1047"/>
      <c r="BU68" s="1047"/>
      <c r="BV68" s="1048"/>
      <c r="BW68" s="1049" t="s">
        <v>755</v>
      </c>
      <c r="BX68" s="1047"/>
      <c r="BY68" s="1047"/>
      <c r="BZ68" s="1047"/>
      <c r="CA68" s="1047"/>
      <c r="CB68" s="1047"/>
      <c r="CC68" s="1047" t="s">
        <v>755</v>
      </c>
      <c r="CD68" s="1047"/>
      <c r="CE68" s="1047"/>
      <c r="CF68" s="1047"/>
      <c r="CG68" s="1047"/>
      <c r="CH68" s="1047"/>
      <c r="CI68" s="1047" t="s">
        <v>755</v>
      </c>
      <c r="CJ68" s="1047"/>
      <c r="CK68" s="1047"/>
      <c r="CL68" s="1047"/>
      <c r="CM68" s="1047"/>
      <c r="CN68" s="1047"/>
      <c r="CO68" s="1047" t="s">
        <v>755</v>
      </c>
      <c r="CP68" s="1047"/>
      <c r="CQ68" s="1047"/>
      <c r="CR68" s="1047"/>
      <c r="CS68" s="1047"/>
      <c r="CT68" s="1048"/>
      <c r="CU68" s="1049" t="s">
        <v>755</v>
      </c>
      <c r="CV68" s="1047"/>
      <c r="CW68" s="1047"/>
      <c r="CX68" s="1047"/>
      <c r="CY68" s="1047"/>
      <c r="CZ68" s="1047"/>
      <c r="DA68" s="1047" t="s">
        <v>755</v>
      </c>
      <c r="DB68" s="1047"/>
      <c r="DC68" s="1047"/>
      <c r="DD68" s="1047"/>
      <c r="DE68" s="1047"/>
      <c r="DF68" s="1047"/>
      <c r="DG68" s="1047" t="s">
        <v>755</v>
      </c>
      <c r="DH68" s="1047"/>
      <c r="DI68" s="1047"/>
      <c r="DJ68" s="1047"/>
      <c r="DK68" s="1047"/>
      <c r="DL68" s="1047"/>
      <c r="DM68" s="1047" t="s">
        <v>755</v>
      </c>
      <c r="DN68" s="1047"/>
      <c r="DO68" s="1047"/>
      <c r="DP68" s="1047"/>
      <c r="DQ68" s="1047"/>
      <c r="DR68" s="1048"/>
      <c r="DS68" s="1049" t="s">
        <v>755</v>
      </c>
      <c r="DT68" s="1047"/>
      <c r="DU68" s="1047"/>
      <c r="DV68" s="1047"/>
      <c r="DW68" s="1047"/>
      <c r="DX68" s="1047"/>
      <c r="DY68" s="1047" t="s">
        <v>755</v>
      </c>
      <c r="DZ68" s="1047"/>
      <c r="EA68" s="1047"/>
      <c r="EB68" s="1047"/>
      <c r="EC68" s="1047"/>
      <c r="ED68" s="1047"/>
      <c r="EE68" s="1047" t="s">
        <v>755</v>
      </c>
      <c r="EF68" s="1047"/>
      <c r="EG68" s="1047"/>
      <c r="EH68" s="1047"/>
      <c r="EI68" s="1047"/>
      <c r="EJ68" s="1047"/>
      <c r="EK68" s="1047" t="s">
        <v>755</v>
      </c>
      <c r="EL68" s="1047"/>
      <c r="EM68" s="1047"/>
      <c r="EN68" s="1047"/>
      <c r="EO68" s="1047"/>
      <c r="EP68" s="1048"/>
    </row>
    <row r="69" spans="1:146" ht="33.75" customHeight="1" thickBot="1" x14ac:dyDescent="0.2">
      <c r="A69" s="624" t="s">
        <v>591</v>
      </c>
      <c r="B69" s="385" t="s">
        <v>690</v>
      </c>
      <c r="C69" s="489"/>
      <c r="D69" s="490"/>
      <c r="E69" s="490"/>
      <c r="F69" s="490"/>
      <c r="G69" s="490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0"/>
      <c r="S69" s="490"/>
      <c r="T69" s="490"/>
      <c r="U69" s="490"/>
      <c r="V69" s="490"/>
      <c r="W69" s="490"/>
      <c r="X69" s="490"/>
      <c r="Y69" s="490"/>
      <c r="Z69" s="516"/>
      <c r="AA69" s="489"/>
      <c r="AB69" s="490"/>
      <c r="AC69" s="490"/>
      <c r="AD69" s="490"/>
      <c r="AE69" s="490"/>
      <c r="AF69" s="490"/>
      <c r="AG69" s="490"/>
      <c r="AH69" s="490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0"/>
      <c r="AT69" s="490"/>
      <c r="AU69" s="490"/>
      <c r="AV69" s="490"/>
      <c r="AW69" s="490"/>
      <c r="AX69" s="516"/>
      <c r="AY69" s="496"/>
      <c r="AZ69" s="497"/>
      <c r="BA69" s="497"/>
      <c r="BB69" s="497"/>
      <c r="BC69" s="497"/>
      <c r="BD69" s="497"/>
      <c r="BE69" s="497"/>
      <c r="BF69" s="497"/>
      <c r="BG69" s="497"/>
      <c r="BH69" s="497"/>
      <c r="BI69" s="497"/>
      <c r="BJ69" s="497"/>
      <c r="BK69" s="490"/>
      <c r="BL69" s="490"/>
      <c r="BM69" s="490"/>
      <c r="BN69" s="490"/>
      <c r="BO69" s="490"/>
      <c r="BP69" s="490"/>
      <c r="BQ69" s="490"/>
      <c r="BR69" s="490"/>
      <c r="BS69" s="490"/>
      <c r="BT69" s="490"/>
      <c r="BU69" s="490"/>
      <c r="BV69" s="507"/>
      <c r="BW69" s="489"/>
      <c r="BX69" s="490"/>
      <c r="BY69" s="490"/>
      <c r="BZ69" s="490"/>
      <c r="CA69" s="490"/>
      <c r="CB69" s="490"/>
      <c r="CC69" s="490"/>
      <c r="CD69" s="490"/>
      <c r="CE69" s="490"/>
      <c r="CF69" s="490"/>
      <c r="CG69" s="490"/>
      <c r="CH69" s="490"/>
      <c r="CI69" s="490"/>
      <c r="CJ69" s="490"/>
      <c r="CK69" s="490"/>
      <c r="CL69" s="490"/>
      <c r="CM69" s="490"/>
      <c r="CN69" s="490"/>
      <c r="CO69" s="490"/>
      <c r="CP69" s="490"/>
      <c r="CQ69" s="490"/>
      <c r="CR69" s="490"/>
      <c r="CS69" s="490"/>
      <c r="CT69" s="516"/>
      <c r="CU69" s="489"/>
      <c r="CV69" s="490"/>
      <c r="CW69" s="490"/>
      <c r="CX69" s="490"/>
      <c r="CY69" s="490"/>
      <c r="CZ69" s="490"/>
      <c r="DA69" s="490"/>
      <c r="DB69" s="490"/>
      <c r="DC69" s="490"/>
      <c r="DD69" s="490"/>
      <c r="DE69" s="490"/>
      <c r="DF69" s="490"/>
      <c r="DG69" s="490"/>
      <c r="DH69" s="490"/>
      <c r="DI69" s="490"/>
      <c r="DJ69" s="490"/>
      <c r="DK69" s="490"/>
      <c r="DL69" s="490"/>
      <c r="DM69" s="490"/>
      <c r="DN69" s="490"/>
      <c r="DO69" s="490"/>
      <c r="DP69" s="490"/>
      <c r="DQ69" s="490"/>
      <c r="DR69" s="516"/>
      <c r="DS69" s="517"/>
      <c r="DT69" s="490"/>
      <c r="DU69" s="490"/>
      <c r="DV69" s="490"/>
      <c r="DW69" s="490"/>
      <c r="DX69" s="490"/>
      <c r="DY69" s="490"/>
      <c r="DZ69" s="490"/>
      <c r="EA69" s="490"/>
      <c r="EB69" s="490"/>
      <c r="EC69" s="490"/>
      <c r="ED69" s="490"/>
      <c r="EE69" s="490"/>
      <c r="EF69" s="490"/>
      <c r="EG69" s="490"/>
      <c r="EH69" s="490"/>
      <c r="EI69" s="490"/>
      <c r="EJ69" s="490"/>
      <c r="EK69" s="490"/>
      <c r="EL69" s="490"/>
      <c r="EM69" s="490"/>
      <c r="EN69" s="490"/>
      <c r="EO69" s="490"/>
      <c r="EP69" s="507"/>
    </row>
    <row r="70" spans="1:146" ht="39.75" customHeight="1" x14ac:dyDescent="0.15">
      <c r="A70" s="624" t="s">
        <v>592</v>
      </c>
      <c r="B70" s="385" t="s">
        <v>696</v>
      </c>
      <c r="C70" s="525"/>
      <c r="D70" s="526"/>
      <c r="E70" s="526"/>
      <c r="F70" s="526"/>
      <c r="G70" s="526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6"/>
      <c r="S70" s="526"/>
      <c r="T70" s="526"/>
      <c r="U70" s="526"/>
      <c r="V70" s="526"/>
      <c r="W70" s="526"/>
      <c r="X70" s="526"/>
      <c r="Y70" s="526"/>
      <c r="Z70" s="527"/>
      <c r="AA70" s="525"/>
      <c r="AB70" s="526"/>
      <c r="AC70" s="526"/>
      <c r="AD70" s="526"/>
      <c r="AE70" s="526"/>
      <c r="AF70" s="526"/>
      <c r="AG70" s="526"/>
      <c r="AH70" s="526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26"/>
      <c r="AT70" s="526"/>
      <c r="AU70" s="526"/>
      <c r="AV70" s="526"/>
      <c r="AW70" s="526"/>
      <c r="AX70" s="527"/>
      <c r="AY70" s="525"/>
      <c r="AZ70" s="526"/>
      <c r="BA70" s="526"/>
      <c r="BB70" s="526"/>
      <c r="BC70" s="526"/>
      <c r="BD70" s="526"/>
      <c r="BE70" s="526"/>
      <c r="BF70" s="526"/>
      <c r="BG70" s="526"/>
      <c r="BH70" s="526"/>
      <c r="BI70" s="526"/>
      <c r="BJ70" s="526"/>
      <c r="BK70" s="526"/>
      <c r="BL70" s="526"/>
      <c r="BM70" s="526"/>
      <c r="BN70" s="526"/>
      <c r="BO70" s="526"/>
      <c r="BP70" s="526"/>
      <c r="BQ70" s="526"/>
      <c r="BR70" s="526"/>
      <c r="BS70" s="526"/>
      <c r="BT70" s="526"/>
      <c r="BU70" s="526"/>
      <c r="BV70" s="535"/>
      <c r="BW70" s="525"/>
      <c r="BX70" s="526"/>
      <c r="BY70" s="526"/>
      <c r="BZ70" s="526"/>
      <c r="CA70" s="526"/>
      <c r="CB70" s="526"/>
      <c r="CC70" s="526"/>
      <c r="CD70" s="526"/>
      <c r="CE70" s="526"/>
      <c r="CF70" s="526"/>
      <c r="CG70" s="526"/>
      <c r="CH70" s="526"/>
      <c r="CI70" s="526"/>
      <c r="CJ70" s="526"/>
      <c r="CK70" s="526"/>
      <c r="CL70" s="526"/>
      <c r="CM70" s="526"/>
      <c r="CN70" s="526"/>
      <c r="CO70" s="530"/>
      <c r="CP70" s="530"/>
      <c r="CQ70" s="530"/>
      <c r="CR70" s="530"/>
      <c r="CS70" s="530"/>
      <c r="CT70" s="531"/>
      <c r="CU70" s="525"/>
      <c r="CV70" s="526"/>
      <c r="CW70" s="526"/>
      <c r="CX70" s="526"/>
      <c r="CY70" s="526"/>
      <c r="CZ70" s="526"/>
      <c r="DA70" s="526"/>
      <c r="DB70" s="526"/>
      <c r="DC70" s="526"/>
      <c r="DD70" s="526"/>
      <c r="DE70" s="526"/>
      <c r="DF70" s="526"/>
      <c r="DG70" s="526"/>
      <c r="DH70" s="526"/>
      <c r="DI70" s="526"/>
      <c r="DJ70" s="526"/>
      <c r="DK70" s="526"/>
      <c r="DL70" s="526"/>
      <c r="DM70" s="526"/>
      <c r="DN70" s="526"/>
      <c r="DO70" s="526"/>
      <c r="DP70" s="526"/>
      <c r="DQ70" s="526"/>
      <c r="DR70" s="527"/>
      <c r="DS70" s="525"/>
      <c r="DT70" s="526"/>
      <c r="DU70" s="526"/>
      <c r="DV70" s="526"/>
      <c r="DW70" s="526"/>
      <c r="DX70" s="526"/>
      <c r="DY70" s="526"/>
      <c r="DZ70" s="526"/>
      <c r="EA70" s="526"/>
      <c r="EB70" s="526"/>
      <c r="EC70" s="526"/>
      <c r="ED70" s="526"/>
      <c r="EE70" s="526"/>
      <c r="EF70" s="526"/>
      <c r="EG70" s="526"/>
      <c r="EH70" s="526"/>
      <c r="EI70" s="526"/>
      <c r="EJ70" s="526"/>
      <c r="EK70" s="526"/>
      <c r="EL70" s="526"/>
      <c r="EM70" s="526"/>
      <c r="EN70" s="526"/>
      <c r="EO70" s="526"/>
      <c r="EP70" s="535"/>
    </row>
    <row r="71" spans="1:146" ht="27" customHeight="1" x14ac:dyDescent="0.15">
      <c r="A71" s="624" t="s">
        <v>593</v>
      </c>
      <c r="B71" s="385" t="s">
        <v>695</v>
      </c>
      <c r="C71" s="525"/>
      <c r="D71" s="526"/>
      <c r="E71" s="526"/>
      <c r="F71" s="526"/>
      <c r="G71" s="526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6"/>
      <c r="S71" s="526"/>
      <c r="T71" s="526"/>
      <c r="U71" s="526"/>
      <c r="V71" s="526"/>
      <c r="W71" s="526"/>
      <c r="X71" s="526"/>
      <c r="Y71" s="526"/>
      <c r="Z71" s="527"/>
      <c r="AA71" s="525"/>
      <c r="AB71" s="526"/>
      <c r="AC71" s="526"/>
      <c r="AD71" s="526"/>
      <c r="AE71" s="526"/>
      <c r="AF71" s="526"/>
      <c r="AG71" s="526"/>
      <c r="AH71" s="526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26"/>
      <c r="AT71" s="526"/>
      <c r="AU71" s="526"/>
      <c r="AV71" s="526"/>
      <c r="AW71" s="526"/>
      <c r="AX71" s="527"/>
      <c r="AY71" s="525"/>
      <c r="AZ71" s="526"/>
      <c r="BA71" s="526"/>
      <c r="BB71" s="526"/>
      <c r="BC71" s="526"/>
      <c r="BD71" s="526"/>
      <c r="BE71" s="526"/>
      <c r="BF71" s="526"/>
      <c r="BG71" s="526"/>
      <c r="BH71" s="526"/>
      <c r="BI71" s="526"/>
      <c r="BJ71" s="526"/>
      <c r="BK71" s="526"/>
      <c r="BL71" s="526"/>
      <c r="BM71" s="526"/>
      <c r="BN71" s="526"/>
      <c r="BO71" s="526"/>
      <c r="BP71" s="526"/>
      <c r="BQ71" s="526"/>
      <c r="BR71" s="526"/>
      <c r="BS71" s="526"/>
      <c r="BT71" s="526"/>
      <c r="BU71" s="526"/>
      <c r="BV71" s="535"/>
      <c r="BW71" s="525"/>
      <c r="BX71" s="526"/>
      <c r="BY71" s="526"/>
      <c r="BZ71" s="526"/>
      <c r="CA71" s="526"/>
      <c r="CB71" s="526"/>
      <c r="CC71" s="526"/>
      <c r="CD71" s="526"/>
      <c r="CE71" s="526"/>
      <c r="CF71" s="526"/>
      <c r="CG71" s="526"/>
      <c r="CH71" s="526"/>
      <c r="CI71" s="526"/>
      <c r="CJ71" s="526"/>
      <c r="CK71" s="526"/>
      <c r="CL71" s="526"/>
      <c r="CM71" s="526"/>
      <c r="CN71" s="526"/>
      <c r="CO71" s="530"/>
      <c r="CP71" s="530"/>
      <c r="CQ71" s="530"/>
      <c r="CR71" s="530"/>
      <c r="CS71" s="530"/>
      <c r="CT71" s="531"/>
      <c r="CU71" s="525"/>
      <c r="CV71" s="526"/>
      <c r="CW71" s="526"/>
      <c r="CX71" s="526"/>
      <c r="CY71" s="526"/>
      <c r="CZ71" s="526"/>
      <c r="DA71" s="526"/>
      <c r="DB71" s="526"/>
      <c r="DC71" s="526"/>
      <c r="DD71" s="526"/>
      <c r="DE71" s="526"/>
      <c r="DF71" s="526"/>
      <c r="DG71" s="526"/>
      <c r="DH71" s="526"/>
      <c r="DI71" s="526"/>
      <c r="DJ71" s="526"/>
      <c r="DK71" s="526"/>
      <c r="DL71" s="526"/>
      <c r="DM71" s="526"/>
      <c r="DN71" s="526"/>
      <c r="DO71" s="526"/>
      <c r="DP71" s="526"/>
      <c r="DQ71" s="526"/>
      <c r="DR71" s="527"/>
      <c r="DS71" s="525"/>
      <c r="DT71" s="526"/>
      <c r="DU71" s="526"/>
      <c r="DV71" s="526"/>
      <c r="DW71" s="526"/>
      <c r="DX71" s="526"/>
      <c r="DY71" s="526"/>
      <c r="DZ71" s="526"/>
      <c r="EA71" s="526"/>
      <c r="EB71" s="526"/>
      <c r="EC71" s="526"/>
      <c r="ED71" s="526"/>
      <c r="EE71" s="526"/>
      <c r="EF71" s="526"/>
      <c r="EG71" s="526"/>
      <c r="EH71" s="526"/>
      <c r="EI71" s="526"/>
      <c r="EJ71" s="526"/>
      <c r="EK71" s="526"/>
      <c r="EL71" s="526"/>
      <c r="EM71" s="526"/>
      <c r="EN71" s="526"/>
      <c r="EO71" s="526"/>
      <c r="EP71" s="535"/>
    </row>
    <row r="72" spans="1:146" ht="28.5" customHeight="1" x14ac:dyDescent="0.15">
      <c r="A72" s="624" t="s">
        <v>694</v>
      </c>
      <c r="B72" s="385" t="s">
        <v>691</v>
      </c>
      <c r="C72" s="525"/>
      <c r="D72" s="526"/>
      <c r="E72" s="526"/>
      <c r="F72" s="526"/>
      <c r="G72" s="526"/>
      <c r="H72" s="526"/>
      <c r="I72" s="526"/>
      <c r="J72" s="526"/>
      <c r="K72" s="526"/>
      <c r="L72" s="526"/>
      <c r="M72" s="526"/>
      <c r="N72" s="526"/>
      <c r="O72" s="526"/>
      <c r="P72" s="526"/>
      <c r="Q72" s="526"/>
      <c r="R72" s="526"/>
      <c r="S72" s="526"/>
      <c r="T72" s="526"/>
      <c r="U72" s="526"/>
      <c r="V72" s="526"/>
      <c r="W72" s="526"/>
      <c r="X72" s="526"/>
      <c r="Y72" s="526"/>
      <c r="Z72" s="527"/>
      <c r="AA72" s="525"/>
      <c r="AB72" s="526"/>
      <c r="AC72" s="526"/>
      <c r="AD72" s="526"/>
      <c r="AE72" s="526"/>
      <c r="AF72" s="526"/>
      <c r="AG72" s="526"/>
      <c r="AH72" s="526"/>
      <c r="AI72" s="526"/>
      <c r="AJ72" s="526"/>
      <c r="AK72" s="526"/>
      <c r="AL72" s="526"/>
      <c r="AM72" s="526"/>
      <c r="AN72" s="526"/>
      <c r="AO72" s="526"/>
      <c r="AP72" s="526"/>
      <c r="AQ72" s="526"/>
      <c r="AR72" s="526"/>
      <c r="AS72" s="526"/>
      <c r="AT72" s="526"/>
      <c r="AU72" s="526"/>
      <c r="AV72" s="526"/>
      <c r="AW72" s="526"/>
      <c r="AX72" s="527"/>
      <c r="AY72" s="525"/>
      <c r="AZ72" s="526"/>
      <c r="BA72" s="526"/>
      <c r="BB72" s="526"/>
      <c r="BC72" s="526"/>
      <c r="BD72" s="526"/>
      <c r="BE72" s="526"/>
      <c r="BF72" s="526"/>
      <c r="BG72" s="526"/>
      <c r="BH72" s="526"/>
      <c r="BI72" s="526"/>
      <c r="BJ72" s="526"/>
      <c r="BK72" s="526"/>
      <c r="BL72" s="526"/>
      <c r="BM72" s="526"/>
      <c r="BN72" s="526"/>
      <c r="BO72" s="526"/>
      <c r="BP72" s="526"/>
      <c r="BQ72" s="526"/>
      <c r="BR72" s="526"/>
      <c r="BS72" s="526"/>
      <c r="BT72" s="526"/>
      <c r="BU72" s="526"/>
      <c r="BV72" s="535"/>
      <c r="BW72" s="525"/>
      <c r="BX72" s="526"/>
      <c r="BY72" s="526"/>
      <c r="BZ72" s="526"/>
      <c r="CA72" s="526"/>
      <c r="CB72" s="526"/>
      <c r="CC72" s="526"/>
      <c r="CD72" s="526"/>
      <c r="CE72" s="526"/>
      <c r="CF72" s="526"/>
      <c r="CG72" s="526"/>
      <c r="CH72" s="526"/>
      <c r="CI72" s="530"/>
      <c r="CJ72" s="530"/>
      <c r="CK72" s="530"/>
      <c r="CL72" s="530"/>
      <c r="CM72" s="530"/>
      <c r="CN72" s="530"/>
      <c r="CO72" s="526"/>
      <c r="CP72" s="526"/>
      <c r="CQ72" s="526"/>
      <c r="CR72" s="526"/>
      <c r="CS72" s="526"/>
      <c r="CT72" s="527"/>
      <c r="CU72" s="525"/>
      <c r="CV72" s="526"/>
      <c r="CW72" s="526"/>
      <c r="CX72" s="526"/>
      <c r="CY72" s="526"/>
      <c r="CZ72" s="526"/>
      <c r="DA72" s="526"/>
      <c r="DB72" s="526"/>
      <c r="DC72" s="526"/>
      <c r="DD72" s="526"/>
      <c r="DE72" s="526"/>
      <c r="DF72" s="526"/>
      <c r="DG72" s="526"/>
      <c r="DH72" s="526"/>
      <c r="DI72" s="526"/>
      <c r="DJ72" s="526"/>
      <c r="DK72" s="526"/>
      <c r="DL72" s="526"/>
      <c r="DM72" s="526"/>
      <c r="DN72" s="526"/>
      <c r="DO72" s="526"/>
      <c r="DP72" s="526"/>
      <c r="DQ72" s="526"/>
      <c r="DR72" s="527"/>
      <c r="DS72" s="525"/>
      <c r="DT72" s="526"/>
      <c r="DU72" s="526"/>
      <c r="DV72" s="526"/>
      <c r="DW72" s="526"/>
      <c r="DX72" s="526"/>
      <c r="DY72" s="526"/>
      <c r="DZ72" s="526"/>
      <c r="EA72" s="526"/>
      <c r="EB72" s="526"/>
      <c r="EC72" s="526"/>
      <c r="ED72" s="526"/>
      <c r="EE72" s="526"/>
      <c r="EF72" s="526"/>
      <c r="EG72" s="526"/>
      <c r="EH72" s="526"/>
      <c r="EI72" s="526"/>
      <c r="EJ72" s="526"/>
      <c r="EK72" s="526"/>
      <c r="EL72" s="526"/>
      <c r="EM72" s="526"/>
      <c r="EN72" s="526"/>
      <c r="EO72" s="526"/>
      <c r="EP72" s="535"/>
    </row>
    <row r="73" spans="1:146" ht="21.75" customHeight="1" x14ac:dyDescent="0.15">
      <c r="A73" s="625"/>
      <c r="B73" s="1050"/>
      <c r="C73" s="1050"/>
      <c r="D73" s="1050"/>
      <c r="E73" s="1050"/>
      <c r="F73" s="1050"/>
      <c r="G73" s="1050"/>
      <c r="H73" s="1050"/>
      <c r="I73" s="1050"/>
      <c r="J73" s="1050"/>
      <c r="K73" s="1050"/>
      <c r="L73" s="1050"/>
      <c r="M73" s="1050"/>
      <c r="N73" s="1050"/>
      <c r="O73" s="1050"/>
      <c r="P73" s="1050"/>
      <c r="Q73" s="1050"/>
      <c r="R73" s="1050"/>
      <c r="S73" s="1050"/>
      <c r="T73" s="1050"/>
      <c r="U73" s="1050"/>
      <c r="V73" s="1050"/>
      <c r="W73" s="1050"/>
      <c r="X73" s="1050"/>
      <c r="Y73" s="1050"/>
      <c r="Z73" s="1050"/>
      <c r="AA73" s="1050"/>
      <c r="AB73" s="1050"/>
      <c r="AC73" s="1050"/>
      <c r="AD73" s="1050"/>
      <c r="AE73" s="1050"/>
      <c r="AF73" s="1050"/>
      <c r="AG73" s="1050"/>
      <c r="AH73" s="1050"/>
      <c r="AI73" s="1050"/>
      <c r="AJ73" s="1050"/>
      <c r="AK73" s="1050"/>
      <c r="AL73" s="1050"/>
      <c r="AM73" s="1050"/>
      <c r="AN73" s="1050"/>
      <c r="AO73" s="1050"/>
      <c r="AP73" s="1050"/>
      <c r="AQ73" s="1050"/>
      <c r="AR73" s="1050"/>
      <c r="AS73" s="1050"/>
      <c r="AT73" s="1050"/>
      <c r="AU73" s="1050"/>
      <c r="AV73" s="1050"/>
      <c r="AW73" s="1050"/>
      <c r="AX73" s="1050"/>
      <c r="AY73" s="1050"/>
      <c r="AZ73" s="1050"/>
      <c r="BA73" s="1050"/>
      <c r="BB73" s="1050"/>
      <c r="BC73" s="1050"/>
      <c r="BD73" s="1050"/>
      <c r="BE73" s="1050"/>
      <c r="BF73" s="1050"/>
      <c r="BG73" s="1050"/>
      <c r="BH73" s="1050"/>
      <c r="BI73" s="1050"/>
      <c r="BJ73" s="1050"/>
      <c r="BK73" s="1050"/>
      <c r="BL73" s="1050"/>
      <c r="BM73" s="1050"/>
      <c r="BN73" s="1050"/>
      <c r="BO73" s="1050"/>
      <c r="BP73" s="1050"/>
      <c r="BQ73" s="1050"/>
      <c r="BR73" s="1050"/>
      <c r="BS73" s="1050"/>
      <c r="BT73" s="1050"/>
      <c r="BU73" s="1050"/>
      <c r="BV73" s="1050"/>
      <c r="BW73" s="1050"/>
      <c r="BX73" s="1050"/>
      <c r="BY73" s="1050"/>
      <c r="BZ73" s="1050"/>
      <c r="CA73" s="1050"/>
      <c r="CB73" s="1050"/>
      <c r="CC73" s="1050"/>
      <c r="CD73" s="1050"/>
      <c r="CE73" s="1050"/>
      <c r="CF73" s="1050"/>
      <c r="CG73" s="1050"/>
      <c r="CH73" s="1050"/>
      <c r="CI73" s="1050"/>
      <c r="CJ73" s="1050"/>
      <c r="CK73" s="1050"/>
      <c r="CL73" s="1050"/>
      <c r="CM73" s="1050"/>
      <c r="CN73" s="1050"/>
      <c r="CO73" s="1050"/>
      <c r="CP73" s="1050"/>
      <c r="CQ73" s="1050"/>
      <c r="CR73" s="1050"/>
      <c r="CS73" s="1050"/>
      <c r="CT73" s="1050"/>
      <c r="CU73" s="1050"/>
      <c r="CV73" s="1050"/>
      <c r="CW73" s="1050"/>
      <c r="CX73" s="1050"/>
      <c r="CY73" s="1050"/>
      <c r="CZ73" s="1050"/>
      <c r="DA73" s="1050"/>
      <c r="DB73" s="1050"/>
      <c r="DC73" s="1050"/>
      <c r="DD73" s="1050"/>
      <c r="DE73" s="1050"/>
      <c r="DF73" s="1050"/>
      <c r="DG73" s="1050"/>
      <c r="DH73" s="1050"/>
      <c r="DI73" s="1050"/>
      <c r="DJ73" s="1050"/>
      <c r="DK73" s="1050"/>
      <c r="DL73" s="1050"/>
      <c r="DM73" s="1050"/>
      <c r="DN73" s="1050"/>
      <c r="DO73" s="1050"/>
      <c r="DP73" s="1050"/>
      <c r="DQ73" s="1050"/>
      <c r="DR73" s="1050"/>
      <c r="DS73" s="1050"/>
      <c r="DT73" s="1050"/>
      <c r="DU73" s="1050"/>
      <c r="DV73" s="1050"/>
      <c r="DW73" s="1050"/>
      <c r="DX73" s="1050"/>
      <c r="DY73" s="1050"/>
      <c r="DZ73" s="1050"/>
      <c r="EA73" s="1050"/>
      <c r="EB73" s="1050"/>
      <c r="EC73" s="1050"/>
      <c r="ED73" s="1050"/>
      <c r="EE73" s="1050"/>
      <c r="EF73" s="1050"/>
      <c r="EG73" s="1050"/>
      <c r="EH73" s="1050"/>
      <c r="EI73" s="1050"/>
      <c r="EJ73" s="1050"/>
      <c r="EK73" s="1050"/>
      <c r="EL73" s="1050"/>
      <c r="EM73" s="1050"/>
      <c r="EN73" s="1050"/>
      <c r="EO73" s="1050"/>
      <c r="EP73" s="1051"/>
    </row>
    <row r="74" spans="1:146" ht="19.5" customHeight="1" thickBot="1" x14ac:dyDescent="0.2">
      <c r="A74" s="624" t="s">
        <v>770</v>
      </c>
      <c r="B74" s="385" t="s">
        <v>693</v>
      </c>
      <c r="C74" s="508"/>
      <c r="D74" s="509"/>
      <c r="E74" s="509"/>
      <c r="F74" s="509"/>
      <c r="G74" s="509"/>
      <c r="H74" s="509"/>
      <c r="I74" s="509"/>
      <c r="J74" s="509"/>
      <c r="K74" s="509"/>
      <c r="L74" s="509"/>
      <c r="M74" s="509"/>
      <c r="N74" s="509"/>
      <c r="O74" s="509"/>
      <c r="P74" s="509"/>
      <c r="Q74" s="509"/>
      <c r="R74" s="509"/>
      <c r="S74" s="509"/>
      <c r="T74" s="509"/>
      <c r="U74" s="509"/>
      <c r="V74" s="509"/>
      <c r="W74" s="509"/>
      <c r="X74" s="509"/>
      <c r="Y74" s="509"/>
      <c r="Z74" s="515"/>
      <c r="AA74" s="508"/>
      <c r="AB74" s="509"/>
      <c r="AC74" s="509"/>
      <c r="AD74" s="509"/>
      <c r="AE74" s="509"/>
      <c r="AF74" s="509"/>
      <c r="AG74" s="509"/>
      <c r="AH74" s="509"/>
      <c r="AI74" s="509"/>
      <c r="AJ74" s="509"/>
      <c r="AK74" s="509"/>
      <c r="AL74" s="509"/>
      <c r="AM74" s="509"/>
      <c r="AN74" s="509"/>
      <c r="AO74" s="509"/>
      <c r="AP74" s="509"/>
      <c r="AQ74" s="509"/>
      <c r="AR74" s="509"/>
      <c r="AS74" s="509"/>
      <c r="AT74" s="509"/>
      <c r="AU74" s="509"/>
      <c r="AV74" s="509"/>
      <c r="AW74" s="509"/>
      <c r="AX74" s="515"/>
      <c r="AY74" s="508"/>
      <c r="AZ74" s="509"/>
      <c r="BA74" s="509"/>
      <c r="BB74" s="509"/>
      <c r="BC74" s="509"/>
      <c r="BD74" s="509"/>
      <c r="BE74" s="509"/>
      <c r="BF74" s="509"/>
      <c r="BG74" s="509"/>
      <c r="BH74" s="509"/>
      <c r="BI74" s="509"/>
      <c r="BJ74" s="509"/>
      <c r="BK74" s="509"/>
      <c r="BL74" s="509"/>
      <c r="BM74" s="509"/>
      <c r="BN74" s="509"/>
      <c r="BO74" s="509"/>
      <c r="BP74" s="509"/>
      <c r="BQ74" s="509"/>
      <c r="BR74" s="509"/>
      <c r="BS74" s="509"/>
      <c r="BT74" s="509"/>
      <c r="BU74" s="509"/>
      <c r="BV74" s="515"/>
      <c r="BW74" s="508"/>
      <c r="BX74" s="509"/>
      <c r="BY74" s="509"/>
      <c r="BZ74" s="509"/>
      <c r="CA74" s="509"/>
      <c r="CB74" s="509"/>
      <c r="CC74" s="509"/>
      <c r="CD74" s="509"/>
      <c r="CE74" s="509"/>
      <c r="CF74" s="509"/>
      <c r="CG74" s="509"/>
      <c r="CH74" s="509"/>
      <c r="CI74" s="509"/>
      <c r="CJ74" s="509"/>
      <c r="CK74" s="509"/>
      <c r="CL74" s="509"/>
      <c r="CM74" s="509"/>
      <c r="CN74" s="509"/>
      <c r="CO74" s="509"/>
      <c r="CP74" s="509"/>
      <c r="CQ74" s="509"/>
      <c r="CR74" s="509"/>
      <c r="CS74" s="509"/>
      <c r="CT74" s="515"/>
      <c r="CU74" s="508"/>
      <c r="CV74" s="509"/>
      <c r="CW74" s="509"/>
      <c r="CX74" s="509"/>
      <c r="CY74" s="509"/>
      <c r="CZ74" s="509"/>
      <c r="DA74" s="509"/>
      <c r="DB74" s="509"/>
      <c r="DC74" s="509"/>
      <c r="DD74" s="509"/>
      <c r="DE74" s="509"/>
      <c r="DF74" s="509"/>
      <c r="DG74" s="509"/>
      <c r="DH74" s="509"/>
      <c r="DI74" s="509"/>
      <c r="DJ74" s="509"/>
      <c r="DK74" s="509"/>
      <c r="DL74" s="509"/>
      <c r="DM74" s="509"/>
      <c r="DN74" s="509"/>
      <c r="DO74" s="509"/>
      <c r="DP74" s="509"/>
      <c r="DQ74" s="509"/>
      <c r="DR74" s="515"/>
      <c r="DS74" s="508"/>
      <c r="DT74" s="509"/>
      <c r="DU74" s="509"/>
      <c r="DV74" s="509"/>
      <c r="DW74" s="509"/>
      <c r="DX74" s="509"/>
      <c r="DY74" s="509"/>
      <c r="DZ74" s="509"/>
      <c r="EA74" s="509"/>
      <c r="EB74" s="509"/>
      <c r="EC74" s="509"/>
      <c r="ED74" s="509"/>
      <c r="EE74" s="509"/>
      <c r="EF74" s="509"/>
      <c r="EG74" s="509"/>
      <c r="EH74" s="509"/>
      <c r="EI74" s="509"/>
      <c r="EJ74" s="509"/>
      <c r="EK74" s="538"/>
      <c r="EL74" s="538"/>
      <c r="EM74" s="538"/>
      <c r="EN74" s="538"/>
      <c r="EO74" s="538"/>
      <c r="EP74" s="623"/>
    </row>
    <row r="75" spans="1:146" s="12" customFormat="1" ht="21.75" customHeight="1" thickBot="1" x14ac:dyDescent="0.2">
      <c r="A75" s="488">
        <v>7</v>
      </c>
      <c r="B75" s="1058" t="s">
        <v>499</v>
      </c>
      <c r="C75" s="1058"/>
      <c r="D75" s="1058"/>
      <c r="E75" s="1058"/>
      <c r="F75" s="1058"/>
      <c r="G75" s="1058"/>
      <c r="H75" s="1058"/>
      <c r="I75" s="1058"/>
      <c r="J75" s="1058"/>
      <c r="K75" s="1058"/>
      <c r="L75" s="1058"/>
      <c r="M75" s="1058"/>
      <c r="N75" s="1058"/>
      <c r="O75" s="1058"/>
      <c r="P75" s="1058"/>
      <c r="Q75" s="1058"/>
      <c r="R75" s="1058"/>
      <c r="S75" s="1058"/>
      <c r="T75" s="1058"/>
      <c r="U75" s="1058"/>
      <c r="V75" s="1058"/>
      <c r="W75" s="1058"/>
      <c r="X75" s="1058"/>
      <c r="Y75" s="1058"/>
      <c r="Z75" s="1058"/>
      <c r="AA75" s="1058"/>
      <c r="AB75" s="1058"/>
      <c r="AC75" s="1058"/>
      <c r="AD75" s="1058"/>
      <c r="AE75" s="1058"/>
      <c r="AF75" s="1058"/>
      <c r="AG75" s="1058"/>
      <c r="AH75" s="1058"/>
      <c r="AI75" s="1058"/>
      <c r="AJ75" s="1058"/>
      <c r="AK75" s="1058"/>
      <c r="AL75" s="1058"/>
      <c r="AM75" s="1058"/>
      <c r="AN75" s="1058"/>
      <c r="AO75" s="1058"/>
      <c r="AP75" s="1058"/>
      <c r="AQ75" s="1058"/>
      <c r="AR75" s="1058"/>
      <c r="AS75" s="1058"/>
      <c r="AT75" s="1058"/>
      <c r="AU75" s="1058"/>
      <c r="AV75" s="1058"/>
      <c r="AW75" s="1058"/>
      <c r="AX75" s="1058"/>
      <c r="AY75" s="1058"/>
      <c r="AZ75" s="1058"/>
      <c r="BA75" s="1058"/>
      <c r="BB75" s="1058"/>
      <c r="BC75" s="1058"/>
      <c r="BD75" s="1058"/>
      <c r="BE75" s="1058"/>
      <c r="BF75" s="1058"/>
      <c r="BG75" s="1058"/>
      <c r="BH75" s="1058"/>
      <c r="BI75" s="1058"/>
      <c r="BJ75" s="1058"/>
      <c r="BK75" s="1058"/>
      <c r="BL75" s="1058"/>
      <c r="BM75" s="1058"/>
      <c r="BN75" s="1058"/>
      <c r="BO75" s="1058"/>
      <c r="BP75" s="1058"/>
      <c r="BQ75" s="1058"/>
      <c r="BR75" s="1058"/>
      <c r="BS75" s="1058"/>
      <c r="BT75" s="1058"/>
      <c r="BU75" s="1058"/>
      <c r="BV75" s="1058"/>
      <c r="BW75" s="1058"/>
      <c r="BX75" s="1058"/>
      <c r="BY75" s="1058"/>
      <c r="BZ75" s="1058"/>
      <c r="CA75" s="1058"/>
      <c r="CB75" s="1058"/>
      <c r="CC75" s="1058"/>
      <c r="CD75" s="1058"/>
      <c r="CE75" s="1058"/>
      <c r="CF75" s="1058"/>
      <c r="CG75" s="1058"/>
      <c r="CH75" s="1058"/>
      <c r="CI75" s="1058"/>
      <c r="CJ75" s="1058"/>
      <c r="CK75" s="1058"/>
      <c r="CL75" s="1058"/>
      <c r="CM75" s="1058"/>
      <c r="CN75" s="1058"/>
      <c r="CO75" s="1058"/>
      <c r="CP75" s="1058"/>
      <c r="CQ75" s="1058"/>
      <c r="CR75" s="1058"/>
      <c r="CS75" s="1058"/>
      <c r="CT75" s="1058"/>
      <c r="CU75" s="1058"/>
      <c r="CV75" s="1058"/>
      <c r="CW75" s="1058"/>
      <c r="CX75" s="1058"/>
      <c r="CY75" s="1058"/>
      <c r="CZ75" s="1058"/>
      <c r="DA75" s="1058"/>
      <c r="DB75" s="1058"/>
      <c r="DC75" s="1058"/>
      <c r="DD75" s="1058"/>
      <c r="DE75" s="1058"/>
      <c r="DF75" s="1058"/>
      <c r="DG75" s="1058"/>
      <c r="DH75" s="1058"/>
      <c r="DI75" s="1058"/>
      <c r="DJ75" s="1058"/>
      <c r="DK75" s="1058"/>
      <c r="DL75" s="1058"/>
      <c r="DM75" s="1058"/>
      <c r="DN75" s="1058"/>
      <c r="DO75" s="1058"/>
      <c r="DP75" s="1058"/>
      <c r="DQ75" s="1058"/>
      <c r="DR75" s="1058"/>
      <c r="DS75" s="1058"/>
      <c r="DT75" s="1058"/>
      <c r="DU75" s="1058"/>
      <c r="DV75" s="1058"/>
      <c r="DW75" s="1058"/>
      <c r="DX75" s="1058"/>
      <c r="DY75" s="1058"/>
      <c r="DZ75" s="1058"/>
      <c r="EA75" s="1058"/>
      <c r="EB75" s="1058"/>
      <c r="EC75" s="1058"/>
      <c r="ED75" s="1058"/>
      <c r="EE75" s="1058"/>
      <c r="EF75" s="1058"/>
      <c r="EG75" s="1058"/>
      <c r="EH75" s="1058"/>
      <c r="EI75" s="1058"/>
      <c r="EJ75" s="1058"/>
      <c r="EK75" s="1058"/>
      <c r="EL75" s="1058"/>
      <c r="EM75" s="1058"/>
      <c r="EN75" s="1058"/>
      <c r="EO75" s="1058"/>
      <c r="EP75" s="1059"/>
    </row>
    <row r="76" spans="1:146" ht="15" customHeight="1" x14ac:dyDescent="0.15">
      <c r="A76" s="1060" t="s">
        <v>0</v>
      </c>
      <c r="B76" s="1061" t="s">
        <v>743</v>
      </c>
      <c r="C76" s="1052" t="s">
        <v>744</v>
      </c>
      <c r="D76" s="1053"/>
      <c r="E76" s="1053"/>
      <c r="F76" s="1053"/>
      <c r="G76" s="1053"/>
      <c r="H76" s="1053"/>
      <c r="I76" s="1053"/>
      <c r="J76" s="1053"/>
      <c r="K76" s="1053"/>
      <c r="L76" s="1053"/>
      <c r="M76" s="1053"/>
      <c r="N76" s="1053"/>
      <c r="O76" s="1053"/>
      <c r="P76" s="1053"/>
      <c r="Q76" s="1053"/>
      <c r="R76" s="1053"/>
      <c r="S76" s="1053"/>
      <c r="T76" s="1053"/>
      <c r="U76" s="1053"/>
      <c r="V76" s="1053"/>
      <c r="W76" s="1053"/>
      <c r="X76" s="1053"/>
      <c r="Y76" s="1053"/>
      <c r="Z76" s="1054"/>
      <c r="AA76" s="1052" t="s">
        <v>745</v>
      </c>
      <c r="AB76" s="1053"/>
      <c r="AC76" s="1053"/>
      <c r="AD76" s="1053"/>
      <c r="AE76" s="1053"/>
      <c r="AF76" s="1053"/>
      <c r="AG76" s="1053"/>
      <c r="AH76" s="1053"/>
      <c r="AI76" s="1053"/>
      <c r="AJ76" s="1053"/>
      <c r="AK76" s="1053"/>
      <c r="AL76" s="1053"/>
      <c r="AM76" s="1053"/>
      <c r="AN76" s="1053"/>
      <c r="AO76" s="1053"/>
      <c r="AP76" s="1053"/>
      <c r="AQ76" s="1053"/>
      <c r="AR76" s="1053"/>
      <c r="AS76" s="1053"/>
      <c r="AT76" s="1053"/>
      <c r="AU76" s="1053"/>
      <c r="AV76" s="1053"/>
      <c r="AW76" s="1053"/>
      <c r="AX76" s="1054"/>
      <c r="AY76" s="1052" t="s">
        <v>746</v>
      </c>
      <c r="AZ76" s="1053"/>
      <c r="BA76" s="1053"/>
      <c r="BB76" s="1053"/>
      <c r="BC76" s="1053"/>
      <c r="BD76" s="1053"/>
      <c r="BE76" s="1053"/>
      <c r="BF76" s="1053"/>
      <c r="BG76" s="1053"/>
      <c r="BH76" s="1053"/>
      <c r="BI76" s="1053"/>
      <c r="BJ76" s="1053"/>
      <c r="BK76" s="1053"/>
      <c r="BL76" s="1053"/>
      <c r="BM76" s="1053"/>
      <c r="BN76" s="1053"/>
      <c r="BO76" s="1053"/>
      <c r="BP76" s="1053"/>
      <c r="BQ76" s="1053"/>
      <c r="BR76" s="1053"/>
      <c r="BS76" s="1053"/>
      <c r="BT76" s="1053"/>
      <c r="BU76" s="1053"/>
      <c r="BV76" s="1054"/>
      <c r="BW76" s="1052" t="s">
        <v>747</v>
      </c>
      <c r="BX76" s="1053"/>
      <c r="BY76" s="1053"/>
      <c r="BZ76" s="1053"/>
      <c r="CA76" s="1053"/>
      <c r="CB76" s="1053"/>
      <c r="CC76" s="1053"/>
      <c r="CD76" s="1053"/>
      <c r="CE76" s="1053"/>
      <c r="CF76" s="1053"/>
      <c r="CG76" s="1053"/>
      <c r="CH76" s="1053"/>
      <c r="CI76" s="1053"/>
      <c r="CJ76" s="1053"/>
      <c r="CK76" s="1053"/>
      <c r="CL76" s="1053"/>
      <c r="CM76" s="1053"/>
      <c r="CN76" s="1053"/>
      <c r="CO76" s="1053"/>
      <c r="CP76" s="1053"/>
      <c r="CQ76" s="1053"/>
      <c r="CR76" s="1053"/>
      <c r="CS76" s="1053"/>
      <c r="CT76" s="1054"/>
      <c r="CU76" s="1052" t="s">
        <v>748</v>
      </c>
      <c r="CV76" s="1053"/>
      <c r="CW76" s="1053"/>
      <c r="CX76" s="1053"/>
      <c r="CY76" s="1053"/>
      <c r="CZ76" s="1053"/>
      <c r="DA76" s="1053"/>
      <c r="DB76" s="1053"/>
      <c r="DC76" s="1053"/>
      <c r="DD76" s="1053"/>
      <c r="DE76" s="1053"/>
      <c r="DF76" s="1053"/>
      <c r="DG76" s="1053"/>
      <c r="DH76" s="1053"/>
      <c r="DI76" s="1053"/>
      <c r="DJ76" s="1053"/>
      <c r="DK76" s="1053"/>
      <c r="DL76" s="1053"/>
      <c r="DM76" s="1053"/>
      <c r="DN76" s="1053"/>
      <c r="DO76" s="1053"/>
      <c r="DP76" s="1053"/>
      <c r="DQ76" s="1053"/>
      <c r="DR76" s="1054"/>
      <c r="DS76" s="1052" t="s">
        <v>749</v>
      </c>
      <c r="DT76" s="1053"/>
      <c r="DU76" s="1053"/>
      <c r="DV76" s="1053"/>
      <c r="DW76" s="1053"/>
      <c r="DX76" s="1053"/>
      <c r="DY76" s="1053"/>
      <c r="DZ76" s="1053"/>
      <c r="EA76" s="1053"/>
      <c r="EB76" s="1053"/>
      <c r="EC76" s="1053"/>
      <c r="ED76" s="1053"/>
      <c r="EE76" s="1053"/>
      <c r="EF76" s="1053"/>
      <c r="EG76" s="1053"/>
      <c r="EH76" s="1053"/>
      <c r="EI76" s="1053"/>
      <c r="EJ76" s="1053"/>
      <c r="EK76" s="1053"/>
      <c r="EL76" s="1053"/>
      <c r="EM76" s="1053"/>
      <c r="EN76" s="1053"/>
      <c r="EO76" s="1053"/>
      <c r="EP76" s="1054"/>
    </row>
    <row r="77" spans="1:146" ht="14.25" customHeight="1" x14ac:dyDescent="0.15">
      <c r="A77" s="1060"/>
      <c r="B77" s="1061"/>
      <c r="C77" s="1057" t="s">
        <v>750</v>
      </c>
      <c r="D77" s="1055"/>
      <c r="E77" s="1055"/>
      <c r="F77" s="1055"/>
      <c r="G77" s="1055"/>
      <c r="H77" s="1055"/>
      <c r="I77" s="1055" t="s">
        <v>751</v>
      </c>
      <c r="J77" s="1055"/>
      <c r="K77" s="1055"/>
      <c r="L77" s="1055"/>
      <c r="M77" s="1055"/>
      <c r="N77" s="1055"/>
      <c r="O77" s="1055" t="s">
        <v>752</v>
      </c>
      <c r="P77" s="1055"/>
      <c r="Q77" s="1055"/>
      <c r="R77" s="1055"/>
      <c r="S77" s="1055"/>
      <c r="T77" s="1055"/>
      <c r="U77" s="1055" t="s">
        <v>753</v>
      </c>
      <c r="V77" s="1055"/>
      <c r="W77" s="1055"/>
      <c r="X77" s="1055"/>
      <c r="Y77" s="1055"/>
      <c r="Z77" s="1056"/>
      <c r="AA77" s="1057" t="s">
        <v>754</v>
      </c>
      <c r="AB77" s="1055"/>
      <c r="AC77" s="1055"/>
      <c r="AD77" s="1055"/>
      <c r="AE77" s="1055"/>
      <c r="AF77" s="1055"/>
      <c r="AG77" s="1055" t="s">
        <v>751</v>
      </c>
      <c r="AH77" s="1055"/>
      <c r="AI77" s="1055"/>
      <c r="AJ77" s="1055"/>
      <c r="AK77" s="1055"/>
      <c r="AL77" s="1055"/>
      <c r="AM77" s="1055" t="s">
        <v>752</v>
      </c>
      <c r="AN77" s="1055"/>
      <c r="AO77" s="1055"/>
      <c r="AP77" s="1055"/>
      <c r="AQ77" s="1055"/>
      <c r="AR77" s="1055"/>
      <c r="AS77" s="1055" t="s">
        <v>753</v>
      </c>
      <c r="AT77" s="1055"/>
      <c r="AU77" s="1055"/>
      <c r="AV77" s="1055"/>
      <c r="AW77" s="1055"/>
      <c r="AX77" s="1056"/>
      <c r="AY77" s="1057" t="s">
        <v>754</v>
      </c>
      <c r="AZ77" s="1055"/>
      <c r="BA77" s="1055"/>
      <c r="BB77" s="1055"/>
      <c r="BC77" s="1055"/>
      <c r="BD77" s="1055"/>
      <c r="BE77" s="1055" t="s">
        <v>751</v>
      </c>
      <c r="BF77" s="1055"/>
      <c r="BG77" s="1055"/>
      <c r="BH77" s="1055"/>
      <c r="BI77" s="1055"/>
      <c r="BJ77" s="1055"/>
      <c r="BK77" s="1055" t="s">
        <v>752</v>
      </c>
      <c r="BL77" s="1055"/>
      <c r="BM77" s="1055"/>
      <c r="BN77" s="1055"/>
      <c r="BO77" s="1055"/>
      <c r="BP77" s="1055"/>
      <c r="BQ77" s="1055" t="s">
        <v>753</v>
      </c>
      <c r="BR77" s="1055"/>
      <c r="BS77" s="1055"/>
      <c r="BT77" s="1055"/>
      <c r="BU77" s="1055"/>
      <c r="BV77" s="1056"/>
      <c r="BW77" s="1057" t="s">
        <v>750</v>
      </c>
      <c r="BX77" s="1055"/>
      <c r="BY77" s="1055"/>
      <c r="BZ77" s="1055"/>
      <c r="CA77" s="1055"/>
      <c r="CB77" s="1055"/>
      <c r="CC77" s="1055" t="s">
        <v>751</v>
      </c>
      <c r="CD77" s="1055"/>
      <c r="CE77" s="1055"/>
      <c r="CF77" s="1055"/>
      <c r="CG77" s="1055"/>
      <c r="CH77" s="1055"/>
      <c r="CI77" s="1055" t="s">
        <v>752</v>
      </c>
      <c r="CJ77" s="1055"/>
      <c r="CK77" s="1055"/>
      <c r="CL77" s="1055"/>
      <c r="CM77" s="1055"/>
      <c r="CN77" s="1055"/>
      <c r="CO77" s="1055" t="s">
        <v>753</v>
      </c>
      <c r="CP77" s="1055"/>
      <c r="CQ77" s="1055"/>
      <c r="CR77" s="1055"/>
      <c r="CS77" s="1055"/>
      <c r="CT77" s="1056"/>
      <c r="CU77" s="1057" t="s">
        <v>754</v>
      </c>
      <c r="CV77" s="1055"/>
      <c r="CW77" s="1055"/>
      <c r="CX77" s="1055"/>
      <c r="CY77" s="1055"/>
      <c r="CZ77" s="1055"/>
      <c r="DA77" s="1055" t="s">
        <v>751</v>
      </c>
      <c r="DB77" s="1055"/>
      <c r="DC77" s="1055"/>
      <c r="DD77" s="1055"/>
      <c r="DE77" s="1055"/>
      <c r="DF77" s="1055"/>
      <c r="DG77" s="1055" t="s">
        <v>752</v>
      </c>
      <c r="DH77" s="1055"/>
      <c r="DI77" s="1055"/>
      <c r="DJ77" s="1055"/>
      <c r="DK77" s="1055"/>
      <c r="DL77" s="1055"/>
      <c r="DM77" s="1055" t="s">
        <v>753</v>
      </c>
      <c r="DN77" s="1055"/>
      <c r="DO77" s="1055"/>
      <c r="DP77" s="1055"/>
      <c r="DQ77" s="1055"/>
      <c r="DR77" s="1056"/>
      <c r="DS77" s="1057" t="s">
        <v>754</v>
      </c>
      <c r="DT77" s="1055"/>
      <c r="DU77" s="1055"/>
      <c r="DV77" s="1055"/>
      <c r="DW77" s="1055"/>
      <c r="DX77" s="1055"/>
      <c r="DY77" s="1055" t="s">
        <v>751</v>
      </c>
      <c r="DZ77" s="1055"/>
      <c r="EA77" s="1055"/>
      <c r="EB77" s="1055"/>
      <c r="EC77" s="1055"/>
      <c r="ED77" s="1055"/>
      <c r="EE77" s="1055" t="s">
        <v>752</v>
      </c>
      <c r="EF77" s="1055"/>
      <c r="EG77" s="1055"/>
      <c r="EH77" s="1055"/>
      <c r="EI77" s="1055"/>
      <c r="EJ77" s="1055"/>
      <c r="EK77" s="1055" t="s">
        <v>753</v>
      </c>
      <c r="EL77" s="1055"/>
      <c r="EM77" s="1055"/>
      <c r="EN77" s="1055"/>
      <c r="EO77" s="1055"/>
      <c r="EP77" s="1056"/>
    </row>
    <row r="78" spans="1:146" ht="24.75" customHeight="1" thickBot="1" x14ac:dyDescent="0.2">
      <c r="A78" s="1060"/>
      <c r="B78" s="1061"/>
      <c r="C78" s="1049" t="s">
        <v>755</v>
      </c>
      <c r="D78" s="1047"/>
      <c r="E78" s="1047"/>
      <c r="F78" s="1047"/>
      <c r="G78" s="1047"/>
      <c r="H78" s="1047"/>
      <c r="I78" s="1047" t="s">
        <v>755</v>
      </c>
      <c r="J78" s="1047"/>
      <c r="K78" s="1047"/>
      <c r="L78" s="1047"/>
      <c r="M78" s="1047"/>
      <c r="N78" s="1047"/>
      <c r="O78" s="1047" t="s">
        <v>755</v>
      </c>
      <c r="P78" s="1047"/>
      <c r="Q78" s="1047"/>
      <c r="R78" s="1047"/>
      <c r="S78" s="1047"/>
      <c r="T78" s="1047"/>
      <c r="U78" s="1047" t="s">
        <v>755</v>
      </c>
      <c r="V78" s="1047"/>
      <c r="W78" s="1047"/>
      <c r="X78" s="1047"/>
      <c r="Y78" s="1047"/>
      <c r="Z78" s="1048"/>
      <c r="AA78" s="1049" t="s">
        <v>755</v>
      </c>
      <c r="AB78" s="1047"/>
      <c r="AC78" s="1047"/>
      <c r="AD78" s="1047"/>
      <c r="AE78" s="1047"/>
      <c r="AF78" s="1047"/>
      <c r="AG78" s="1047" t="s">
        <v>755</v>
      </c>
      <c r="AH78" s="1047"/>
      <c r="AI78" s="1047"/>
      <c r="AJ78" s="1047"/>
      <c r="AK78" s="1047"/>
      <c r="AL78" s="1047"/>
      <c r="AM78" s="1047" t="s">
        <v>755</v>
      </c>
      <c r="AN78" s="1047"/>
      <c r="AO78" s="1047"/>
      <c r="AP78" s="1047"/>
      <c r="AQ78" s="1047"/>
      <c r="AR78" s="1047"/>
      <c r="AS78" s="1047" t="s">
        <v>755</v>
      </c>
      <c r="AT78" s="1047"/>
      <c r="AU78" s="1047"/>
      <c r="AV78" s="1047"/>
      <c r="AW78" s="1047"/>
      <c r="AX78" s="1048"/>
      <c r="AY78" s="1049" t="s">
        <v>755</v>
      </c>
      <c r="AZ78" s="1047"/>
      <c r="BA78" s="1047"/>
      <c r="BB78" s="1047"/>
      <c r="BC78" s="1047"/>
      <c r="BD78" s="1047"/>
      <c r="BE78" s="1047" t="s">
        <v>755</v>
      </c>
      <c r="BF78" s="1047"/>
      <c r="BG78" s="1047"/>
      <c r="BH78" s="1047"/>
      <c r="BI78" s="1047"/>
      <c r="BJ78" s="1047"/>
      <c r="BK78" s="1047" t="s">
        <v>755</v>
      </c>
      <c r="BL78" s="1047"/>
      <c r="BM78" s="1047"/>
      <c r="BN78" s="1047"/>
      <c r="BO78" s="1047"/>
      <c r="BP78" s="1047"/>
      <c r="BQ78" s="1047" t="s">
        <v>755</v>
      </c>
      <c r="BR78" s="1047"/>
      <c r="BS78" s="1047"/>
      <c r="BT78" s="1047"/>
      <c r="BU78" s="1047"/>
      <c r="BV78" s="1048"/>
      <c r="BW78" s="1049" t="s">
        <v>755</v>
      </c>
      <c r="BX78" s="1047"/>
      <c r="BY78" s="1047"/>
      <c r="BZ78" s="1047"/>
      <c r="CA78" s="1047"/>
      <c r="CB78" s="1047"/>
      <c r="CC78" s="1047" t="s">
        <v>755</v>
      </c>
      <c r="CD78" s="1047"/>
      <c r="CE78" s="1047"/>
      <c r="CF78" s="1047"/>
      <c r="CG78" s="1047"/>
      <c r="CH78" s="1047"/>
      <c r="CI78" s="1047" t="s">
        <v>755</v>
      </c>
      <c r="CJ78" s="1047"/>
      <c r="CK78" s="1047"/>
      <c r="CL78" s="1047"/>
      <c r="CM78" s="1047"/>
      <c r="CN78" s="1047"/>
      <c r="CO78" s="1047" t="s">
        <v>755</v>
      </c>
      <c r="CP78" s="1047"/>
      <c r="CQ78" s="1047"/>
      <c r="CR78" s="1047"/>
      <c r="CS78" s="1047"/>
      <c r="CT78" s="1048"/>
      <c r="CU78" s="1049" t="s">
        <v>755</v>
      </c>
      <c r="CV78" s="1047"/>
      <c r="CW78" s="1047"/>
      <c r="CX78" s="1047"/>
      <c r="CY78" s="1047"/>
      <c r="CZ78" s="1047"/>
      <c r="DA78" s="1047" t="s">
        <v>755</v>
      </c>
      <c r="DB78" s="1047"/>
      <c r="DC78" s="1047"/>
      <c r="DD78" s="1047"/>
      <c r="DE78" s="1047"/>
      <c r="DF78" s="1047"/>
      <c r="DG78" s="1047" t="s">
        <v>755</v>
      </c>
      <c r="DH78" s="1047"/>
      <c r="DI78" s="1047"/>
      <c r="DJ78" s="1047"/>
      <c r="DK78" s="1047"/>
      <c r="DL78" s="1047"/>
      <c r="DM78" s="1047" t="s">
        <v>755</v>
      </c>
      <c r="DN78" s="1047"/>
      <c r="DO78" s="1047"/>
      <c r="DP78" s="1047"/>
      <c r="DQ78" s="1047"/>
      <c r="DR78" s="1048"/>
      <c r="DS78" s="1049" t="s">
        <v>755</v>
      </c>
      <c r="DT78" s="1047"/>
      <c r="DU78" s="1047"/>
      <c r="DV78" s="1047"/>
      <c r="DW78" s="1047"/>
      <c r="DX78" s="1047"/>
      <c r="DY78" s="1047" t="s">
        <v>755</v>
      </c>
      <c r="DZ78" s="1047"/>
      <c r="EA78" s="1047"/>
      <c r="EB78" s="1047"/>
      <c r="EC78" s="1047"/>
      <c r="ED78" s="1047"/>
      <c r="EE78" s="1047" t="s">
        <v>755</v>
      </c>
      <c r="EF78" s="1047"/>
      <c r="EG78" s="1047"/>
      <c r="EH78" s="1047"/>
      <c r="EI78" s="1047"/>
      <c r="EJ78" s="1047"/>
      <c r="EK78" s="1047" t="s">
        <v>755</v>
      </c>
      <c r="EL78" s="1047"/>
      <c r="EM78" s="1047"/>
      <c r="EN78" s="1047"/>
      <c r="EO78" s="1047"/>
      <c r="EP78" s="1048"/>
    </row>
    <row r="79" spans="1:146" ht="19.5" customHeight="1" thickBot="1" x14ac:dyDescent="0.2">
      <c r="A79" s="624" t="s">
        <v>235</v>
      </c>
      <c r="B79" s="385" t="s">
        <v>484</v>
      </c>
      <c r="C79" s="489"/>
      <c r="D79" s="490"/>
      <c r="E79" s="490"/>
      <c r="F79" s="490"/>
      <c r="G79" s="490"/>
      <c r="H79" s="490"/>
      <c r="I79" s="490"/>
      <c r="J79" s="490"/>
      <c r="K79" s="490"/>
      <c r="L79" s="490"/>
      <c r="M79" s="490"/>
      <c r="N79" s="490"/>
      <c r="O79" s="490"/>
      <c r="P79" s="490"/>
      <c r="Q79" s="490"/>
      <c r="R79" s="490"/>
      <c r="S79" s="490"/>
      <c r="T79" s="490"/>
      <c r="U79" s="490"/>
      <c r="V79" s="490"/>
      <c r="W79" s="490"/>
      <c r="X79" s="490"/>
      <c r="Y79" s="490"/>
      <c r="Z79" s="516"/>
      <c r="AA79" s="489"/>
      <c r="AB79" s="490"/>
      <c r="AC79" s="490"/>
      <c r="AD79" s="490"/>
      <c r="AE79" s="490"/>
      <c r="AF79" s="490"/>
      <c r="AG79" s="490"/>
      <c r="AH79" s="490"/>
      <c r="AI79" s="490"/>
      <c r="AJ79" s="490"/>
      <c r="AK79" s="490"/>
      <c r="AL79" s="490"/>
      <c r="AM79" s="490"/>
      <c r="AN79" s="490"/>
      <c r="AO79" s="490"/>
      <c r="AP79" s="490"/>
      <c r="AQ79" s="490"/>
      <c r="AR79" s="490"/>
      <c r="AS79" s="490"/>
      <c r="AT79" s="490"/>
      <c r="AU79" s="490"/>
      <c r="AV79" s="490"/>
      <c r="AW79" s="490"/>
      <c r="AX79" s="516"/>
      <c r="AY79" s="517"/>
      <c r="AZ79" s="490"/>
      <c r="BA79" s="490"/>
      <c r="BB79" s="490"/>
      <c r="BC79" s="490"/>
      <c r="BD79" s="490"/>
      <c r="BE79" s="490"/>
      <c r="BF79" s="490"/>
      <c r="BG79" s="490"/>
      <c r="BH79" s="490"/>
      <c r="BI79" s="490"/>
      <c r="BJ79" s="490"/>
      <c r="BK79" s="490"/>
      <c r="BL79" s="490"/>
      <c r="BM79" s="490"/>
      <c r="BN79" s="490"/>
      <c r="BO79" s="490"/>
      <c r="BP79" s="490"/>
      <c r="BQ79" s="490"/>
      <c r="BR79" s="490"/>
      <c r="BS79" s="490"/>
      <c r="BT79" s="490"/>
      <c r="BU79" s="490"/>
      <c r="BV79" s="507"/>
      <c r="BW79" s="489"/>
      <c r="BX79" s="490"/>
      <c r="BY79" s="490"/>
      <c r="BZ79" s="490"/>
      <c r="CA79" s="490"/>
      <c r="CB79" s="490"/>
      <c r="CC79" s="490"/>
      <c r="CD79" s="490"/>
      <c r="CE79" s="490"/>
      <c r="CF79" s="490"/>
      <c r="CG79" s="490"/>
      <c r="CH79" s="490"/>
      <c r="CI79" s="500"/>
      <c r="CJ79" s="500"/>
      <c r="CK79" s="500"/>
      <c r="CL79" s="500"/>
      <c r="CM79" s="500"/>
      <c r="CN79" s="500"/>
      <c r="CO79" s="490"/>
      <c r="CP79" s="490"/>
      <c r="CQ79" s="490"/>
      <c r="CR79" s="490"/>
      <c r="CS79" s="490"/>
      <c r="CT79" s="516"/>
      <c r="CU79" s="489"/>
      <c r="CV79" s="490"/>
      <c r="CW79" s="490"/>
      <c r="CX79" s="490"/>
      <c r="CY79" s="490"/>
      <c r="CZ79" s="490"/>
      <c r="DA79" s="490"/>
      <c r="DB79" s="490"/>
      <c r="DC79" s="490"/>
      <c r="DD79" s="490"/>
      <c r="DE79" s="490"/>
      <c r="DF79" s="490"/>
      <c r="DG79" s="490"/>
      <c r="DH79" s="490"/>
      <c r="DI79" s="490"/>
      <c r="DJ79" s="490"/>
      <c r="DK79" s="490"/>
      <c r="DL79" s="490"/>
      <c r="DM79" s="490"/>
      <c r="DN79" s="490"/>
      <c r="DO79" s="490"/>
      <c r="DP79" s="490"/>
      <c r="DQ79" s="490"/>
      <c r="DR79" s="516"/>
      <c r="DS79" s="517"/>
      <c r="DT79" s="490"/>
      <c r="DU79" s="490"/>
      <c r="DV79" s="490"/>
      <c r="DW79" s="490"/>
      <c r="DX79" s="490"/>
      <c r="DY79" s="490"/>
      <c r="DZ79" s="490"/>
      <c r="EA79" s="490"/>
      <c r="EB79" s="490"/>
      <c r="EC79" s="490"/>
      <c r="ED79" s="490"/>
      <c r="EE79" s="490"/>
      <c r="EF79" s="490"/>
      <c r="EG79" s="490"/>
      <c r="EH79" s="490"/>
      <c r="EI79" s="490"/>
      <c r="EJ79" s="490"/>
      <c r="EK79" s="490"/>
      <c r="EL79" s="490"/>
      <c r="EM79" s="490"/>
      <c r="EN79" s="490"/>
      <c r="EO79" s="490"/>
      <c r="EP79" s="507"/>
    </row>
    <row r="80" spans="1:146" ht="19.5" customHeight="1" x14ac:dyDescent="0.15">
      <c r="A80" s="624" t="s">
        <v>236</v>
      </c>
      <c r="B80" s="385" t="s">
        <v>485</v>
      </c>
      <c r="C80" s="525"/>
      <c r="D80" s="526"/>
      <c r="E80" s="526"/>
      <c r="F80" s="526"/>
      <c r="G80" s="526"/>
      <c r="H80" s="526"/>
      <c r="I80" s="526"/>
      <c r="J80" s="526"/>
      <c r="K80" s="526"/>
      <c r="L80" s="526"/>
      <c r="M80" s="526"/>
      <c r="N80" s="526"/>
      <c r="O80" s="526"/>
      <c r="P80" s="526"/>
      <c r="Q80" s="526"/>
      <c r="R80" s="526"/>
      <c r="S80" s="526"/>
      <c r="T80" s="526"/>
      <c r="U80" s="526"/>
      <c r="V80" s="526"/>
      <c r="W80" s="526"/>
      <c r="X80" s="526"/>
      <c r="Y80" s="526"/>
      <c r="Z80" s="527"/>
      <c r="AA80" s="525"/>
      <c r="AB80" s="526"/>
      <c r="AC80" s="526"/>
      <c r="AD80" s="526"/>
      <c r="AE80" s="526"/>
      <c r="AF80" s="526"/>
      <c r="AG80" s="526"/>
      <c r="AH80" s="526"/>
      <c r="AI80" s="526"/>
      <c r="AJ80" s="526"/>
      <c r="AK80" s="526"/>
      <c r="AL80" s="526"/>
      <c r="AM80" s="526"/>
      <c r="AN80" s="526"/>
      <c r="AO80" s="526"/>
      <c r="AP80" s="526"/>
      <c r="AQ80" s="526"/>
      <c r="AR80" s="526"/>
      <c r="AS80" s="526"/>
      <c r="AT80" s="526"/>
      <c r="AU80" s="526"/>
      <c r="AV80" s="526"/>
      <c r="AW80" s="526"/>
      <c r="AX80" s="527"/>
      <c r="AY80" s="525"/>
      <c r="AZ80" s="526"/>
      <c r="BA80" s="526"/>
      <c r="BB80" s="526"/>
      <c r="BC80" s="526"/>
      <c r="BD80" s="526"/>
      <c r="BE80" s="526"/>
      <c r="BF80" s="526"/>
      <c r="BG80" s="526"/>
      <c r="BH80" s="526"/>
      <c r="BI80" s="526"/>
      <c r="BJ80" s="526"/>
      <c r="BK80" s="526"/>
      <c r="BL80" s="526"/>
      <c r="BM80" s="526"/>
      <c r="BN80" s="526"/>
      <c r="BO80" s="526"/>
      <c r="BP80" s="526"/>
      <c r="BQ80" s="526"/>
      <c r="BR80" s="526"/>
      <c r="BS80" s="526"/>
      <c r="BT80" s="526"/>
      <c r="BU80" s="526"/>
      <c r="BV80" s="535"/>
      <c r="BW80" s="525"/>
      <c r="BX80" s="526"/>
      <c r="BY80" s="526"/>
      <c r="BZ80" s="526"/>
      <c r="CA80" s="526"/>
      <c r="CB80" s="526"/>
      <c r="CC80" s="526"/>
      <c r="CD80" s="526"/>
      <c r="CE80" s="526"/>
      <c r="CF80" s="526"/>
      <c r="CG80" s="526"/>
      <c r="CH80" s="526"/>
      <c r="CI80" s="530"/>
      <c r="CJ80" s="530"/>
      <c r="CK80" s="530"/>
      <c r="CL80" s="530"/>
      <c r="CM80" s="530"/>
      <c r="CN80" s="530"/>
      <c r="CO80" s="526"/>
      <c r="CP80" s="526"/>
      <c r="CQ80" s="526"/>
      <c r="CR80" s="526"/>
      <c r="CS80" s="526"/>
      <c r="CT80" s="527"/>
      <c r="CU80" s="525"/>
      <c r="CV80" s="526"/>
      <c r="CW80" s="526"/>
      <c r="CX80" s="526"/>
      <c r="CY80" s="526"/>
      <c r="CZ80" s="526"/>
      <c r="DA80" s="526"/>
      <c r="DB80" s="526"/>
      <c r="DC80" s="526"/>
      <c r="DD80" s="526"/>
      <c r="DE80" s="526"/>
      <c r="DF80" s="526"/>
      <c r="DG80" s="526"/>
      <c r="DH80" s="526"/>
      <c r="DI80" s="526"/>
      <c r="DJ80" s="526"/>
      <c r="DK80" s="526"/>
      <c r="DL80" s="526"/>
      <c r="DM80" s="526"/>
      <c r="DN80" s="526"/>
      <c r="DO80" s="526"/>
      <c r="DP80" s="526"/>
      <c r="DQ80" s="526"/>
      <c r="DR80" s="527"/>
      <c r="DS80" s="525"/>
      <c r="DT80" s="526"/>
      <c r="DU80" s="526"/>
      <c r="DV80" s="526"/>
      <c r="DW80" s="526"/>
      <c r="DX80" s="526"/>
      <c r="DY80" s="526"/>
      <c r="DZ80" s="526"/>
      <c r="EA80" s="526"/>
      <c r="EB80" s="526"/>
      <c r="EC80" s="526"/>
      <c r="ED80" s="526"/>
      <c r="EE80" s="526"/>
      <c r="EF80" s="526"/>
      <c r="EG80" s="526"/>
      <c r="EH80" s="526"/>
      <c r="EI80" s="526"/>
      <c r="EJ80" s="526"/>
      <c r="EK80" s="526"/>
      <c r="EL80" s="526"/>
      <c r="EM80" s="526"/>
      <c r="EN80" s="526"/>
      <c r="EO80" s="526"/>
      <c r="EP80" s="535"/>
    </row>
    <row r="81" spans="1:146" ht="38.25" customHeight="1" thickBot="1" x14ac:dyDescent="0.2">
      <c r="A81" s="624" t="s">
        <v>244</v>
      </c>
      <c r="B81" s="385" t="s">
        <v>584</v>
      </c>
      <c r="C81" s="508"/>
      <c r="D81" s="509"/>
      <c r="E81" s="509"/>
      <c r="F81" s="509"/>
      <c r="G81" s="509"/>
      <c r="H81" s="509"/>
      <c r="I81" s="509"/>
      <c r="J81" s="509"/>
      <c r="K81" s="509"/>
      <c r="L81" s="509"/>
      <c r="M81" s="509"/>
      <c r="N81" s="509"/>
      <c r="O81" s="509"/>
      <c r="P81" s="509"/>
      <c r="Q81" s="509"/>
      <c r="R81" s="509"/>
      <c r="S81" s="509"/>
      <c r="T81" s="509"/>
      <c r="U81" s="509"/>
      <c r="V81" s="509"/>
      <c r="W81" s="509"/>
      <c r="X81" s="509"/>
      <c r="Y81" s="509"/>
      <c r="Z81" s="515"/>
      <c r="AA81" s="508"/>
      <c r="AB81" s="509"/>
      <c r="AC81" s="509"/>
      <c r="AD81" s="509"/>
      <c r="AE81" s="509"/>
      <c r="AF81" s="509"/>
      <c r="AG81" s="509"/>
      <c r="AH81" s="509"/>
      <c r="AI81" s="509"/>
      <c r="AJ81" s="509"/>
      <c r="AK81" s="509"/>
      <c r="AL81" s="509"/>
      <c r="AM81" s="509"/>
      <c r="AN81" s="509"/>
      <c r="AO81" s="509"/>
      <c r="AP81" s="509"/>
      <c r="AQ81" s="509"/>
      <c r="AR81" s="509"/>
      <c r="AS81" s="509"/>
      <c r="AT81" s="509"/>
      <c r="AU81" s="509"/>
      <c r="AV81" s="509"/>
      <c r="AW81" s="509"/>
      <c r="AX81" s="515"/>
      <c r="AY81" s="508"/>
      <c r="AZ81" s="509"/>
      <c r="BA81" s="509"/>
      <c r="BB81" s="509"/>
      <c r="BC81" s="509"/>
      <c r="BD81" s="509"/>
      <c r="BE81" s="509"/>
      <c r="BF81" s="509"/>
      <c r="BG81" s="509"/>
      <c r="BH81" s="509"/>
      <c r="BI81" s="509"/>
      <c r="BJ81" s="509"/>
      <c r="BK81" s="509"/>
      <c r="BL81" s="509"/>
      <c r="BM81" s="509"/>
      <c r="BN81" s="509"/>
      <c r="BO81" s="509"/>
      <c r="BP81" s="509"/>
      <c r="BQ81" s="509"/>
      <c r="BR81" s="509"/>
      <c r="BS81" s="509"/>
      <c r="BT81" s="509"/>
      <c r="BU81" s="509"/>
      <c r="BV81" s="515"/>
      <c r="BW81" s="508"/>
      <c r="BX81" s="509"/>
      <c r="BY81" s="509"/>
      <c r="BZ81" s="509"/>
      <c r="CA81" s="509"/>
      <c r="CB81" s="509"/>
      <c r="CC81" s="509"/>
      <c r="CD81" s="509"/>
      <c r="CE81" s="509"/>
      <c r="CF81" s="509"/>
      <c r="CG81" s="509"/>
      <c r="CH81" s="509"/>
      <c r="CI81" s="509"/>
      <c r="CJ81" s="509"/>
      <c r="CK81" s="509"/>
      <c r="CL81" s="509"/>
      <c r="CM81" s="509"/>
      <c r="CN81" s="509"/>
      <c r="CO81" s="520"/>
      <c r="CP81" s="520"/>
      <c r="CQ81" s="520"/>
      <c r="CR81" s="520"/>
      <c r="CS81" s="520"/>
      <c r="CT81" s="521"/>
      <c r="CU81" s="508"/>
      <c r="CV81" s="509"/>
      <c r="CW81" s="509"/>
      <c r="CX81" s="509"/>
      <c r="CY81" s="509"/>
      <c r="CZ81" s="509"/>
      <c r="DA81" s="509"/>
      <c r="DB81" s="509"/>
      <c r="DC81" s="509"/>
      <c r="DD81" s="509"/>
      <c r="DE81" s="509"/>
      <c r="DF81" s="509"/>
      <c r="DG81" s="509"/>
      <c r="DH81" s="509"/>
      <c r="DI81" s="509"/>
      <c r="DJ81" s="509"/>
      <c r="DK81" s="509"/>
      <c r="DL81" s="509"/>
      <c r="DM81" s="509"/>
      <c r="DN81" s="509"/>
      <c r="DO81" s="509"/>
      <c r="DP81" s="509"/>
      <c r="DQ81" s="509"/>
      <c r="DR81" s="515"/>
      <c r="DS81" s="508"/>
      <c r="DT81" s="509"/>
      <c r="DU81" s="509"/>
      <c r="DV81" s="509"/>
      <c r="DW81" s="509"/>
      <c r="DX81" s="509"/>
      <c r="DY81" s="509"/>
      <c r="DZ81" s="509"/>
      <c r="EA81" s="509"/>
      <c r="EB81" s="509"/>
      <c r="EC81" s="509"/>
      <c r="ED81" s="509"/>
      <c r="EE81" s="509"/>
      <c r="EF81" s="509"/>
      <c r="EG81" s="509"/>
      <c r="EH81" s="509"/>
      <c r="EI81" s="509"/>
      <c r="EJ81" s="509"/>
      <c r="EK81" s="509"/>
      <c r="EL81" s="509"/>
      <c r="EM81" s="509"/>
      <c r="EN81" s="509"/>
      <c r="EO81" s="509"/>
      <c r="EP81" s="515"/>
    </row>
    <row r="82" spans="1:146" s="12" customFormat="1" ht="21.75" customHeight="1" thickBot="1" x14ac:dyDescent="0.2">
      <c r="A82" s="488">
        <v>8</v>
      </c>
      <c r="B82" s="1058" t="s">
        <v>500</v>
      </c>
      <c r="C82" s="1058"/>
      <c r="D82" s="1058"/>
      <c r="E82" s="1058"/>
      <c r="F82" s="1058"/>
      <c r="G82" s="1058"/>
      <c r="H82" s="1058"/>
      <c r="I82" s="1058"/>
      <c r="J82" s="1058"/>
      <c r="K82" s="1058"/>
      <c r="L82" s="1058"/>
      <c r="M82" s="1058"/>
      <c r="N82" s="1058"/>
      <c r="O82" s="1058"/>
      <c r="P82" s="1058"/>
      <c r="Q82" s="1058"/>
      <c r="R82" s="1058"/>
      <c r="S82" s="1058"/>
      <c r="T82" s="1058"/>
      <c r="U82" s="1058"/>
      <c r="V82" s="1058"/>
      <c r="W82" s="1058"/>
      <c r="X82" s="1058"/>
      <c r="Y82" s="1058"/>
      <c r="Z82" s="1058"/>
      <c r="AA82" s="1058"/>
      <c r="AB82" s="1058"/>
      <c r="AC82" s="1058"/>
      <c r="AD82" s="1058"/>
      <c r="AE82" s="1058"/>
      <c r="AF82" s="1058"/>
      <c r="AG82" s="1058"/>
      <c r="AH82" s="1058"/>
      <c r="AI82" s="1058"/>
      <c r="AJ82" s="1058"/>
      <c r="AK82" s="1058"/>
      <c r="AL82" s="1058"/>
      <c r="AM82" s="1058"/>
      <c r="AN82" s="1058"/>
      <c r="AO82" s="1058"/>
      <c r="AP82" s="1058"/>
      <c r="AQ82" s="1058"/>
      <c r="AR82" s="1058"/>
      <c r="AS82" s="1058"/>
      <c r="AT82" s="1058"/>
      <c r="AU82" s="1058"/>
      <c r="AV82" s="1058"/>
      <c r="AW82" s="1058"/>
      <c r="AX82" s="1058"/>
      <c r="AY82" s="1058"/>
      <c r="AZ82" s="1058"/>
      <c r="BA82" s="1058"/>
      <c r="BB82" s="1058"/>
      <c r="BC82" s="1058"/>
      <c r="BD82" s="1058"/>
      <c r="BE82" s="1058"/>
      <c r="BF82" s="1058"/>
      <c r="BG82" s="1058"/>
      <c r="BH82" s="1058"/>
      <c r="BI82" s="1058"/>
      <c r="BJ82" s="1058"/>
      <c r="BK82" s="1058"/>
      <c r="BL82" s="1058"/>
      <c r="BM82" s="1058"/>
      <c r="BN82" s="1058"/>
      <c r="BO82" s="1058"/>
      <c r="BP82" s="1058"/>
      <c r="BQ82" s="1058"/>
      <c r="BR82" s="1058"/>
      <c r="BS82" s="1058"/>
      <c r="BT82" s="1058"/>
      <c r="BU82" s="1058"/>
      <c r="BV82" s="1058"/>
      <c r="BW82" s="1058"/>
      <c r="BX82" s="1058"/>
      <c r="BY82" s="1058"/>
      <c r="BZ82" s="1058"/>
      <c r="CA82" s="1058"/>
      <c r="CB82" s="1058"/>
      <c r="CC82" s="1058"/>
      <c r="CD82" s="1058"/>
      <c r="CE82" s="1058"/>
      <c r="CF82" s="1058"/>
      <c r="CG82" s="1058"/>
      <c r="CH82" s="1058"/>
      <c r="CI82" s="1058"/>
      <c r="CJ82" s="1058"/>
      <c r="CK82" s="1058"/>
      <c r="CL82" s="1058"/>
      <c r="CM82" s="1058"/>
      <c r="CN82" s="1058"/>
      <c r="CO82" s="1058"/>
      <c r="CP82" s="1058"/>
      <c r="CQ82" s="1058"/>
      <c r="CR82" s="1058"/>
      <c r="CS82" s="1058"/>
      <c r="CT82" s="1058"/>
      <c r="CU82" s="1058"/>
      <c r="CV82" s="1058"/>
      <c r="CW82" s="1058"/>
      <c r="CX82" s="1058"/>
      <c r="CY82" s="1058"/>
      <c r="CZ82" s="1058"/>
      <c r="DA82" s="1058"/>
      <c r="DB82" s="1058"/>
      <c r="DC82" s="1058"/>
      <c r="DD82" s="1058"/>
      <c r="DE82" s="1058"/>
      <c r="DF82" s="1058"/>
      <c r="DG82" s="1058"/>
      <c r="DH82" s="1058"/>
      <c r="DI82" s="1058"/>
      <c r="DJ82" s="1058"/>
      <c r="DK82" s="1058"/>
      <c r="DL82" s="1058"/>
      <c r="DM82" s="1058"/>
      <c r="DN82" s="1058"/>
      <c r="DO82" s="1058"/>
      <c r="DP82" s="1058"/>
      <c r="DQ82" s="1058"/>
      <c r="DR82" s="1058"/>
      <c r="DS82" s="1058"/>
      <c r="DT82" s="1058"/>
      <c r="DU82" s="1058"/>
      <c r="DV82" s="1058"/>
      <c r="DW82" s="1058"/>
      <c r="DX82" s="1058"/>
      <c r="DY82" s="1058"/>
      <c r="DZ82" s="1058"/>
      <c r="EA82" s="1058"/>
      <c r="EB82" s="1058"/>
      <c r="EC82" s="1058"/>
      <c r="ED82" s="1058"/>
      <c r="EE82" s="1058"/>
      <c r="EF82" s="1058"/>
      <c r="EG82" s="1058"/>
      <c r="EH82" s="1058"/>
      <c r="EI82" s="1058"/>
      <c r="EJ82" s="1058"/>
      <c r="EK82" s="1058"/>
      <c r="EL82" s="1058"/>
      <c r="EM82" s="1058"/>
      <c r="EN82" s="1058"/>
      <c r="EO82" s="1058"/>
      <c r="EP82" s="1059"/>
    </row>
    <row r="83" spans="1:146" ht="15" customHeight="1" x14ac:dyDescent="0.15">
      <c r="A83" s="1060" t="s">
        <v>0</v>
      </c>
      <c r="B83" s="1061" t="s">
        <v>743</v>
      </c>
      <c r="C83" s="1052" t="s">
        <v>744</v>
      </c>
      <c r="D83" s="1053"/>
      <c r="E83" s="1053"/>
      <c r="F83" s="1053"/>
      <c r="G83" s="1053"/>
      <c r="H83" s="1053"/>
      <c r="I83" s="1053"/>
      <c r="J83" s="1053"/>
      <c r="K83" s="1053"/>
      <c r="L83" s="1053"/>
      <c r="M83" s="1053"/>
      <c r="N83" s="1053"/>
      <c r="O83" s="1053"/>
      <c r="P83" s="1053"/>
      <c r="Q83" s="1053"/>
      <c r="R83" s="1053"/>
      <c r="S83" s="1053"/>
      <c r="T83" s="1053"/>
      <c r="U83" s="1053"/>
      <c r="V83" s="1053"/>
      <c r="W83" s="1053"/>
      <c r="X83" s="1053"/>
      <c r="Y83" s="1053"/>
      <c r="Z83" s="1054"/>
      <c r="AA83" s="1052" t="s">
        <v>745</v>
      </c>
      <c r="AB83" s="1053"/>
      <c r="AC83" s="1053"/>
      <c r="AD83" s="1053"/>
      <c r="AE83" s="1053"/>
      <c r="AF83" s="1053"/>
      <c r="AG83" s="1053"/>
      <c r="AH83" s="1053"/>
      <c r="AI83" s="1053"/>
      <c r="AJ83" s="1053"/>
      <c r="AK83" s="1053"/>
      <c r="AL83" s="1053"/>
      <c r="AM83" s="1053"/>
      <c r="AN83" s="1053"/>
      <c r="AO83" s="1053"/>
      <c r="AP83" s="1053"/>
      <c r="AQ83" s="1053"/>
      <c r="AR83" s="1053"/>
      <c r="AS83" s="1053"/>
      <c r="AT83" s="1053"/>
      <c r="AU83" s="1053"/>
      <c r="AV83" s="1053"/>
      <c r="AW83" s="1053"/>
      <c r="AX83" s="1054"/>
      <c r="AY83" s="1052" t="s">
        <v>746</v>
      </c>
      <c r="AZ83" s="1053"/>
      <c r="BA83" s="1053"/>
      <c r="BB83" s="1053"/>
      <c r="BC83" s="1053"/>
      <c r="BD83" s="1053"/>
      <c r="BE83" s="1053"/>
      <c r="BF83" s="1053"/>
      <c r="BG83" s="1053"/>
      <c r="BH83" s="1053"/>
      <c r="BI83" s="1053"/>
      <c r="BJ83" s="1053"/>
      <c r="BK83" s="1053"/>
      <c r="BL83" s="1053"/>
      <c r="BM83" s="1053"/>
      <c r="BN83" s="1053"/>
      <c r="BO83" s="1053"/>
      <c r="BP83" s="1053"/>
      <c r="BQ83" s="1053"/>
      <c r="BR83" s="1053"/>
      <c r="BS83" s="1053"/>
      <c r="BT83" s="1053"/>
      <c r="BU83" s="1053"/>
      <c r="BV83" s="1054"/>
      <c r="BW83" s="1052" t="s">
        <v>747</v>
      </c>
      <c r="BX83" s="1053"/>
      <c r="BY83" s="1053"/>
      <c r="BZ83" s="1053"/>
      <c r="CA83" s="1053"/>
      <c r="CB83" s="1053"/>
      <c r="CC83" s="1053"/>
      <c r="CD83" s="1053"/>
      <c r="CE83" s="1053"/>
      <c r="CF83" s="1053"/>
      <c r="CG83" s="1053"/>
      <c r="CH83" s="1053"/>
      <c r="CI83" s="1053"/>
      <c r="CJ83" s="1053"/>
      <c r="CK83" s="1053"/>
      <c r="CL83" s="1053"/>
      <c r="CM83" s="1053"/>
      <c r="CN83" s="1053"/>
      <c r="CO83" s="1053"/>
      <c r="CP83" s="1053"/>
      <c r="CQ83" s="1053"/>
      <c r="CR83" s="1053"/>
      <c r="CS83" s="1053"/>
      <c r="CT83" s="1054"/>
      <c r="CU83" s="1052" t="s">
        <v>748</v>
      </c>
      <c r="CV83" s="1053"/>
      <c r="CW83" s="1053"/>
      <c r="CX83" s="1053"/>
      <c r="CY83" s="1053"/>
      <c r="CZ83" s="1053"/>
      <c r="DA83" s="1053"/>
      <c r="DB83" s="1053"/>
      <c r="DC83" s="1053"/>
      <c r="DD83" s="1053"/>
      <c r="DE83" s="1053"/>
      <c r="DF83" s="1053"/>
      <c r="DG83" s="1053"/>
      <c r="DH83" s="1053"/>
      <c r="DI83" s="1053"/>
      <c r="DJ83" s="1053"/>
      <c r="DK83" s="1053"/>
      <c r="DL83" s="1053"/>
      <c r="DM83" s="1053"/>
      <c r="DN83" s="1053"/>
      <c r="DO83" s="1053"/>
      <c r="DP83" s="1053"/>
      <c r="DQ83" s="1053"/>
      <c r="DR83" s="1054"/>
      <c r="DS83" s="1052" t="s">
        <v>749</v>
      </c>
      <c r="DT83" s="1053"/>
      <c r="DU83" s="1053"/>
      <c r="DV83" s="1053"/>
      <c r="DW83" s="1053"/>
      <c r="DX83" s="1053"/>
      <c r="DY83" s="1053"/>
      <c r="DZ83" s="1053"/>
      <c r="EA83" s="1053"/>
      <c r="EB83" s="1053"/>
      <c r="EC83" s="1053"/>
      <c r="ED83" s="1053"/>
      <c r="EE83" s="1053"/>
      <c r="EF83" s="1053"/>
      <c r="EG83" s="1053"/>
      <c r="EH83" s="1053"/>
      <c r="EI83" s="1053"/>
      <c r="EJ83" s="1053"/>
      <c r="EK83" s="1053"/>
      <c r="EL83" s="1053"/>
      <c r="EM83" s="1053"/>
      <c r="EN83" s="1053"/>
      <c r="EO83" s="1053"/>
      <c r="EP83" s="1054"/>
    </row>
    <row r="84" spans="1:146" ht="14.25" customHeight="1" x14ac:dyDescent="0.15">
      <c r="A84" s="1060"/>
      <c r="B84" s="1061"/>
      <c r="C84" s="1057" t="s">
        <v>750</v>
      </c>
      <c r="D84" s="1055"/>
      <c r="E84" s="1055"/>
      <c r="F84" s="1055"/>
      <c r="G84" s="1055"/>
      <c r="H84" s="1055"/>
      <c r="I84" s="1055" t="s">
        <v>751</v>
      </c>
      <c r="J84" s="1055"/>
      <c r="K84" s="1055"/>
      <c r="L84" s="1055"/>
      <c r="M84" s="1055"/>
      <c r="N84" s="1055"/>
      <c r="O84" s="1055" t="s">
        <v>752</v>
      </c>
      <c r="P84" s="1055"/>
      <c r="Q84" s="1055"/>
      <c r="R84" s="1055"/>
      <c r="S84" s="1055"/>
      <c r="T84" s="1055"/>
      <c r="U84" s="1055" t="s">
        <v>753</v>
      </c>
      <c r="V84" s="1055"/>
      <c r="W84" s="1055"/>
      <c r="X84" s="1055"/>
      <c r="Y84" s="1055"/>
      <c r="Z84" s="1056"/>
      <c r="AA84" s="1057" t="s">
        <v>754</v>
      </c>
      <c r="AB84" s="1055"/>
      <c r="AC84" s="1055"/>
      <c r="AD84" s="1055"/>
      <c r="AE84" s="1055"/>
      <c r="AF84" s="1055"/>
      <c r="AG84" s="1055" t="s">
        <v>751</v>
      </c>
      <c r="AH84" s="1055"/>
      <c r="AI84" s="1055"/>
      <c r="AJ84" s="1055"/>
      <c r="AK84" s="1055"/>
      <c r="AL84" s="1055"/>
      <c r="AM84" s="1055" t="s">
        <v>752</v>
      </c>
      <c r="AN84" s="1055"/>
      <c r="AO84" s="1055"/>
      <c r="AP84" s="1055"/>
      <c r="AQ84" s="1055"/>
      <c r="AR84" s="1055"/>
      <c r="AS84" s="1055" t="s">
        <v>753</v>
      </c>
      <c r="AT84" s="1055"/>
      <c r="AU84" s="1055"/>
      <c r="AV84" s="1055"/>
      <c r="AW84" s="1055"/>
      <c r="AX84" s="1056"/>
      <c r="AY84" s="1057" t="s">
        <v>754</v>
      </c>
      <c r="AZ84" s="1055"/>
      <c r="BA84" s="1055"/>
      <c r="BB84" s="1055"/>
      <c r="BC84" s="1055"/>
      <c r="BD84" s="1055"/>
      <c r="BE84" s="1055" t="s">
        <v>751</v>
      </c>
      <c r="BF84" s="1055"/>
      <c r="BG84" s="1055"/>
      <c r="BH84" s="1055"/>
      <c r="BI84" s="1055"/>
      <c r="BJ84" s="1055"/>
      <c r="BK84" s="1055" t="s">
        <v>752</v>
      </c>
      <c r="BL84" s="1055"/>
      <c r="BM84" s="1055"/>
      <c r="BN84" s="1055"/>
      <c r="BO84" s="1055"/>
      <c r="BP84" s="1055"/>
      <c r="BQ84" s="1055" t="s">
        <v>753</v>
      </c>
      <c r="BR84" s="1055"/>
      <c r="BS84" s="1055"/>
      <c r="BT84" s="1055"/>
      <c r="BU84" s="1055"/>
      <c r="BV84" s="1056"/>
      <c r="BW84" s="1057" t="s">
        <v>750</v>
      </c>
      <c r="BX84" s="1055"/>
      <c r="BY84" s="1055"/>
      <c r="BZ84" s="1055"/>
      <c r="CA84" s="1055"/>
      <c r="CB84" s="1055"/>
      <c r="CC84" s="1055" t="s">
        <v>751</v>
      </c>
      <c r="CD84" s="1055"/>
      <c r="CE84" s="1055"/>
      <c r="CF84" s="1055"/>
      <c r="CG84" s="1055"/>
      <c r="CH84" s="1055"/>
      <c r="CI84" s="1055" t="s">
        <v>752</v>
      </c>
      <c r="CJ84" s="1055"/>
      <c r="CK84" s="1055"/>
      <c r="CL84" s="1055"/>
      <c r="CM84" s="1055"/>
      <c r="CN84" s="1055"/>
      <c r="CO84" s="1055" t="s">
        <v>753</v>
      </c>
      <c r="CP84" s="1055"/>
      <c r="CQ84" s="1055"/>
      <c r="CR84" s="1055"/>
      <c r="CS84" s="1055"/>
      <c r="CT84" s="1056"/>
      <c r="CU84" s="1057" t="s">
        <v>754</v>
      </c>
      <c r="CV84" s="1055"/>
      <c r="CW84" s="1055"/>
      <c r="CX84" s="1055"/>
      <c r="CY84" s="1055"/>
      <c r="CZ84" s="1055"/>
      <c r="DA84" s="1055" t="s">
        <v>751</v>
      </c>
      <c r="DB84" s="1055"/>
      <c r="DC84" s="1055"/>
      <c r="DD84" s="1055"/>
      <c r="DE84" s="1055"/>
      <c r="DF84" s="1055"/>
      <c r="DG84" s="1055" t="s">
        <v>752</v>
      </c>
      <c r="DH84" s="1055"/>
      <c r="DI84" s="1055"/>
      <c r="DJ84" s="1055"/>
      <c r="DK84" s="1055"/>
      <c r="DL84" s="1055"/>
      <c r="DM84" s="1055" t="s">
        <v>753</v>
      </c>
      <c r="DN84" s="1055"/>
      <c r="DO84" s="1055"/>
      <c r="DP84" s="1055"/>
      <c r="DQ84" s="1055"/>
      <c r="DR84" s="1056"/>
      <c r="DS84" s="1057" t="s">
        <v>754</v>
      </c>
      <c r="DT84" s="1055"/>
      <c r="DU84" s="1055"/>
      <c r="DV84" s="1055"/>
      <c r="DW84" s="1055"/>
      <c r="DX84" s="1055"/>
      <c r="DY84" s="1055" t="s">
        <v>751</v>
      </c>
      <c r="DZ84" s="1055"/>
      <c r="EA84" s="1055"/>
      <c r="EB84" s="1055"/>
      <c r="EC84" s="1055"/>
      <c r="ED84" s="1055"/>
      <c r="EE84" s="1055" t="s">
        <v>752</v>
      </c>
      <c r="EF84" s="1055"/>
      <c r="EG84" s="1055"/>
      <c r="EH84" s="1055"/>
      <c r="EI84" s="1055"/>
      <c r="EJ84" s="1055"/>
      <c r="EK84" s="1055" t="s">
        <v>753</v>
      </c>
      <c r="EL84" s="1055"/>
      <c r="EM84" s="1055"/>
      <c r="EN84" s="1055"/>
      <c r="EO84" s="1055"/>
      <c r="EP84" s="1056"/>
    </row>
    <row r="85" spans="1:146" ht="24.75" customHeight="1" thickBot="1" x14ac:dyDescent="0.2">
      <c r="A85" s="1060"/>
      <c r="B85" s="1061"/>
      <c r="C85" s="1049" t="s">
        <v>755</v>
      </c>
      <c r="D85" s="1047"/>
      <c r="E85" s="1047"/>
      <c r="F85" s="1047"/>
      <c r="G85" s="1047"/>
      <c r="H85" s="1047"/>
      <c r="I85" s="1047" t="s">
        <v>755</v>
      </c>
      <c r="J85" s="1047"/>
      <c r="K85" s="1047"/>
      <c r="L85" s="1047"/>
      <c r="M85" s="1047"/>
      <c r="N85" s="1047"/>
      <c r="O85" s="1047" t="s">
        <v>755</v>
      </c>
      <c r="P85" s="1047"/>
      <c r="Q85" s="1047"/>
      <c r="R85" s="1047"/>
      <c r="S85" s="1047"/>
      <c r="T85" s="1047"/>
      <c r="U85" s="1047" t="s">
        <v>755</v>
      </c>
      <c r="V85" s="1047"/>
      <c r="W85" s="1047"/>
      <c r="X85" s="1047"/>
      <c r="Y85" s="1047"/>
      <c r="Z85" s="1048"/>
      <c r="AA85" s="1049" t="s">
        <v>755</v>
      </c>
      <c r="AB85" s="1047"/>
      <c r="AC85" s="1047"/>
      <c r="AD85" s="1047"/>
      <c r="AE85" s="1047"/>
      <c r="AF85" s="1047"/>
      <c r="AG85" s="1047" t="s">
        <v>755</v>
      </c>
      <c r="AH85" s="1047"/>
      <c r="AI85" s="1047"/>
      <c r="AJ85" s="1047"/>
      <c r="AK85" s="1047"/>
      <c r="AL85" s="1047"/>
      <c r="AM85" s="1047" t="s">
        <v>755</v>
      </c>
      <c r="AN85" s="1047"/>
      <c r="AO85" s="1047"/>
      <c r="AP85" s="1047"/>
      <c r="AQ85" s="1047"/>
      <c r="AR85" s="1047"/>
      <c r="AS85" s="1047" t="s">
        <v>755</v>
      </c>
      <c r="AT85" s="1047"/>
      <c r="AU85" s="1047"/>
      <c r="AV85" s="1047"/>
      <c r="AW85" s="1047"/>
      <c r="AX85" s="1048"/>
      <c r="AY85" s="1049" t="s">
        <v>755</v>
      </c>
      <c r="AZ85" s="1047"/>
      <c r="BA85" s="1047"/>
      <c r="BB85" s="1047"/>
      <c r="BC85" s="1047"/>
      <c r="BD85" s="1047"/>
      <c r="BE85" s="1047" t="s">
        <v>755</v>
      </c>
      <c r="BF85" s="1047"/>
      <c r="BG85" s="1047"/>
      <c r="BH85" s="1047"/>
      <c r="BI85" s="1047"/>
      <c r="BJ85" s="1047"/>
      <c r="BK85" s="1047" t="s">
        <v>755</v>
      </c>
      <c r="BL85" s="1047"/>
      <c r="BM85" s="1047"/>
      <c r="BN85" s="1047"/>
      <c r="BO85" s="1047"/>
      <c r="BP85" s="1047"/>
      <c r="BQ85" s="1047" t="s">
        <v>755</v>
      </c>
      <c r="BR85" s="1047"/>
      <c r="BS85" s="1047"/>
      <c r="BT85" s="1047"/>
      <c r="BU85" s="1047"/>
      <c r="BV85" s="1048"/>
      <c r="BW85" s="1049" t="s">
        <v>755</v>
      </c>
      <c r="BX85" s="1047"/>
      <c r="BY85" s="1047"/>
      <c r="BZ85" s="1047"/>
      <c r="CA85" s="1047"/>
      <c r="CB85" s="1047"/>
      <c r="CC85" s="1047" t="s">
        <v>755</v>
      </c>
      <c r="CD85" s="1047"/>
      <c r="CE85" s="1047"/>
      <c r="CF85" s="1047"/>
      <c r="CG85" s="1047"/>
      <c r="CH85" s="1047"/>
      <c r="CI85" s="1047" t="s">
        <v>755</v>
      </c>
      <c r="CJ85" s="1047"/>
      <c r="CK85" s="1047"/>
      <c r="CL85" s="1047"/>
      <c r="CM85" s="1047"/>
      <c r="CN85" s="1047"/>
      <c r="CO85" s="1047" t="s">
        <v>755</v>
      </c>
      <c r="CP85" s="1047"/>
      <c r="CQ85" s="1047"/>
      <c r="CR85" s="1047"/>
      <c r="CS85" s="1047"/>
      <c r="CT85" s="1048"/>
      <c r="CU85" s="1049" t="s">
        <v>755</v>
      </c>
      <c r="CV85" s="1047"/>
      <c r="CW85" s="1047"/>
      <c r="CX85" s="1047"/>
      <c r="CY85" s="1047"/>
      <c r="CZ85" s="1047"/>
      <c r="DA85" s="1047" t="s">
        <v>755</v>
      </c>
      <c r="DB85" s="1047"/>
      <c r="DC85" s="1047"/>
      <c r="DD85" s="1047"/>
      <c r="DE85" s="1047"/>
      <c r="DF85" s="1047"/>
      <c r="DG85" s="1047" t="s">
        <v>755</v>
      </c>
      <c r="DH85" s="1047"/>
      <c r="DI85" s="1047"/>
      <c r="DJ85" s="1047"/>
      <c r="DK85" s="1047"/>
      <c r="DL85" s="1047"/>
      <c r="DM85" s="1047" t="s">
        <v>755</v>
      </c>
      <c r="DN85" s="1047"/>
      <c r="DO85" s="1047"/>
      <c r="DP85" s="1047"/>
      <c r="DQ85" s="1047"/>
      <c r="DR85" s="1048"/>
      <c r="DS85" s="1049" t="s">
        <v>755</v>
      </c>
      <c r="DT85" s="1047"/>
      <c r="DU85" s="1047"/>
      <c r="DV85" s="1047"/>
      <c r="DW85" s="1047"/>
      <c r="DX85" s="1047"/>
      <c r="DY85" s="1047" t="s">
        <v>755</v>
      </c>
      <c r="DZ85" s="1047"/>
      <c r="EA85" s="1047"/>
      <c r="EB85" s="1047"/>
      <c r="EC85" s="1047"/>
      <c r="ED85" s="1047"/>
      <c r="EE85" s="1047" t="s">
        <v>755</v>
      </c>
      <c r="EF85" s="1047"/>
      <c r="EG85" s="1047"/>
      <c r="EH85" s="1047"/>
      <c r="EI85" s="1047"/>
      <c r="EJ85" s="1047"/>
      <c r="EK85" s="1047" t="s">
        <v>755</v>
      </c>
      <c r="EL85" s="1047"/>
      <c r="EM85" s="1047"/>
      <c r="EN85" s="1047"/>
      <c r="EO85" s="1047"/>
      <c r="EP85" s="1048"/>
    </row>
    <row r="86" spans="1:146" ht="42.75" customHeight="1" thickBot="1" x14ac:dyDescent="0.2">
      <c r="A86" s="624" t="s">
        <v>237</v>
      </c>
      <c r="B86" s="385" t="s">
        <v>701</v>
      </c>
      <c r="C86" s="489"/>
      <c r="D86" s="490"/>
      <c r="E86" s="490"/>
      <c r="F86" s="490"/>
      <c r="G86" s="490"/>
      <c r="H86" s="490"/>
      <c r="I86" s="490"/>
      <c r="J86" s="490"/>
      <c r="K86" s="490"/>
      <c r="L86" s="490"/>
      <c r="M86" s="490"/>
      <c r="N86" s="490"/>
      <c r="O86" s="490"/>
      <c r="P86" s="490"/>
      <c r="Q86" s="490"/>
      <c r="R86" s="490"/>
      <c r="S86" s="490"/>
      <c r="T86" s="490"/>
      <c r="U86" s="490"/>
      <c r="V86" s="490"/>
      <c r="W86" s="490"/>
      <c r="X86" s="490"/>
      <c r="Y86" s="490"/>
      <c r="Z86" s="516"/>
      <c r="AA86" s="489"/>
      <c r="AB86" s="490"/>
      <c r="AC86" s="490"/>
      <c r="AD86" s="490"/>
      <c r="AE86" s="490"/>
      <c r="AF86" s="490"/>
      <c r="AG86" s="490"/>
      <c r="AH86" s="490"/>
      <c r="AI86" s="490"/>
      <c r="AJ86" s="490"/>
      <c r="AK86" s="490"/>
      <c r="AL86" s="490"/>
      <c r="AM86" s="490"/>
      <c r="AN86" s="490"/>
      <c r="AO86" s="490"/>
      <c r="AP86" s="490"/>
      <c r="AQ86" s="490"/>
      <c r="AR86" s="490"/>
      <c r="AS86" s="490"/>
      <c r="AT86" s="490"/>
      <c r="AU86" s="490"/>
      <c r="AV86" s="490"/>
      <c r="AW86" s="490"/>
      <c r="AX86" s="516"/>
      <c r="AY86" s="517"/>
      <c r="AZ86" s="490"/>
      <c r="BA86" s="490"/>
      <c r="BB86" s="490"/>
      <c r="BC86" s="490"/>
      <c r="BD86" s="490"/>
      <c r="BE86" s="490"/>
      <c r="BF86" s="490"/>
      <c r="BG86" s="490"/>
      <c r="BH86" s="490"/>
      <c r="BI86" s="490"/>
      <c r="BJ86" s="490"/>
      <c r="BK86" s="490"/>
      <c r="BL86" s="490"/>
      <c r="BM86" s="490"/>
      <c r="BN86" s="490"/>
      <c r="BO86" s="490"/>
      <c r="BP86" s="490"/>
      <c r="BQ86" s="490"/>
      <c r="BR86" s="490"/>
      <c r="BS86" s="490"/>
      <c r="BT86" s="490"/>
      <c r="BU86" s="490"/>
      <c r="BV86" s="507"/>
      <c r="BW86" s="489"/>
      <c r="BX86" s="490"/>
      <c r="BY86" s="490"/>
      <c r="BZ86" s="490"/>
      <c r="CA86" s="490"/>
      <c r="CB86" s="490"/>
      <c r="CC86" s="490"/>
      <c r="CD86" s="490"/>
      <c r="CE86" s="490"/>
      <c r="CF86" s="490"/>
      <c r="CG86" s="490"/>
      <c r="CH86" s="490"/>
      <c r="CI86" s="490"/>
      <c r="CJ86" s="490"/>
      <c r="CK86" s="490"/>
      <c r="CL86" s="490"/>
      <c r="CM86" s="490"/>
      <c r="CN86" s="490"/>
      <c r="CO86" s="490"/>
      <c r="CP86" s="490"/>
      <c r="CQ86" s="490"/>
      <c r="CR86" s="490"/>
      <c r="CS86" s="490"/>
      <c r="CT86" s="516"/>
      <c r="CU86" s="502"/>
      <c r="CV86" s="503"/>
      <c r="CW86" s="503"/>
      <c r="CX86" s="503"/>
      <c r="CY86" s="503"/>
      <c r="CZ86" s="503"/>
      <c r="DA86" s="490"/>
      <c r="DB86" s="490"/>
      <c r="DC86" s="490"/>
      <c r="DD86" s="490"/>
      <c r="DE86" s="490"/>
      <c r="DF86" s="490"/>
      <c r="DG86" s="490"/>
      <c r="DH86" s="490"/>
      <c r="DI86" s="490"/>
      <c r="DJ86" s="490"/>
      <c r="DK86" s="490"/>
      <c r="DL86" s="490"/>
      <c r="DM86" s="490"/>
      <c r="DN86" s="490"/>
      <c r="DO86" s="490"/>
      <c r="DP86" s="490"/>
      <c r="DQ86" s="490"/>
      <c r="DR86" s="516"/>
      <c r="DS86" s="517"/>
      <c r="DT86" s="490"/>
      <c r="DU86" s="490"/>
      <c r="DV86" s="490"/>
      <c r="DW86" s="490"/>
      <c r="DX86" s="490"/>
      <c r="DY86" s="490"/>
      <c r="DZ86" s="490"/>
      <c r="EA86" s="490"/>
      <c r="EB86" s="490"/>
      <c r="EC86" s="490"/>
      <c r="ED86" s="490"/>
      <c r="EE86" s="490"/>
      <c r="EF86" s="490"/>
      <c r="EG86" s="490"/>
      <c r="EH86" s="490"/>
      <c r="EI86" s="490"/>
      <c r="EJ86" s="490"/>
      <c r="EK86" s="490"/>
      <c r="EL86" s="490"/>
      <c r="EM86" s="490"/>
      <c r="EN86" s="490"/>
      <c r="EO86" s="490"/>
      <c r="EP86" s="507"/>
    </row>
    <row r="87" spans="1:146" ht="55.5" customHeight="1" x14ac:dyDescent="0.15">
      <c r="A87" s="624" t="s">
        <v>238</v>
      </c>
      <c r="B87" s="385" t="s">
        <v>702</v>
      </c>
      <c r="C87" s="525"/>
      <c r="D87" s="526"/>
      <c r="E87" s="526"/>
      <c r="F87" s="526"/>
      <c r="G87" s="526"/>
      <c r="H87" s="526"/>
      <c r="I87" s="526"/>
      <c r="J87" s="526"/>
      <c r="K87" s="526"/>
      <c r="L87" s="526"/>
      <c r="M87" s="526"/>
      <c r="N87" s="526"/>
      <c r="O87" s="526"/>
      <c r="P87" s="526"/>
      <c r="Q87" s="526"/>
      <c r="R87" s="526"/>
      <c r="S87" s="526"/>
      <c r="T87" s="526"/>
      <c r="U87" s="526"/>
      <c r="V87" s="526"/>
      <c r="W87" s="526"/>
      <c r="X87" s="526"/>
      <c r="Y87" s="526"/>
      <c r="Z87" s="527"/>
      <c r="AA87" s="525"/>
      <c r="AB87" s="526"/>
      <c r="AC87" s="526"/>
      <c r="AD87" s="526"/>
      <c r="AE87" s="526"/>
      <c r="AF87" s="526"/>
      <c r="AG87" s="526"/>
      <c r="AH87" s="526"/>
      <c r="AI87" s="526"/>
      <c r="AJ87" s="526"/>
      <c r="AK87" s="526"/>
      <c r="AL87" s="526"/>
      <c r="AM87" s="526"/>
      <c r="AN87" s="526"/>
      <c r="AO87" s="526"/>
      <c r="AP87" s="526"/>
      <c r="AQ87" s="526"/>
      <c r="AR87" s="526"/>
      <c r="AS87" s="526"/>
      <c r="AT87" s="526"/>
      <c r="AU87" s="526"/>
      <c r="AV87" s="526"/>
      <c r="AW87" s="526"/>
      <c r="AX87" s="527"/>
      <c r="AY87" s="525"/>
      <c r="AZ87" s="526"/>
      <c r="BA87" s="526"/>
      <c r="BB87" s="526"/>
      <c r="BC87" s="526"/>
      <c r="BD87" s="526"/>
      <c r="BE87" s="526"/>
      <c r="BF87" s="526"/>
      <c r="BG87" s="526"/>
      <c r="BH87" s="526"/>
      <c r="BI87" s="526"/>
      <c r="BJ87" s="526"/>
      <c r="BK87" s="526"/>
      <c r="BL87" s="526"/>
      <c r="BM87" s="526"/>
      <c r="BN87" s="526"/>
      <c r="BO87" s="526"/>
      <c r="BP87" s="526"/>
      <c r="BQ87" s="526"/>
      <c r="BR87" s="526"/>
      <c r="BS87" s="526"/>
      <c r="BT87" s="526"/>
      <c r="BU87" s="526"/>
      <c r="BV87" s="535"/>
      <c r="BW87" s="525"/>
      <c r="BX87" s="526"/>
      <c r="BY87" s="526"/>
      <c r="BZ87" s="526"/>
      <c r="CA87" s="526"/>
      <c r="CB87" s="526"/>
      <c r="CC87" s="526"/>
      <c r="CD87" s="526"/>
      <c r="CE87" s="526"/>
      <c r="CF87" s="526"/>
      <c r="CG87" s="526"/>
      <c r="CH87" s="526"/>
      <c r="CI87" s="526"/>
      <c r="CJ87" s="526"/>
      <c r="CK87" s="526"/>
      <c r="CL87" s="526"/>
      <c r="CM87" s="526"/>
      <c r="CN87" s="526"/>
      <c r="CO87" s="526"/>
      <c r="CP87" s="526"/>
      <c r="CQ87" s="526"/>
      <c r="CR87" s="526"/>
      <c r="CS87" s="526"/>
      <c r="CT87" s="527"/>
      <c r="CU87" s="525"/>
      <c r="CV87" s="526"/>
      <c r="CW87" s="526"/>
      <c r="CX87" s="526"/>
      <c r="CY87" s="526"/>
      <c r="CZ87" s="526"/>
      <c r="DA87" s="533"/>
      <c r="DB87" s="533"/>
      <c r="DC87" s="533"/>
      <c r="DD87" s="533"/>
      <c r="DE87" s="533"/>
      <c r="DF87" s="533"/>
      <c r="DG87" s="526"/>
      <c r="DH87" s="526"/>
      <c r="DI87" s="526"/>
      <c r="DJ87" s="526"/>
      <c r="DK87" s="526"/>
      <c r="DL87" s="526"/>
      <c r="DM87" s="526"/>
      <c r="DN87" s="526"/>
      <c r="DO87" s="526"/>
      <c r="DP87" s="526"/>
      <c r="DQ87" s="526"/>
      <c r="DR87" s="527"/>
      <c r="DS87" s="525"/>
      <c r="DT87" s="526"/>
      <c r="DU87" s="526"/>
      <c r="DV87" s="526"/>
      <c r="DW87" s="526"/>
      <c r="DX87" s="526"/>
      <c r="DY87" s="526"/>
      <c r="DZ87" s="526"/>
      <c r="EA87" s="526"/>
      <c r="EB87" s="526"/>
      <c r="EC87" s="526"/>
      <c r="ED87" s="526"/>
      <c r="EE87" s="526"/>
      <c r="EF87" s="526"/>
      <c r="EG87" s="526"/>
      <c r="EH87" s="526"/>
      <c r="EI87" s="526"/>
      <c r="EJ87" s="526"/>
      <c r="EK87" s="526"/>
      <c r="EL87" s="526"/>
      <c r="EM87" s="526"/>
      <c r="EN87" s="526"/>
      <c r="EO87" s="526"/>
      <c r="EP87" s="535"/>
    </row>
    <row r="88" spans="1:146" ht="44.25" customHeight="1" x14ac:dyDescent="0.15">
      <c r="A88" s="624" t="s">
        <v>239</v>
      </c>
      <c r="B88" s="385" t="s">
        <v>597</v>
      </c>
      <c r="C88" s="525"/>
      <c r="D88" s="526"/>
      <c r="E88" s="526"/>
      <c r="F88" s="526"/>
      <c r="G88" s="526"/>
      <c r="H88" s="526"/>
      <c r="I88" s="526"/>
      <c r="J88" s="526"/>
      <c r="K88" s="526"/>
      <c r="L88" s="526"/>
      <c r="M88" s="526"/>
      <c r="N88" s="526"/>
      <c r="O88" s="526"/>
      <c r="P88" s="526"/>
      <c r="Q88" s="526"/>
      <c r="R88" s="526"/>
      <c r="S88" s="526"/>
      <c r="T88" s="526"/>
      <c r="U88" s="526"/>
      <c r="V88" s="526"/>
      <c r="W88" s="526"/>
      <c r="X88" s="526"/>
      <c r="Y88" s="526"/>
      <c r="Z88" s="527"/>
      <c r="AA88" s="525"/>
      <c r="AB88" s="526"/>
      <c r="AC88" s="526"/>
      <c r="AD88" s="526"/>
      <c r="AE88" s="526"/>
      <c r="AF88" s="526"/>
      <c r="AG88" s="526"/>
      <c r="AH88" s="526"/>
      <c r="AI88" s="526"/>
      <c r="AJ88" s="526"/>
      <c r="AK88" s="526"/>
      <c r="AL88" s="526"/>
      <c r="AM88" s="526"/>
      <c r="AN88" s="526"/>
      <c r="AO88" s="526"/>
      <c r="AP88" s="526"/>
      <c r="AQ88" s="526"/>
      <c r="AR88" s="526"/>
      <c r="AS88" s="526"/>
      <c r="AT88" s="526"/>
      <c r="AU88" s="526"/>
      <c r="AV88" s="526"/>
      <c r="AW88" s="526"/>
      <c r="AX88" s="527"/>
      <c r="AY88" s="525"/>
      <c r="AZ88" s="526"/>
      <c r="BA88" s="526"/>
      <c r="BB88" s="526"/>
      <c r="BC88" s="526"/>
      <c r="BD88" s="526"/>
      <c r="BE88" s="526"/>
      <c r="BF88" s="526"/>
      <c r="BG88" s="526"/>
      <c r="BH88" s="526"/>
      <c r="BI88" s="526"/>
      <c r="BJ88" s="526"/>
      <c r="BK88" s="526"/>
      <c r="BL88" s="526"/>
      <c r="BM88" s="526"/>
      <c r="BN88" s="526"/>
      <c r="BO88" s="526"/>
      <c r="BP88" s="526"/>
      <c r="BQ88" s="526"/>
      <c r="BR88" s="526"/>
      <c r="BS88" s="526"/>
      <c r="BT88" s="526"/>
      <c r="BU88" s="526"/>
      <c r="BV88" s="535"/>
      <c r="BW88" s="525"/>
      <c r="BX88" s="526"/>
      <c r="BY88" s="526"/>
      <c r="BZ88" s="526"/>
      <c r="CA88" s="526"/>
      <c r="CB88" s="526"/>
      <c r="CC88" s="526"/>
      <c r="CD88" s="526"/>
      <c r="CE88" s="526"/>
      <c r="CF88" s="526"/>
      <c r="CG88" s="526"/>
      <c r="CH88" s="526"/>
      <c r="CI88" s="526"/>
      <c r="CJ88" s="526"/>
      <c r="CK88" s="526"/>
      <c r="CL88" s="526"/>
      <c r="CM88" s="526"/>
      <c r="CN88" s="526"/>
      <c r="CO88" s="526"/>
      <c r="CP88" s="526"/>
      <c r="CQ88" s="526"/>
      <c r="CR88" s="526"/>
      <c r="CS88" s="526"/>
      <c r="CT88" s="527"/>
      <c r="CU88" s="525"/>
      <c r="CV88" s="526"/>
      <c r="CW88" s="526"/>
      <c r="CX88" s="526"/>
      <c r="CY88" s="526"/>
      <c r="CZ88" s="526"/>
      <c r="DA88" s="526"/>
      <c r="DB88" s="526"/>
      <c r="DC88" s="526"/>
      <c r="DD88" s="526"/>
      <c r="DE88" s="526"/>
      <c r="DF88" s="526"/>
      <c r="DG88" s="526"/>
      <c r="DH88" s="526"/>
      <c r="DI88" s="526"/>
      <c r="DJ88" s="526"/>
      <c r="DK88" s="526"/>
      <c r="DL88" s="526"/>
      <c r="DM88" s="533"/>
      <c r="DN88" s="533"/>
      <c r="DO88" s="533"/>
      <c r="DP88" s="533"/>
      <c r="DQ88" s="533"/>
      <c r="DR88" s="534"/>
      <c r="DS88" s="525"/>
      <c r="DT88" s="526"/>
      <c r="DU88" s="526"/>
      <c r="DV88" s="526"/>
      <c r="DW88" s="526"/>
      <c r="DX88" s="526"/>
      <c r="DY88" s="526"/>
      <c r="DZ88" s="526"/>
      <c r="EA88" s="526"/>
      <c r="EB88" s="526"/>
      <c r="EC88" s="526"/>
      <c r="ED88" s="526"/>
      <c r="EE88" s="526"/>
      <c r="EF88" s="526"/>
      <c r="EG88" s="526"/>
      <c r="EH88" s="526"/>
      <c r="EI88" s="526"/>
      <c r="EJ88" s="526"/>
      <c r="EK88" s="526"/>
      <c r="EL88" s="526"/>
      <c r="EM88" s="526"/>
      <c r="EN88" s="526"/>
      <c r="EO88" s="526"/>
      <c r="EP88" s="535"/>
    </row>
    <row r="89" spans="1:146" ht="18.75" customHeight="1" x14ac:dyDescent="0.15">
      <c r="A89" s="624" t="s">
        <v>240</v>
      </c>
      <c r="B89" s="385" t="s">
        <v>481</v>
      </c>
      <c r="C89" s="525"/>
      <c r="D89" s="526"/>
      <c r="E89" s="526"/>
      <c r="F89" s="526"/>
      <c r="G89" s="526"/>
      <c r="H89" s="526"/>
      <c r="I89" s="526"/>
      <c r="J89" s="526"/>
      <c r="K89" s="526"/>
      <c r="L89" s="526"/>
      <c r="M89" s="526"/>
      <c r="N89" s="526"/>
      <c r="O89" s="526"/>
      <c r="P89" s="526"/>
      <c r="Q89" s="526"/>
      <c r="R89" s="526"/>
      <c r="S89" s="526"/>
      <c r="T89" s="526"/>
      <c r="U89" s="526"/>
      <c r="V89" s="526"/>
      <c r="W89" s="526"/>
      <c r="X89" s="526"/>
      <c r="Y89" s="526"/>
      <c r="Z89" s="527"/>
      <c r="AA89" s="525"/>
      <c r="AB89" s="526"/>
      <c r="AC89" s="526"/>
      <c r="AD89" s="526"/>
      <c r="AE89" s="526"/>
      <c r="AF89" s="526"/>
      <c r="AG89" s="526"/>
      <c r="AH89" s="526"/>
      <c r="AI89" s="526"/>
      <c r="AJ89" s="526"/>
      <c r="AK89" s="526"/>
      <c r="AL89" s="526"/>
      <c r="AM89" s="526"/>
      <c r="AN89" s="526"/>
      <c r="AO89" s="526"/>
      <c r="AP89" s="526"/>
      <c r="AQ89" s="526"/>
      <c r="AR89" s="526"/>
      <c r="AS89" s="526"/>
      <c r="AT89" s="526"/>
      <c r="AU89" s="526"/>
      <c r="AV89" s="526"/>
      <c r="AW89" s="526"/>
      <c r="AX89" s="527"/>
      <c r="AY89" s="525"/>
      <c r="AZ89" s="526"/>
      <c r="BA89" s="526"/>
      <c r="BB89" s="526"/>
      <c r="BC89" s="526"/>
      <c r="BD89" s="526"/>
      <c r="BE89" s="526"/>
      <c r="BF89" s="526"/>
      <c r="BG89" s="526"/>
      <c r="BH89" s="526"/>
      <c r="BI89" s="526"/>
      <c r="BJ89" s="526"/>
      <c r="BK89" s="526"/>
      <c r="BL89" s="526"/>
      <c r="BM89" s="526"/>
      <c r="BN89" s="526"/>
      <c r="BO89" s="526"/>
      <c r="BP89" s="526"/>
      <c r="BQ89" s="526"/>
      <c r="BR89" s="526"/>
      <c r="BS89" s="526"/>
      <c r="BT89" s="526"/>
      <c r="BU89" s="526"/>
      <c r="BV89" s="535"/>
      <c r="BW89" s="525"/>
      <c r="BX89" s="526"/>
      <c r="BY89" s="526"/>
      <c r="BZ89" s="526"/>
      <c r="CA89" s="526"/>
      <c r="CB89" s="526"/>
      <c r="CC89" s="526"/>
      <c r="CD89" s="526"/>
      <c r="CE89" s="526"/>
      <c r="CF89" s="526"/>
      <c r="CG89" s="526"/>
      <c r="CH89" s="526"/>
      <c r="CI89" s="526"/>
      <c r="CJ89" s="526"/>
      <c r="CK89" s="526"/>
      <c r="CL89" s="526"/>
      <c r="CM89" s="526"/>
      <c r="CN89" s="526"/>
      <c r="CO89" s="526"/>
      <c r="CP89" s="526"/>
      <c r="CQ89" s="526"/>
      <c r="CR89" s="526"/>
      <c r="CS89" s="526"/>
      <c r="CT89" s="527"/>
      <c r="CU89" s="525"/>
      <c r="CV89" s="526"/>
      <c r="CW89" s="526"/>
      <c r="CX89" s="526"/>
      <c r="CY89" s="526"/>
      <c r="CZ89" s="526"/>
      <c r="DA89" s="533"/>
      <c r="DB89" s="533"/>
      <c r="DC89" s="533"/>
      <c r="DD89" s="533"/>
      <c r="DE89" s="533"/>
      <c r="DF89" s="533"/>
      <c r="DG89" s="526"/>
      <c r="DH89" s="526"/>
      <c r="DI89" s="526"/>
      <c r="DJ89" s="526"/>
      <c r="DK89" s="526"/>
      <c r="DL89" s="526"/>
      <c r="DM89" s="526"/>
      <c r="DN89" s="526"/>
      <c r="DO89" s="526"/>
      <c r="DP89" s="526"/>
      <c r="DQ89" s="526"/>
      <c r="DR89" s="527"/>
      <c r="DS89" s="525"/>
      <c r="DT89" s="526"/>
      <c r="DU89" s="526"/>
      <c r="DV89" s="526"/>
      <c r="DW89" s="526"/>
      <c r="DX89" s="526"/>
      <c r="DY89" s="526"/>
      <c r="DZ89" s="526"/>
      <c r="EA89" s="526"/>
      <c r="EB89" s="526"/>
      <c r="EC89" s="526"/>
      <c r="ED89" s="526"/>
      <c r="EE89" s="526"/>
      <c r="EF89" s="526"/>
      <c r="EG89" s="526"/>
      <c r="EH89" s="526"/>
      <c r="EI89" s="526"/>
      <c r="EJ89" s="526"/>
      <c r="EK89" s="526"/>
      <c r="EL89" s="526"/>
      <c r="EM89" s="526"/>
      <c r="EN89" s="526"/>
      <c r="EO89" s="526"/>
      <c r="EP89" s="535"/>
    </row>
    <row r="90" spans="1:146" ht="18.75" customHeight="1" x14ac:dyDescent="0.15">
      <c r="A90" s="624" t="s">
        <v>257</v>
      </c>
      <c r="B90" s="385" t="s">
        <v>486</v>
      </c>
      <c r="C90" s="525"/>
      <c r="D90" s="526"/>
      <c r="E90" s="526"/>
      <c r="F90" s="526"/>
      <c r="G90" s="526"/>
      <c r="H90" s="526"/>
      <c r="I90" s="526"/>
      <c r="J90" s="526"/>
      <c r="K90" s="526"/>
      <c r="L90" s="526"/>
      <c r="M90" s="526"/>
      <c r="N90" s="526"/>
      <c r="O90" s="526"/>
      <c r="P90" s="526"/>
      <c r="Q90" s="526"/>
      <c r="R90" s="526"/>
      <c r="S90" s="526"/>
      <c r="T90" s="526"/>
      <c r="U90" s="526"/>
      <c r="V90" s="526"/>
      <c r="W90" s="526"/>
      <c r="X90" s="526"/>
      <c r="Y90" s="526"/>
      <c r="Z90" s="527"/>
      <c r="AA90" s="525"/>
      <c r="AB90" s="526"/>
      <c r="AC90" s="526"/>
      <c r="AD90" s="526"/>
      <c r="AE90" s="526"/>
      <c r="AF90" s="526"/>
      <c r="AG90" s="526"/>
      <c r="AH90" s="526"/>
      <c r="AI90" s="526"/>
      <c r="AJ90" s="526"/>
      <c r="AK90" s="526"/>
      <c r="AL90" s="526"/>
      <c r="AM90" s="526"/>
      <c r="AN90" s="526"/>
      <c r="AO90" s="526"/>
      <c r="AP90" s="526"/>
      <c r="AQ90" s="526"/>
      <c r="AR90" s="526"/>
      <c r="AS90" s="526"/>
      <c r="AT90" s="526"/>
      <c r="AU90" s="526"/>
      <c r="AV90" s="526"/>
      <c r="AW90" s="526"/>
      <c r="AX90" s="527"/>
      <c r="AY90" s="525"/>
      <c r="AZ90" s="526"/>
      <c r="BA90" s="526"/>
      <c r="BB90" s="526"/>
      <c r="BC90" s="526"/>
      <c r="BD90" s="526"/>
      <c r="BE90" s="526"/>
      <c r="BF90" s="526"/>
      <c r="BG90" s="526"/>
      <c r="BH90" s="526"/>
      <c r="BI90" s="526"/>
      <c r="BJ90" s="526"/>
      <c r="BK90" s="526"/>
      <c r="BL90" s="526"/>
      <c r="BM90" s="526"/>
      <c r="BN90" s="526"/>
      <c r="BO90" s="526"/>
      <c r="BP90" s="526"/>
      <c r="BQ90" s="526"/>
      <c r="BR90" s="526"/>
      <c r="BS90" s="526"/>
      <c r="BT90" s="526"/>
      <c r="BU90" s="526"/>
      <c r="BV90" s="535"/>
      <c r="BW90" s="525"/>
      <c r="BX90" s="526"/>
      <c r="BY90" s="526"/>
      <c r="BZ90" s="526"/>
      <c r="CA90" s="526"/>
      <c r="CB90" s="526"/>
      <c r="CC90" s="526"/>
      <c r="CD90" s="526"/>
      <c r="CE90" s="526"/>
      <c r="CF90" s="526"/>
      <c r="CG90" s="526"/>
      <c r="CH90" s="526"/>
      <c r="CI90" s="526"/>
      <c r="CJ90" s="526"/>
      <c r="CK90" s="526"/>
      <c r="CL90" s="526"/>
      <c r="CM90" s="526"/>
      <c r="CN90" s="526"/>
      <c r="CO90" s="526"/>
      <c r="CP90" s="526"/>
      <c r="CQ90" s="526"/>
      <c r="CR90" s="526"/>
      <c r="CS90" s="526"/>
      <c r="CT90" s="527"/>
      <c r="CU90" s="525"/>
      <c r="CV90" s="526"/>
      <c r="CW90" s="526"/>
      <c r="CX90" s="526"/>
      <c r="CY90" s="526"/>
      <c r="CZ90" s="526"/>
      <c r="DA90" s="526"/>
      <c r="DB90" s="526"/>
      <c r="DC90" s="526"/>
      <c r="DD90" s="526"/>
      <c r="DE90" s="526"/>
      <c r="DF90" s="526"/>
      <c r="DG90" s="533"/>
      <c r="DH90" s="533"/>
      <c r="DI90" s="533"/>
      <c r="DJ90" s="533"/>
      <c r="DK90" s="533"/>
      <c r="DL90" s="533"/>
      <c r="DM90" s="533"/>
      <c r="DN90" s="533"/>
      <c r="DO90" s="533"/>
      <c r="DP90" s="533"/>
      <c r="DQ90" s="533"/>
      <c r="DR90" s="534"/>
      <c r="DS90" s="525"/>
      <c r="DT90" s="526"/>
      <c r="DU90" s="526"/>
      <c r="DV90" s="526"/>
      <c r="DW90" s="526"/>
      <c r="DX90" s="526"/>
      <c r="DY90" s="526"/>
      <c r="DZ90" s="526"/>
      <c r="EA90" s="526"/>
      <c r="EB90" s="526"/>
      <c r="EC90" s="526"/>
      <c r="ED90" s="526"/>
      <c r="EE90" s="526"/>
      <c r="EF90" s="526"/>
      <c r="EG90" s="526"/>
      <c r="EH90" s="526"/>
      <c r="EI90" s="526"/>
      <c r="EJ90" s="526"/>
      <c r="EK90" s="526"/>
      <c r="EL90" s="526"/>
      <c r="EM90" s="526"/>
      <c r="EN90" s="526"/>
      <c r="EO90" s="526"/>
      <c r="EP90" s="535"/>
    </row>
    <row r="91" spans="1:146" ht="18.75" customHeight="1" x14ac:dyDescent="0.15">
      <c r="A91" s="624" t="s">
        <v>258</v>
      </c>
      <c r="B91" s="385" t="s">
        <v>482</v>
      </c>
      <c r="C91" s="525"/>
      <c r="D91" s="526"/>
      <c r="E91" s="526"/>
      <c r="F91" s="526"/>
      <c r="G91" s="526"/>
      <c r="H91" s="526"/>
      <c r="I91" s="526"/>
      <c r="J91" s="526"/>
      <c r="K91" s="526"/>
      <c r="L91" s="526"/>
      <c r="M91" s="526"/>
      <c r="N91" s="526"/>
      <c r="O91" s="526"/>
      <c r="P91" s="526"/>
      <c r="Q91" s="526"/>
      <c r="R91" s="526"/>
      <c r="S91" s="526"/>
      <c r="T91" s="526"/>
      <c r="U91" s="526"/>
      <c r="V91" s="526"/>
      <c r="W91" s="526"/>
      <c r="X91" s="526"/>
      <c r="Y91" s="526"/>
      <c r="Z91" s="527"/>
      <c r="AA91" s="525"/>
      <c r="AB91" s="526"/>
      <c r="AC91" s="526"/>
      <c r="AD91" s="526"/>
      <c r="AE91" s="526"/>
      <c r="AF91" s="526"/>
      <c r="AG91" s="526"/>
      <c r="AH91" s="526"/>
      <c r="AI91" s="526"/>
      <c r="AJ91" s="526"/>
      <c r="AK91" s="526"/>
      <c r="AL91" s="526"/>
      <c r="AM91" s="526"/>
      <c r="AN91" s="526"/>
      <c r="AO91" s="526"/>
      <c r="AP91" s="526"/>
      <c r="AQ91" s="526"/>
      <c r="AR91" s="526"/>
      <c r="AS91" s="526"/>
      <c r="AT91" s="526"/>
      <c r="AU91" s="526"/>
      <c r="AV91" s="526"/>
      <c r="AW91" s="526"/>
      <c r="AX91" s="527"/>
      <c r="AY91" s="525"/>
      <c r="AZ91" s="526"/>
      <c r="BA91" s="526"/>
      <c r="BB91" s="526"/>
      <c r="BC91" s="526"/>
      <c r="BD91" s="526"/>
      <c r="BE91" s="526"/>
      <c r="BF91" s="526"/>
      <c r="BG91" s="526"/>
      <c r="BH91" s="526"/>
      <c r="BI91" s="526"/>
      <c r="BJ91" s="526"/>
      <c r="BK91" s="526"/>
      <c r="BL91" s="526"/>
      <c r="BM91" s="526"/>
      <c r="BN91" s="526"/>
      <c r="BO91" s="526"/>
      <c r="BP91" s="526"/>
      <c r="BQ91" s="526"/>
      <c r="BR91" s="526"/>
      <c r="BS91" s="526"/>
      <c r="BT91" s="526"/>
      <c r="BU91" s="526"/>
      <c r="BV91" s="535"/>
      <c r="BW91" s="525"/>
      <c r="BX91" s="526"/>
      <c r="BY91" s="526"/>
      <c r="BZ91" s="526"/>
      <c r="CA91" s="526"/>
      <c r="CB91" s="526"/>
      <c r="CC91" s="526"/>
      <c r="CD91" s="526"/>
      <c r="CE91" s="526"/>
      <c r="CF91" s="526"/>
      <c r="CG91" s="526"/>
      <c r="CH91" s="526"/>
      <c r="CI91" s="526"/>
      <c r="CJ91" s="526"/>
      <c r="CK91" s="526"/>
      <c r="CL91" s="526"/>
      <c r="CM91" s="526"/>
      <c r="CN91" s="526"/>
      <c r="CO91" s="526"/>
      <c r="CP91" s="526"/>
      <c r="CQ91" s="526"/>
      <c r="CR91" s="526"/>
      <c r="CS91" s="526"/>
      <c r="CT91" s="527"/>
      <c r="CU91" s="525"/>
      <c r="CV91" s="526"/>
      <c r="CW91" s="526"/>
      <c r="CX91" s="526"/>
      <c r="CY91" s="526"/>
      <c r="CZ91" s="526"/>
      <c r="DA91" s="526"/>
      <c r="DB91" s="526"/>
      <c r="DC91" s="526"/>
      <c r="DD91" s="526"/>
      <c r="DE91" s="526"/>
      <c r="DF91" s="526"/>
      <c r="DG91" s="533"/>
      <c r="DH91" s="533"/>
      <c r="DI91" s="533"/>
      <c r="DJ91" s="533"/>
      <c r="DK91" s="533"/>
      <c r="DL91" s="533"/>
      <c r="DM91" s="533"/>
      <c r="DN91" s="533"/>
      <c r="DO91" s="533"/>
      <c r="DP91" s="533"/>
      <c r="DQ91" s="533"/>
      <c r="DR91" s="534"/>
      <c r="DS91" s="525"/>
      <c r="DT91" s="526"/>
      <c r="DU91" s="526"/>
      <c r="DV91" s="526"/>
      <c r="DW91" s="526"/>
      <c r="DX91" s="526"/>
      <c r="DY91" s="526"/>
      <c r="DZ91" s="526"/>
      <c r="EA91" s="526"/>
      <c r="EB91" s="526"/>
      <c r="EC91" s="526"/>
      <c r="ED91" s="526"/>
      <c r="EE91" s="526"/>
      <c r="EF91" s="526"/>
      <c r="EG91" s="526"/>
      <c r="EH91" s="526"/>
      <c r="EI91" s="526"/>
      <c r="EJ91" s="526"/>
      <c r="EK91" s="526"/>
      <c r="EL91" s="526"/>
      <c r="EM91" s="526"/>
      <c r="EN91" s="526"/>
      <c r="EO91" s="526"/>
      <c r="EP91" s="535"/>
    </row>
    <row r="92" spans="1:146" ht="18.75" customHeight="1" x14ac:dyDescent="0.15">
      <c r="A92" s="624" t="s">
        <v>259</v>
      </c>
      <c r="B92" s="385" t="s">
        <v>487</v>
      </c>
      <c r="C92" s="525"/>
      <c r="D92" s="526"/>
      <c r="E92" s="526"/>
      <c r="F92" s="526"/>
      <c r="G92" s="526"/>
      <c r="H92" s="526"/>
      <c r="I92" s="526"/>
      <c r="J92" s="526"/>
      <c r="K92" s="526"/>
      <c r="L92" s="526"/>
      <c r="M92" s="526"/>
      <c r="N92" s="526"/>
      <c r="O92" s="526"/>
      <c r="P92" s="526"/>
      <c r="Q92" s="526"/>
      <c r="R92" s="526"/>
      <c r="S92" s="526"/>
      <c r="T92" s="526"/>
      <c r="U92" s="526"/>
      <c r="V92" s="526"/>
      <c r="W92" s="526"/>
      <c r="X92" s="526"/>
      <c r="Y92" s="526"/>
      <c r="Z92" s="527"/>
      <c r="AA92" s="525"/>
      <c r="AB92" s="526"/>
      <c r="AC92" s="526"/>
      <c r="AD92" s="526"/>
      <c r="AE92" s="526"/>
      <c r="AF92" s="526"/>
      <c r="AG92" s="526"/>
      <c r="AH92" s="526"/>
      <c r="AI92" s="526"/>
      <c r="AJ92" s="526"/>
      <c r="AK92" s="526"/>
      <c r="AL92" s="526"/>
      <c r="AM92" s="526"/>
      <c r="AN92" s="526"/>
      <c r="AO92" s="526"/>
      <c r="AP92" s="526"/>
      <c r="AQ92" s="526"/>
      <c r="AR92" s="526"/>
      <c r="AS92" s="526"/>
      <c r="AT92" s="526"/>
      <c r="AU92" s="526"/>
      <c r="AV92" s="526"/>
      <c r="AW92" s="526"/>
      <c r="AX92" s="527"/>
      <c r="AY92" s="525"/>
      <c r="AZ92" s="526"/>
      <c r="BA92" s="526"/>
      <c r="BB92" s="526"/>
      <c r="BC92" s="526"/>
      <c r="BD92" s="526"/>
      <c r="BE92" s="526"/>
      <c r="BF92" s="526"/>
      <c r="BG92" s="526"/>
      <c r="BH92" s="526"/>
      <c r="BI92" s="526"/>
      <c r="BJ92" s="526"/>
      <c r="BK92" s="526"/>
      <c r="BL92" s="526"/>
      <c r="BM92" s="526"/>
      <c r="BN92" s="526"/>
      <c r="BO92" s="526"/>
      <c r="BP92" s="526"/>
      <c r="BQ92" s="526"/>
      <c r="BR92" s="526"/>
      <c r="BS92" s="526"/>
      <c r="BT92" s="526"/>
      <c r="BU92" s="526"/>
      <c r="BV92" s="535"/>
      <c r="BW92" s="525"/>
      <c r="BX92" s="526"/>
      <c r="BY92" s="526"/>
      <c r="BZ92" s="526"/>
      <c r="CA92" s="526"/>
      <c r="CB92" s="526"/>
      <c r="CC92" s="526"/>
      <c r="CD92" s="526"/>
      <c r="CE92" s="526"/>
      <c r="CF92" s="526"/>
      <c r="CG92" s="526"/>
      <c r="CH92" s="526"/>
      <c r="CI92" s="526"/>
      <c r="CJ92" s="526"/>
      <c r="CK92" s="526"/>
      <c r="CL92" s="526"/>
      <c r="CM92" s="526"/>
      <c r="CN92" s="526"/>
      <c r="CO92" s="526"/>
      <c r="CP92" s="526"/>
      <c r="CQ92" s="526"/>
      <c r="CR92" s="526"/>
      <c r="CS92" s="526"/>
      <c r="CT92" s="527"/>
      <c r="CU92" s="525"/>
      <c r="CV92" s="526"/>
      <c r="CW92" s="526"/>
      <c r="CX92" s="526"/>
      <c r="CY92" s="526"/>
      <c r="CZ92" s="526"/>
      <c r="DA92" s="526"/>
      <c r="DB92" s="526"/>
      <c r="DC92" s="526"/>
      <c r="DD92" s="526"/>
      <c r="DE92" s="526"/>
      <c r="DF92" s="526"/>
      <c r="DG92" s="533"/>
      <c r="DH92" s="533"/>
      <c r="DI92" s="533"/>
      <c r="DJ92" s="533"/>
      <c r="DK92" s="533"/>
      <c r="DL92" s="533"/>
      <c r="DM92" s="533"/>
      <c r="DN92" s="533"/>
      <c r="DO92" s="533"/>
      <c r="DP92" s="533"/>
      <c r="DQ92" s="533"/>
      <c r="DR92" s="534"/>
      <c r="DS92" s="525"/>
      <c r="DT92" s="526"/>
      <c r="DU92" s="526"/>
      <c r="DV92" s="526"/>
      <c r="DW92" s="526"/>
      <c r="DX92" s="526"/>
      <c r="DY92" s="526"/>
      <c r="DZ92" s="526"/>
      <c r="EA92" s="526"/>
      <c r="EB92" s="526"/>
      <c r="EC92" s="526"/>
      <c r="ED92" s="526"/>
      <c r="EE92" s="526"/>
      <c r="EF92" s="526"/>
      <c r="EG92" s="526"/>
      <c r="EH92" s="526"/>
      <c r="EI92" s="526"/>
      <c r="EJ92" s="526"/>
      <c r="EK92" s="526"/>
      <c r="EL92" s="526"/>
      <c r="EM92" s="526"/>
      <c r="EN92" s="526"/>
      <c r="EO92" s="526"/>
      <c r="EP92" s="535"/>
    </row>
    <row r="93" spans="1:146" ht="18.75" customHeight="1" x14ac:dyDescent="0.15">
      <c r="A93" s="624" t="s">
        <v>260</v>
      </c>
      <c r="B93" s="385" t="s">
        <v>488</v>
      </c>
      <c r="C93" s="525"/>
      <c r="D93" s="526"/>
      <c r="E93" s="526"/>
      <c r="F93" s="526"/>
      <c r="G93" s="526"/>
      <c r="H93" s="526"/>
      <c r="I93" s="526"/>
      <c r="J93" s="526"/>
      <c r="K93" s="526"/>
      <c r="L93" s="526"/>
      <c r="M93" s="526"/>
      <c r="N93" s="526"/>
      <c r="O93" s="526"/>
      <c r="P93" s="526"/>
      <c r="Q93" s="526"/>
      <c r="R93" s="526"/>
      <c r="S93" s="526"/>
      <c r="T93" s="526"/>
      <c r="U93" s="526"/>
      <c r="V93" s="526"/>
      <c r="W93" s="526"/>
      <c r="X93" s="526"/>
      <c r="Y93" s="526"/>
      <c r="Z93" s="527"/>
      <c r="AA93" s="525"/>
      <c r="AB93" s="526"/>
      <c r="AC93" s="526"/>
      <c r="AD93" s="526"/>
      <c r="AE93" s="526"/>
      <c r="AF93" s="526"/>
      <c r="AG93" s="526"/>
      <c r="AH93" s="526"/>
      <c r="AI93" s="526"/>
      <c r="AJ93" s="526"/>
      <c r="AK93" s="526"/>
      <c r="AL93" s="526"/>
      <c r="AM93" s="526"/>
      <c r="AN93" s="526"/>
      <c r="AO93" s="526"/>
      <c r="AP93" s="526"/>
      <c r="AQ93" s="526"/>
      <c r="AR93" s="526"/>
      <c r="AS93" s="526"/>
      <c r="AT93" s="526"/>
      <c r="AU93" s="526"/>
      <c r="AV93" s="526"/>
      <c r="AW93" s="526"/>
      <c r="AX93" s="527"/>
      <c r="AY93" s="525"/>
      <c r="AZ93" s="526"/>
      <c r="BA93" s="526"/>
      <c r="BB93" s="526"/>
      <c r="BC93" s="526"/>
      <c r="BD93" s="526"/>
      <c r="BE93" s="526"/>
      <c r="BF93" s="526"/>
      <c r="BG93" s="526"/>
      <c r="BH93" s="526"/>
      <c r="BI93" s="526"/>
      <c r="BJ93" s="526"/>
      <c r="BK93" s="526"/>
      <c r="BL93" s="526"/>
      <c r="BM93" s="526"/>
      <c r="BN93" s="526"/>
      <c r="BO93" s="526"/>
      <c r="BP93" s="526"/>
      <c r="BQ93" s="526"/>
      <c r="BR93" s="526"/>
      <c r="BS93" s="526"/>
      <c r="BT93" s="526"/>
      <c r="BU93" s="526"/>
      <c r="BV93" s="535"/>
      <c r="BW93" s="525"/>
      <c r="BX93" s="526"/>
      <c r="BY93" s="526"/>
      <c r="BZ93" s="526"/>
      <c r="CA93" s="526"/>
      <c r="CB93" s="526"/>
      <c r="CC93" s="526"/>
      <c r="CD93" s="526"/>
      <c r="CE93" s="526"/>
      <c r="CF93" s="526"/>
      <c r="CG93" s="526"/>
      <c r="CH93" s="526"/>
      <c r="CI93" s="526"/>
      <c r="CJ93" s="526"/>
      <c r="CK93" s="526"/>
      <c r="CL93" s="526"/>
      <c r="CM93" s="526"/>
      <c r="CN93" s="526"/>
      <c r="CO93" s="526"/>
      <c r="CP93" s="526"/>
      <c r="CQ93" s="526"/>
      <c r="CR93" s="526"/>
      <c r="CS93" s="526"/>
      <c r="CT93" s="527"/>
      <c r="CU93" s="525"/>
      <c r="CV93" s="526"/>
      <c r="CW93" s="526"/>
      <c r="CX93" s="526"/>
      <c r="CY93" s="526"/>
      <c r="CZ93" s="526"/>
      <c r="DA93" s="526"/>
      <c r="DB93" s="526"/>
      <c r="DC93" s="526"/>
      <c r="DD93" s="526"/>
      <c r="DE93" s="526"/>
      <c r="DF93" s="526"/>
      <c r="DG93" s="533"/>
      <c r="DH93" s="533"/>
      <c r="DI93" s="533"/>
      <c r="DJ93" s="533"/>
      <c r="DK93" s="533"/>
      <c r="DL93" s="533"/>
      <c r="DM93" s="533"/>
      <c r="DN93" s="533"/>
      <c r="DO93" s="533"/>
      <c r="DP93" s="533"/>
      <c r="DQ93" s="533"/>
      <c r="DR93" s="534"/>
      <c r="DS93" s="525"/>
      <c r="DT93" s="526"/>
      <c r="DU93" s="526"/>
      <c r="DV93" s="526"/>
      <c r="DW93" s="526"/>
      <c r="DX93" s="526"/>
      <c r="DY93" s="526"/>
      <c r="DZ93" s="526"/>
      <c r="EA93" s="526"/>
      <c r="EB93" s="526"/>
      <c r="EC93" s="526"/>
      <c r="ED93" s="526"/>
      <c r="EE93" s="526"/>
      <c r="EF93" s="526"/>
      <c r="EG93" s="526"/>
      <c r="EH93" s="526"/>
      <c r="EI93" s="526"/>
      <c r="EJ93" s="526"/>
      <c r="EK93" s="526"/>
      <c r="EL93" s="526"/>
      <c r="EM93" s="526"/>
      <c r="EN93" s="526"/>
      <c r="EO93" s="526"/>
      <c r="EP93" s="535"/>
    </row>
    <row r="94" spans="1:146" ht="18.75" customHeight="1" x14ac:dyDescent="0.15">
      <c r="A94" s="624" t="s">
        <v>261</v>
      </c>
      <c r="B94" s="385" t="s">
        <v>483</v>
      </c>
      <c r="C94" s="525"/>
      <c r="D94" s="526"/>
      <c r="E94" s="526"/>
      <c r="F94" s="526"/>
      <c r="G94" s="526"/>
      <c r="H94" s="526"/>
      <c r="I94" s="526"/>
      <c r="J94" s="526"/>
      <c r="K94" s="526"/>
      <c r="L94" s="526"/>
      <c r="M94" s="526"/>
      <c r="N94" s="526"/>
      <c r="O94" s="526"/>
      <c r="P94" s="526"/>
      <c r="Q94" s="526"/>
      <c r="R94" s="526"/>
      <c r="S94" s="526"/>
      <c r="T94" s="526"/>
      <c r="U94" s="526"/>
      <c r="V94" s="526"/>
      <c r="W94" s="526"/>
      <c r="X94" s="526"/>
      <c r="Y94" s="526"/>
      <c r="Z94" s="527"/>
      <c r="AA94" s="525"/>
      <c r="AB94" s="526"/>
      <c r="AC94" s="526"/>
      <c r="AD94" s="526"/>
      <c r="AE94" s="526"/>
      <c r="AF94" s="526"/>
      <c r="AG94" s="526"/>
      <c r="AH94" s="526"/>
      <c r="AI94" s="526"/>
      <c r="AJ94" s="526"/>
      <c r="AK94" s="526"/>
      <c r="AL94" s="526"/>
      <c r="AM94" s="526"/>
      <c r="AN94" s="526"/>
      <c r="AO94" s="526"/>
      <c r="AP94" s="526"/>
      <c r="AQ94" s="526"/>
      <c r="AR94" s="526"/>
      <c r="AS94" s="526"/>
      <c r="AT94" s="526"/>
      <c r="AU94" s="526"/>
      <c r="AV94" s="526"/>
      <c r="AW94" s="526"/>
      <c r="AX94" s="527"/>
      <c r="AY94" s="525"/>
      <c r="AZ94" s="526"/>
      <c r="BA94" s="526"/>
      <c r="BB94" s="526"/>
      <c r="BC94" s="526"/>
      <c r="BD94" s="526"/>
      <c r="BE94" s="526"/>
      <c r="BF94" s="526"/>
      <c r="BG94" s="526"/>
      <c r="BH94" s="526"/>
      <c r="BI94" s="526"/>
      <c r="BJ94" s="526"/>
      <c r="BK94" s="526"/>
      <c r="BL94" s="526"/>
      <c r="BM94" s="526"/>
      <c r="BN94" s="526"/>
      <c r="BO94" s="526"/>
      <c r="BP94" s="526"/>
      <c r="BQ94" s="526"/>
      <c r="BR94" s="526"/>
      <c r="BS94" s="526"/>
      <c r="BT94" s="526"/>
      <c r="BU94" s="526"/>
      <c r="BV94" s="535"/>
      <c r="BW94" s="525"/>
      <c r="BX94" s="526"/>
      <c r="BY94" s="526"/>
      <c r="BZ94" s="526"/>
      <c r="CA94" s="526"/>
      <c r="CB94" s="526"/>
      <c r="CC94" s="526"/>
      <c r="CD94" s="526"/>
      <c r="CE94" s="526"/>
      <c r="CF94" s="526"/>
      <c r="CG94" s="526"/>
      <c r="CH94" s="526"/>
      <c r="CI94" s="526"/>
      <c r="CJ94" s="526"/>
      <c r="CK94" s="526"/>
      <c r="CL94" s="526"/>
      <c r="CM94" s="526"/>
      <c r="CN94" s="526"/>
      <c r="CO94" s="526"/>
      <c r="CP94" s="526"/>
      <c r="CQ94" s="526"/>
      <c r="CR94" s="526"/>
      <c r="CS94" s="526"/>
      <c r="CT94" s="527"/>
      <c r="CU94" s="525"/>
      <c r="CV94" s="526"/>
      <c r="CW94" s="526"/>
      <c r="CX94" s="526"/>
      <c r="CY94" s="526"/>
      <c r="CZ94" s="526"/>
      <c r="DA94" s="526"/>
      <c r="DB94" s="526"/>
      <c r="DC94" s="526"/>
      <c r="DD94" s="526"/>
      <c r="DE94" s="526"/>
      <c r="DF94" s="526"/>
      <c r="DG94" s="533"/>
      <c r="DH94" s="533"/>
      <c r="DI94" s="533"/>
      <c r="DJ94" s="533"/>
      <c r="DK94" s="533"/>
      <c r="DL94" s="533"/>
      <c r="DM94" s="533"/>
      <c r="DN94" s="533"/>
      <c r="DO94" s="533"/>
      <c r="DP94" s="533"/>
      <c r="DQ94" s="533"/>
      <c r="DR94" s="534"/>
      <c r="DS94" s="525"/>
      <c r="DT94" s="526"/>
      <c r="DU94" s="526"/>
      <c r="DV94" s="526"/>
      <c r="DW94" s="526"/>
      <c r="DX94" s="526"/>
      <c r="DY94" s="526"/>
      <c r="DZ94" s="526"/>
      <c r="EA94" s="526"/>
      <c r="EB94" s="526"/>
      <c r="EC94" s="526"/>
      <c r="ED94" s="526"/>
      <c r="EE94" s="526"/>
      <c r="EF94" s="526"/>
      <c r="EG94" s="526"/>
      <c r="EH94" s="526"/>
      <c r="EI94" s="526"/>
      <c r="EJ94" s="526"/>
      <c r="EK94" s="526"/>
      <c r="EL94" s="526"/>
      <c r="EM94" s="526"/>
      <c r="EN94" s="526"/>
      <c r="EO94" s="526"/>
      <c r="EP94" s="535"/>
    </row>
    <row r="95" spans="1:146" ht="30.75" customHeight="1" x14ac:dyDescent="0.15">
      <c r="A95" s="624" t="s">
        <v>262</v>
      </c>
      <c r="B95" s="385" t="s">
        <v>508</v>
      </c>
      <c r="C95" s="525"/>
      <c r="D95" s="526"/>
      <c r="E95" s="526"/>
      <c r="F95" s="526"/>
      <c r="G95" s="526"/>
      <c r="H95" s="526"/>
      <c r="I95" s="526"/>
      <c r="J95" s="526"/>
      <c r="K95" s="526"/>
      <c r="L95" s="526"/>
      <c r="M95" s="526"/>
      <c r="N95" s="526"/>
      <c r="O95" s="526"/>
      <c r="P95" s="526"/>
      <c r="Q95" s="526"/>
      <c r="R95" s="526"/>
      <c r="S95" s="526"/>
      <c r="T95" s="526"/>
      <c r="U95" s="526"/>
      <c r="V95" s="526"/>
      <c r="W95" s="526"/>
      <c r="X95" s="526"/>
      <c r="Y95" s="526"/>
      <c r="Z95" s="527"/>
      <c r="AA95" s="525"/>
      <c r="AB95" s="526"/>
      <c r="AC95" s="526"/>
      <c r="AD95" s="526"/>
      <c r="AE95" s="526"/>
      <c r="AF95" s="526"/>
      <c r="AG95" s="526"/>
      <c r="AH95" s="526"/>
      <c r="AI95" s="526"/>
      <c r="AJ95" s="526"/>
      <c r="AK95" s="526"/>
      <c r="AL95" s="526"/>
      <c r="AM95" s="526"/>
      <c r="AN95" s="526"/>
      <c r="AO95" s="526"/>
      <c r="AP95" s="526"/>
      <c r="AQ95" s="526"/>
      <c r="AR95" s="526"/>
      <c r="AS95" s="526"/>
      <c r="AT95" s="526"/>
      <c r="AU95" s="526"/>
      <c r="AV95" s="526"/>
      <c r="AW95" s="526"/>
      <c r="AX95" s="527"/>
      <c r="AY95" s="525"/>
      <c r="AZ95" s="526"/>
      <c r="BA95" s="526"/>
      <c r="BB95" s="526"/>
      <c r="BC95" s="526"/>
      <c r="BD95" s="526"/>
      <c r="BE95" s="526"/>
      <c r="BF95" s="526"/>
      <c r="BG95" s="526"/>
      <c r="BH95" s="526"/>
      <c r="BI95" s="526"/>
      <c r="BJ95" s="526"/>
      <c r="BK95" s="526"/>
      <c r="BL95" s="526"/>
      <c r="BM95" s="526"/>
      <c r="BN95" s="526"/>
      <c r="BO95" s="526"/>
      <c r="BP95" s="526"/>
      <c r="BQ95" s="526"/>
      <c r="BR95" s="526"/>
      <c r="BS95" s="526"/>
      <c r="BT95" s="526"/>
      <c r="BU95" s="526"/>
      <c r="BV95" s="535"/>
      <c r="BW95" s="525"/>
      <c r="BX95" s="526"/>
      <c r="BY95" s="526"/>
      <c r="BZ95" s="526"/>
      <c r="CA95" s="526"/>
      <c r="CB95" s="526"/>
      <c r="CC95" s="526"/>
      <c r="CD95" s="526"/>
      <c r="CE95" s="526"/>
      <c r="CF95" s="526"/>
      <c r="CG95" s="526"/>
      <c r="CH95" s="526"/>
      <c r="CI95" s="526"/>
      <c r="CJ95" s="526"/>
      <c r="CK95" s="526"/>
      <c r="CL95" s="526"/>
      <c r="CM95" s="526"/>
      <c r="CN95" s="526"/>
      <c r="CO95" s="526"/>
      <c r="CP95" s="526"/>
      <c r="CQ95" s="526"/>
      <c r="CR95" s="526"/>
      <c r="CS95" s="526"/>
      <c r="CT95" s="527"/>
      <c r="CU95" s="525"/>
      <c r="CV95" s="526"/>
      <c r="CW95" s="526"/>
      <c r="CX95" s="526"/>
      <c r="CY95" s="526"/>
      <c r="CZ95" s="526"/>
      <c r="DA95" s="526"/>
      <c r="DB95" s="526"/>
      <c r="DC95" s="526"/>
      <c r="DD95" s="526"/>
      <c r="DE95" s="526"/>
      <c r="DF95" s="526"/>
      <c r="DG95" s="533"/>
      <c r="DH95" s="533"/>
      <c r="DI95" s="533"/>
      <c r="DJ95" s="533"/>
      <c r="DK95" s="533"/>
      <c r="DL95" s="533"/>
      <c r="DM95" s="533"/>
      <c r="DN95" s="533"/>
      <c r="DO95" s="533"/>
      <c r="DP95" s="533"/>
      <c r="DQ95" s="533"/>
      <c r="DR95" s="534"/>
      <c r="DS95" s="525"/>
      <c r="DT95" s="526"/>
      <c r="DU95" s="526"/>
      <c r="DV95" s="526"/>
      <c r="DW95" s="526"/>
      <c r="DX95" s="526"/>
      <c r="DY95" s="526"/>
      <c r="DZ95" s="526"/>
      <c r="EA95" s="526"/>
      <c r="EB95" s="526"/>
      <c r="EC95" s="526"/>
      <c r="ED95" s="526"/>
      <c r="EE95" s="526"/>
      <c r="EF95" s="526"/>
      <c r="EG95" s="526"/>
      <c r="EH95" s="526"/>
      <c r="EI95" s="526"/>
      <c r="EJ95" s="526"/>
      <c r="EK95" s="526"/>
      <c r="EL95" s="526"/>
      <c r="EM95" s="526"/>
      <c r="EN95" s="526"/>
      <c r="EO95" s="526"/>
      <c r="EP95" s="535"/>
    </row>
    <row r="96" spans="1:146" ht="18.75" customHeight="1" x14ac:dyDescent="0.15">
      <c r="A96" s="624" t="s">
        <v>263</v>
      </c>
      <c r="B96" s="385" t="s">
        <v>704</v>
      </c>
      <c r="C96" s="525"/>
      <c r="D96" s="526"/>
      <c r="E96" s="526"/>
      <c r="F96" s="526"/>
      <c r="G96" s="526"/>
      <c r="H96" s="526"/>
      <c r="I96" s="526"/>
      <c r="J96" s="526"/>
      <c r="K96" s="526"/>
      <c r="L96" s="526"/>
      <c r="M96" s="526"/>
      <c r="N96" s="526"/>
      <c r="O96" s="526"/>
      <c r="P96" s="526"/>
      <c r="Q96" s="526"/>
      <c r="R96" s="526"/>
      <c r="S96" s="526"/>
      <c r="T96" s="526"/>
      <c r="U96" s="526"/>
      <c r="V96" s="526"/>
      <c r="W96" s="526"/>
      <c r="X96" s="526"/>
      <c r="Y96" s="526"/>
      <c r="Z96" s="527"/>
      <c r="AA96" s="525"/>
      <c r="AB96" s="526"/>
      <c r="AC96" s="526"/>
      <c r="AD96" s="526"/>
      <c r="AE96" s="526"/>
      <c r="AF96" s="526"/>
      <c r="AG96" s="526"/>
      <c r="AH96" s="526"/>
      <c r="AI96" s="526"/>
      <c r="AJ96" s="526"/>
      <c r="AK96" s="526"/>
      <c r="AL96" s="526"/>
      <c r="AM96" s="526"/>
      <c r="AN96" s="526"/>
      <c r="AO96" s="526"/>
      <c r="AP96" s="526"/>
      <c r="AQ96" s="526"/>
      <c r="AR96" s="526"/>
      <c r="AS96" s="526"/>
      <c r="AT96" s="526"/>
      <c r="AU96" s="526"/>
      <c r="AV96" s="526"/>
      <c r="AW96" s="526"/>
      <c r="AX96" s="527"/>
      <c r="AY96" s="525"/>
      <c r="AZ96" s="526"/>
      <c r="BA96" s="526"/>
      <c r="BB96" s="526"/>
      <c r="BC96" s="526"/>
      <c r="BD96" s="526"/>
      <c r="BE96" s="526"/>
      <c r="BF96" s="526"/>
      <c r="BG96" s="526"/>
      <c r="BH96" s="526"/>
      <c r="BI96" s="526"/>
      <c r="BJ96" s="526"/>
      <c r="BK96" s="526"/>
      <c r="BL96" s="526"/>
      <c r="BM96" s="526"/>
      <c r="BN96" s="526"/>
      <c r="BO96" s="526"/>
      <c r="BP96" s="526"/>
      <c r="BQ96" s="526"/>
      <c r="BR96" s="526"/>
      <c r="BS96" s="526"/>
      <c r="BT96" s="526"/>
      <c r="BU96" s="526"/>
      <c r="BV96" s="535"/>
      <c r="BW96" s="525"/>
      <c r="BX96" s="526"/>
      <c r="BY96" s="526"/>
      <c r="BZ96" s="526"/>
      <c r="CA96" s="526"/>
      <c r="CB96" s="526"/>
      <c r="CC96" s="526"/>
      <c r="CD96" s="526"/>
      <c r="CE96" s="526"/>
      <c r="CF96" s="526"/>
      <c r="CG96" s="526"/>
      <c r="CH96" s="526"/>
      <c r="CI96" s="526"/>
      <c r="CJ96" s="526"/>
      <c r="CK96" s="526"/>
      <c r="CL96" s="526"/>
      <c r="CM96" s="526"/>
      <c r="CN96" s="526"/>
      <c r="CO96" s="526"/>
      <c r="CP96" s="526"/>
      <c r="CQ96" s="526"/>
      <c r="CR96" s="526"/>
      <c r="CS96" s="526"/>
      <c r="CT96" s="527"/>
      <c r="CU96" s="525"/>
      <c r="CV96" s="526"/>
      <c r="CW96" s="526"/>
      <c r="CX96" s="526"/>
      <c r="CY96" s="526"/>
      <c r="CZ96" s="526"/>
      <c r="DA96" s="526"/>
      <c r="DB96" s="526"/>
      <c r="DC96" s="526"/>
      <c r="DD96" s="526"/>
      <c r="DE96" s="526"/>
      <c r="DF96" s="526"/>
      <c r="DG96" s="533"/>
      <c r="DH96" s="533"/>
      <c r="DI96" s="533"/>
      <c r="DJ96" s="533"/>
      <c r="DK96" s="533"/>
      <c r="DL96" s="533"/>
      <c r="DM96" s="533"/>
      <c r="DN96" s="533"/>
      <c r="DO96" s="533"/>
      <c r="DP96" s="533"/>
      <c r="DQ96" s="533"/>
      <c r="DR96" s="534"/>
      <c r="DS96" s="525"/>
      <c r="DT96" s="526"/>
      <c r="DU96" s="526"/>
      <c r="DV96" s="526"/>
      <c r="DW96" s="526"/>
      <c r="DX96" s="526"/>
      <c r="DY96" s="526"/>
      <c r="DZ96" s="526"/>
      <c r="EA96" s="526"/>
      <c r="EB96" s="526"/>
      <c r="EC96" s="526"/>
      <c r="ED96" s="526"/>
      <c r="EE96" s="526"/>
      <c r="EF96" s="526"/>
      <c r="EG96" s="526"/>
      <c r="EH96" s="526"/>
      <c r="EI96" s="526"/>
      <c r="EJ96" s="526"/>
      <c r="EK96" s="526"/>
      <c r="EL96" s="526"/>
      <c r="EM96" s="526"/>
      <c r="EN96" s="526"/>
      <c r="EO96" s="526"/>
      <c r="EP96" s="535"/>
    </row>
    <row r="97" spans="1:146" ht="18.75" customHeight="1" x14ac:dyDescent="0.15">
      <c r="A97" s="624" t="s">
        <v>595</v>
      </c>
      <c r="B97" s="385" t="s">
        <v>634</v>
      </c>
      <c r="C97" s="525"/>
      <c r="D97" s="526"/>
      <c r="E97" s="526"/>
      <c r="F97" s="526"/>
      <c r="G97" s="526"/>
      <c r="H97" s="526"/>
      <c r="I97" s="526"/>
      <c r="J97" s="526"/>
      <c r="K97" s="526"/>
      <c r="L97" s="526"/>
      <c r="M97" s="526"/>
      <c r="N97" s="526"/>
      <c r="O97" s="526"/>
      <c r="P97" s="526"/>
      <c r="Q97" s="526"/>
      <c r="R97" s="526"/>
      <c r="S97" s="526"/>
      <c r="T97" s="526"/>
      <c r="U97" s="526"/>
      <c r="V97" s="526"/>
      <c r="W97" s="526"/>
      <c r="X97" s="526"/>
      <c r="Y97" s="526"/>
      <c r="Z97" s="527"/>
      <c r="AA97" s="525"/>
      <c r="AB97" s="526"/>
      <c r="AC97" s="526"/>
      <c r="AD97" s="526"/>
      <c r="AE97" s="526"/>
      <c r="AF97" s="526"/>
      <c r="AG97" s="526"/>
      <c r="AH97" s="526"/>
      <c r="AI97" s="526"/>
      <c r="AJ97" s="526"/>
      <c r="AK97" s="526"/>
      <c r="AL97" s="526"/>
      <c r="AM97" s="526"/>
      <c r="AN97" s="526"/>
      <c r="AO97" s="526"/>
      <c r="AP97" s="526"/>
      <c r="AQ97" s="526"/>
      <c r="AR97" s="526"/>
      <c r="AS97" s="526"/>
      <c r="AT97" s="526"/>
      <c r="AU97" s="526"/>
      <c r="AV97" s="526"/>
      <c r="AW97" s="526"/>
      <c r="AX97" s="527"/>
      <c r="AY97" s="525"/>
      <c r="AZ97" s="526"/>
      <c r="BA97" s="526"/>
      <c r="BB97" s="526"/>
      <c r="BC97" s="526"/>
      <c r="BD97" s="526"/>
      <c r="BE97" s="526"/>
      <c r="BF97" s="526"/>
      <c r="BG97" s="526"/>
      <c r="BH97" s="526"/>
      <c r="BI97" s="526"/>
      <c r="BJ97" s="526"/>
      <c r="BK97" s="526"/>
      <c r="BL97" s="526"/>
      <c r="BM97" s="526"/>
      <c r="BN97" s="526"/>
      <c r="BO97" s="526"/>
      <c r="BP97" s="526"/>
      <c r="BQ97" s="526"/>
      <c r="BR97" s="526"/>
      <c r="BS97" s="526"/>
      <c r="BT97" s="526"/>
      <c r="BU97" s="526"/>
      <c r="BV97" s="535"/>
      <c r="BW97" s="525"/>
      <c r="BX97" s="526"/>
      <c r="BY97" s="526"/>
      <c r="BZ97" s="526"/>
      <c r="CA97" s="526"/>
      <c r="CB97" s="526"/>
      <c r="CC97" s="526"/>
      <c r="CD97" s="526"/>
      <c r="CE97" s="526"/>
      <c r="CF97" s="526"/>
      <c r="CG97" s="526"/>
      <c r="CH97" s="526"/>
      <c r="CI97" s="526"/>
      <c r="CJ97" s="526"/>
      <c r="CK97" s="526"/>
      <c r="CL97" s="526"/>
      <c r="CM97" s="526"/>
      <c r="CN97" s="526"/>
      <c r="CO97" s="526"/>
      <c r="CP97" s="526"/>
      <c r="CQ97" s="526"/>
      <c r="CR97" s="526"/>
      <c r="CS97" s="526"/>
      <c r="CT97" s="527"/>
      <c r="CU97" s="525"/>
      <c r="CV97" s="526"/>
      <c r="CW97" s="526"/>
      <c r="CX97" s="526"/>
      <c r="CY97" s="526"/>
      <c r="CZ97" s="526"/>
      <c r="DA97" s="526"/>
      <c r="DB97" s="526"/>
      <c r="DC97" s="526"/>
      <c r="DD97" s="526"/>
      <c r="DE97" s="526"/>
      <c r="DF97" s="526"/>
      <c r="DG97" s="533"/>
      <c r="DH97" s="533"/>
      <c r="DI97" s="533"/>
      <c r="DJ97" s="533"/>
      <c r="DK97" s="533"/>
      <c r="DL97" s="533"/>
      <c r="DM97" s="533"/>
      <c r="DN97" s="533"/>
      <c r="DO97" s="533"/>
      <c r="DP97" s="533"/>
      <c r="DQ97" s="533"/>
      <c r="DR97" s="534"/>
      <c r="DS97" s="525"/>
      <c r="DT97" s="526"/>
      <c r="DU97" s="526"/>
      <c r="DV97" s="526"/>
      <c r="DW97" s="526"/>
      <c r="DX97" s="526"/>
      <c r="DY97" s="526"/>
      <c r="DZ97" s="526"/>
      <c r="EA97" s="526"/>
      <c r="EB97" s="526"/>
      <c r="EC97" s="526"/>
      <c r="ED97" s="526"/>
      <c r="EE97" s="526"/>
      <c r="EF97" s="526"/>
      <c r="EG97" s="526"/>
      <c r="EH97" s="526"/>
      <c r="EI97" s="526"/>
      <c r="EJ97" s="526"/>
      <c r="EK97" s="526"/>
      <c r="EL97" s="526"/>
      <c r="EM97" s="526"/>
      <c r="EN97" s="526"/>
      <c r="EO97" s="526"/>
      <c r="EP97" s="535"/>
    </row>
    <row r="98" spans="1:146" ht="18.75" customHeight="1" x14ac:dyDescent="0.15">
      <c r="A98" s="624" t="s">
        <v>596</v>
      </c>
      <c r="B98" s="385" t="s">
        <v>635</v>
      </c>
      <c r="C98" s="525"/>
      <c r="D98" s="526"/>
      <c r="E98" s="526"/>
      <c r="F98" s="526"/>
      <c r="G98" s="526"/>
      <c r="H98" s="526"/>
      <c r="I98" s="526"/>
      <c r="J98" s="526"/>
      <c r="K98" s="526"/>
      <c r="L98" s="526"/>
      <c r="M98" s="526"/>
      <c r="N98" s="526"/>
      <c r="O98" s="526"/>
      <c r="P98" s="526"/>
      <c r="Q98" s="526"/>
      <c r="R98" s="526"/>
      <c r="S98" s="526"/>
      <c r="T98" s="526"/>
      <c r="U98" s="526"/>
      <c r="V98" s="526"/>
      <c r="W98" s="526"/>
      <c r="X98" s="526"/>
      <c r="Y98" s="526"/>
      <c r="Z98" s="527"/>
      <c r="AA98" s="525"/>
      <c r="AB98" s="526"/>
      <c r="AC98" s="526"/>
      <c r="AD98" s="526"/>
      <c r="AE98" s="526"/>
      <c r="AF98" s="526"/>
      <c r="AG98" s="526"/>
      <c r="AH98" s="526"/>
      <c r="AI98" s="526"/>
      <c r="AJ98" s="526"/>
      <c r="AK98" s="526"/>
      <c r="AL98" s="526"/>
      <c r="AM98" s="526"/>
      <c r="AN98" s="526"/>
      <c r="AO98" s="526"/>
      <c r="AP98" s="526"/>
      <c r="AQ98" s="526"/>
      <c r="AR98" s="526"/>
      <c r="AS98" s="526"/>
      <c r="AT98" s="526"/>
      <c r="AU98" s="526"/>
      <c r="AV98" s="526"/>
      <c r="AW98" s="526"/>
      <c r="AX98" s="527"/>
      <c r="AY98" s="525"/>
      <c r="AZ98" s="526"/>
      <c r="BA98" s="526"/>
      <c r="BB98" s="526"/>
      <c r="BC98" s="526"/>
      <c r="BD98" s="526"/>
      <c r="BE98" s="526"/>
      <c r="BF98" s="526"/>
      <c r="BG98" s="526"/>
      <c r="BH98" s="526"/>
      <c r="BI98" s="526"/>
      <c r="BJ98" s="526"/>
      <c r="BK98" s="526"/>
      <c r="BL98" s="526"/>
      <c r="BM98" s="526"/>
      <c r="BN98" s="526"/>
      <c r="BO98" s="526"/>
      <c r="BP98" s="526"/>
      <c r="BQ98" s="526"/>
      <c r="BR98" s="526"/>
      <c r="BS98" s="526"/>
      <c r="BT98" s="526"/>
      <c r="BU98" s="526"/>
      <c r="BV98" s="535"/>
      <c r="BW98" s="525"/>
      <c r="BX98" s="526"/>
      <c r="BY98" s="526"/>
      <c r="BZ98" s="526"/>
      <c r="CA98" s="526"/>
      <c r="CB98" s="526"/>
      <c r="CC98" s="526"/>
      <c r="CD98" s="526"/>
      <c r="CE98" s="526"/>
      <c r="CF98" s="526"/>
      <c r="CG98" s="526"/>
      <c r="CH98" s="526"/>
      <c r="CI98" s="526"/>
      <c r="CJ98" s="526"/>
      <c r="CK98" s="526"/>
      <c r="CL98" s="526"/>
      <c r="CM98" s="526"/>
      <c r="CN98" s="526"/>
      <c r="CO98" s="526"/>
      <c r="CP98" s="526"/>
      <c r="CQ98" s="526"/>
      <c r="CR98" s="526"/>
      <c r="CS98" s="526"/>
      <c r="CT98" s="527"/>
      <c r="CU98" s="525"/>
      <c r="CV98" s="526"/>
      <c r="CW98" s="526"/>
      <c r="CX98" s="526"/>
      <c r="CY98" s="526"/>
      <c r="CZ98" s="526"/>
      <c r="DA98" s="526"/>
      <c r="DB98" s="526"/>
      <c r="DC98" s="526"/>
      <c r="DD98" s="526"/>
      <c r="DE98" s="526"/>
      <c r="DF98" s="526"/>
      <c r="DG98" s="533"/>
      <c r="DH98" s="533"/>
      <c r="DI98" s="533"/>
      <c r="DJ98" s="533"/>
      <c r="DK98" s="533"/>
      <c r="DL98" s="533"/>
      <c r="DM98" s="533"/>
      <c r="DN98" s="533"/>
      <c r="DO98" s="533"/>
      <c r="DP98" s="533"/>
      <c r="DQ98" s="533"/>
      <c r="DR98" s="534"/>
      <c r="DS98" s="525"/>
      <c r="DT98" s="526"/>
      <c r="DU98" s="526"/>
      <c r="DV98" s="526"/>
      <c r="DW98" s="526"/>
      <c r="DX98" s="526"/>
      <c r="DY98" s="526"/>
      <c r="DZ98" s="526"/>
      <c r="EA98" s="526"/>
      <c r="EB98" s="526"/>
      <c r="EC98" s="526"/>
      <c r="ED98" s="526"/>
      <c r="EE98" s="526"/>
      <c r="EF98" s="526"/>
      <c r="EG98" s="526"/>
      <c r="EH98" s="526"/>
      <c r="EI98" s="526"/>
      <c r="EJ98" s="526"/>
      <c r="EK98" s="526"/>
      <c r="EL98" s="526"/>
      <c r="EM98" s="526"/>
      <c r="EN98" s="526"/>
      <c r="EO98" s="526"/>
      <c r="EP98" s="535"/>
    </row>
    <row r="99" spans="1:146" ht="30" customHeight="1" x14ac:dyDescent="0.15">
      <c r="A99" s="624" t="s">
        <v>699</v>
      </c>
      <c r="B99" s="385" t="s">
        <v>585</v>
      </c>
      <c r="C99" s="525"/>
      <c r="D99" s="526"/>
      <c r="E99" s="526"/>
      <c r="F99" s="526"/>
      <c r="G99" s="526"/>
      <c r="H99" s="526"/>
      <c r="I99" s="526"/>
      <c r="J99" s="526"/>
      <c r="K99" s="526"/>
      <c r="L99" s="526"/>
      <c r="M99" s="526"/>
      <c r="N99" s="526"/>
      <c r="O99" s="526"/>
      <c r="P99" s="526"/>
      <c r="Q99" s="526"/>
      <c r="R99" s="526"/>
      <c r="S99" s="526"/>
      <c r="T99" s="526"/>
      <c r="U99" s="526"/>
      <c r="V99" s="526"/>
      <c r="W99" s="526"/>
      <c r="X99" s="526"/>
      <c r="Y99" s="526"/>
      <c r="Z99" s="527"/>
      <c r="AA99" s="525"/>
      <c r="AB99" s="526"/>
      <c r="AC99" s="526"/>
      <c r="AD99" s="526"/>
      <c r="AE99" s="526"/>
      <c r="AF99" s="526"/>
      <c r="AG99" s="526"/>
      <c r="AH99" s="526"/>
      <c r="AI99" s="526"/>
      <c r="AJ99" s="526"/>
      <c r="AK99" s="526"/>
      <c r="AL99" s="526"/>
      <c r="AM99" s="526"/>
      <c r="AN99" s="526"/>
      <c r="AO99" s="526"/>
      <c r="AP99" s="526"/>
      <c r="AQ99" s="526"/>
      <c r="AR99" s="526"/>
      <c r="AS99" s="526"/>
      <c r="AT99" s="526"/>
      <c r="AU99" s="526"/>
      <c r="AV99" s="526"/>
      <c r="AW99" s="526"/>
      <c r="AX99" s="527"/>
      <c r="AY99" s="525"/>
      <c r="AZ99" s="526"/>
      <c r="BA99" s="526"/>
      <c r="BB99" s="526"/>
      <c r="BC99" s="526"/>
      <c r="BD99" s="526"/>
      <c r="BE99" s="526"/>
      <c r="BF99" s="526"/>
      <c r="BG99" s="526"/>
      <c r="BH99" s="526"/>
      <c r="BI99" s="526"/>
      <c r="BJ99" s="526"/>
      <c r="BK99" s="526"/>
      <c r="BL99" s="526"/>
      <c r="BM99" s="526"/>
      <c r="BN99" s="526"/>
      <c r="BO99" s="526"/>
      <c r="BP99" s="526"/>
      <c r="BQ99" s="526"/>
      <c r="BR99" s="526"/>
      <c r="BS99" s="526"/>
      <c r="BT99" s="526"/>
      <c r="BU99" s="526"/>
      <c r="BV99" s="535"/>
      <c r="BW99" s="525"/>
      <c r="BX99" s="526"/>
      <c r="BY99" s="526"/>
      <c r="BZ99" s="526"/>
      <c r="CA99" s="526"/>
      <c r="CB99" s="526"/>
      <c r="CC99" s="526"/>
      <c r="CD99" s="526"/>
      <c r="CE99" s="526"/>
      <c r="CF99" s="526"/>
      <c r="CG99" s="526"/>
      <c r="CH99" s="526"/>
      <c r="CI99" s="526"/>
      <c r="CJ99" s="526"/>
      <c r="CK99" s="526"/>
      <c r="CL99" s="526"/>
      <c r="CM99" s="526"/>
      <c r="CN99" s="526"/>
      <c r="CO99" s="526"/>
      <c r="CP99" s="526"/>
      <c r="CQ99" s="526"/>
      <c r="CR99" s="526"/>
      <c r="CS99" s="526"/>
      <c r="CT99" s="527"/>
      <c r="CU99" s="525"/>
      <c r="CV99" s="526"/>
      <c r="CW99" s="526"/>
      <c r="CX99" s="526"/>
      <c r="CY99" s="526"/>
      <c r="CZ99" s="526"/>
      <c r="DA99" s="526"/>
      <c r="DB99" s="526"/>
      <c r="DC99" s="526"/>
      <c r="DD99" s="526"/>
      <c r="DE99" s="526"/>
      <c r="DF99" s="526"/>
      <c r="DG99" s="533"/>
      <c r="DH99" s="533"/>
      <c r="DI99" s="533"/>
      <c r="DJ99" s="533"/>
      <c r="DK99" s="533"/>
      <c r="DL99" s="533"/>
      <c r="DM99" s="526"/>
      <c r="DN99" s="526"/>
      <c r="DO99" s="526"/>
      <c r="DP99" s="526"/>
      <c r="DQ99" s="526"/>
      <c r="DR99" s="527"/>
      <c r="DS99" s="525"/>
      <c r="DT99" s="526"/>
      <c r="DU99" s="526"/>
      <c r="DV99" s="526"/>
      <c r="DW99" s="526"/>
      <c r="DX99" s="526"/>
      <c r="DY99" s="526"/>
      <c r="DZ99" s="526"/>
      <c r="EA99" s="526"/>
      <c r="EB99" s="526"/>
      <c r="EC99" s="526"/>
      <c r="ED99" s="526"/>
      <c r="EE99" s="526"/>
      <c r="EF99" s="526"/>
      <c r="EG99" s="526"/>
      <c r="EH99" s="526"/>
      <c r="EI99" s="526"/>
      <c r="EJ99" s="526"/>
      <c r="EK99" s="526"/>
      <c r="EL99" s="526"/>
      <c r="EM99" s="526"/>
      <c r="EN99" s="526"/>
      <c r="EO99" s="526"/>
      <c r="EP99" s="535"/>
    </row>
    <row r="100" spans="1:146" ht="18.75" customHeight="1" thickBot="1" x14ac:dyDescent="0.2">
      <c r="A100" s="624" t="s">
        <v>700</v>
      </c>
      <c r="B100" s="385" t="s">
        <v>703</v>
      </c>
      <c r="C100" s="508"/>
      <c r="D100" s="509"/>
      <c r="E100" s="509"/>
      <c r="F100" s="509"/>
      <c r="G100" s="509"/>
      <c r="H100" s="509"/>
      <c r="I100" s="509"/>
      <c r="J100" s="509"/>
      <c r="K100" s="509"/>
      <c r="L100" s="509"/>
      <c r="M100" s="509"/>
      <c r="N100" s="509"/>
      <c r="O100" s="509"/>
      <c r="P100" s="509"/>
      <c r="Q100" s="509"/>
      <c r="R100" s="509"/>
      <c r="S100" s="509"/>
      <c r="T100" s="509"/>
      <c r="U100" s="509"/>
      <c r="V100" s="509"/>
      <c r="W100" s="509"/>
      <c r="X100" s="509"/>
      <c r="Y100" s="509"/>
      <c r="Z100" s="515"/>
      <c r="AA100" s="508"/>
      <c r="AB100" s="509"/>
      <c r="AC100" s="509"/>
      <c r="AD100" s="509"/>
      <c r="AE100" s="509"/>
      <c r="AF100" s="509"/>
      <c r="AG100" s="509"/>
      <c r="AH100" s="509"/>
      <c r="AI100" s="509"/>
      <c r="AJ100" s="509"/>
      <c r="AK100" s="509"/>
      <c r="AL100" s="509"/>
      <c r="AM100" s="509"/>
      <c r="AN100" s="509"/>
      <c r="AO100" s="509"/>
      <c r="AP100" s="509"/>
      <c r="AQ100" s="509"/>
      <c r="AR100" s="509"/>
      <c r="AS100" s="509"/>
      <c r="AT100" s="509"/>
      <c r="AU100" s="509"/>
      <c r="AV100" s="509"/>
      <c r="AW100" s="509"/>
      <c r="AX100" s="515"/>
      <c r="AY100" s="508"/>
      <c r="AZ100" s="509"/>
      <c r="BA100" s="509"/>
      <c r="BB100" s="509"/>
      <c r="BC100" s="509"/>
      <c r="BD100" s="509"/>
      <c r="BE100" s="509"/>
      <c r="BF100" s="509"/>
      <c r="BG100" s="509"/>
      <c r="BH100" s="509"/>
      <c r="BI100" s="509"/>
      <c r="BJ100" s="509"/>
      <c r="BK100" s="509"/>
      <c r="BL100" s="509"/>
      <c r="BM100" s="509"/>
      <c r="BN100" s="509"/>
      <c r="BO100" s="509"/>
      <c r="BP100" s="509"/>
      <c r="BQ100" s="509"/>
      <c r="BR100" s="509"/>
      <c r="BS100" s="509"/>
      <c r="BT100" s="509"/>
      <c r="BU100" s="509"/>
      <c r="BV100" s="515"/>
      <c r="BW100" s="508"/>
      <c r="BX100" s="509"/>
      <c r="BY100" s="509"/>
      <c r="BZ100" s="509"/>
      <c r="CA100" s="509"/>
      <c r="CB100" s="509"/>
      <c r="CC100" s="509"/>
      <c r="CD100" s="509"/>
      <c r="CE100" s="509"/>
      <c r="CF100" s="509"/>
      <c r="CG100" s="509"/>
      <c r="CH100" s="509"/>
      <c r="CI100" s="509"/>
      <c r="CJ100" s="509"/>
      <c r="CK100" s="509"/>
      <c r="CL100" s="509"/>
      <c r="CM100" s="509"/>
      <c r="CN100" s="509"/>
      <c r="CO100" s="509"/>
      <c r="CP100" s="509"/>
      <c r="CQ100" s="509"/>
      <c r="CR100" s="509"/>
      <c r="CS100" s="509"/>
      <c r="CT100" s="515"/>
      <c r="CU100" s="508"/>
      <c r="CV100" s="509"/>
      <c r="CW100" s="509"/>
      <c r="CX100" s="509"/>
      <c r="CY100" s="509"/>
      <c r="CZ100" s="509"/>
      <c r="DA100" s="509"/>
      <c r="DB100" s="509"/>
      <c r="DC100" s="509"/>
      <c r="DD100" s="509"/>
      <c r="DE100" s="509"/>
      <c r="DF100" s="509"/>
      <c r="DG100" s="509"/>
      <c r="DH100" s="509"/>
      <c r="DI100" s="509"/>
      <c r="DJ100" s="523"/>
      <c r="DK100" s="523"/>
      <c r="DL100" s="523"/>
      <c r="DM100" s="523"/>
      <c r="DN100" s="523"/>
      <c r="DO100" s="523"/>
      <c r="DP100" s="509"/>
      <c r="DQ100" s="509"/>
      <c r="DR100" s="515"/>
      <c r="DS100" s="508"/>
      <c r="DT100" s="509"/>
      <c r="DU100" s="509"/>
      <c r="DV100" s="509"/>
      <c r="DW100" s="509"/>
      <c r="DX100" s="509"/>
      <c r="DY100" s="509"/>
      <c r="DZ100" s="509"/>
      <c r="EA100" s="509"/>
      <c r="EB100" s="509"/>
      <c r="EC100" s="509"/>
      <c r="ED100" s="509"/>
      <c r="EE100" s="509"/>
      <c r="EF100" s="509"/>
      <c r="EG100" s="509"/>
      <c r="EH100" s="509"/>
      <c r="EI100" s="509"/>
      <c r="EJ100" s="509"/>
      <c r="EK100" s="509"/>
      <c r="EL100" s="509"/>
      <c r="EM100" s="509"/>
      <c r="EN100" s="509"/>
      <c r="EO100" s="509"/>
      <c r="EP100" s="515"/>
    </row>
    <row r="101" spans="1:146" s="12" customFormat="1" ht="21.75" customHeight="1" thickBot="1" x14ac:dyDescent="0.2">
      <c r="A101" s="488">
        <v>9</v>
      </c>
      <c r="B101" s="1058" t="s">
        <v>107</v>
      </c>
      <c r="C101" s="1058"/>
      <c r="D101" s="1058"/>
      <c r="E101" s="1058"/>
      <c r="F101" s="1058"/>
      <c r="G101" s="1058"/>
      <c r="H101" s="1058"/>
      <c r="I101" s="1058"/>
      <c r="J101" s="1058"/>
      <c r="K101" s="1058"/>
      <c r="L101" s="1058"/>
      <c r="M101" s="1058"/>
      <c r="N101" s="1058"/>
      <c r="O101" s="1058"/>
      <c r="P101" s="1058"/>
      <c r="Q101" s="1058"/>
      <c r="R101" s="1058"/>
      <c r="S101" s="1058"/>
      <c r="T101" s="1058"/>
      <c r="U101" s="1058"/>
      <c r="V101" s="1058"/>
      <c r="W101" s="1058"/>
      <c r="X101" s="1058"/>
      <c r="Y101" s="1058"/>
      <c r="Z101" s="1058"/>
      <c r="AA101" s="1058"/>
      <c r="AB101" s="1058"/>
      <c r="AC101" s="1058"/>
      <c r="AD101" s="1058"/>
      <c r="AE101" s="1058"/>
      <c r="AF101" s="1058"/>
      <c r="AG101" s="1058"/>
      <c r="AH101" s="1058"/>
      <c r="AI101" s="1058"/>
      <c r="AJ101" s="1058"/>
      <c r="AK101" s="1058"/>
      <c r="AL101" s="1058"/>
      <c r="AM101" s="1058"/>
      <c r="AN101" s="1058"/>
      <c r="AO101" s="1058"/>
      <c r="AP101" s="1058"/>
      <c r="AQ101" s="1058"/>
      <c r="AR101" s="1058"/>
      <c r="AS101" s="1058"/>
      <c r="AT101" s="1058"/>
      <c r="AU101" s="1058"/>
      <c r="AV101" s="1058"/>
      <c r="AW101" s="1058"/>
      <c r="AX101" s="1058"/>
      <c r="AY101" s="1058"/>
      <c r="AZ101" s="1058"/>
      <c r="BA101" s="1058"/>
      <c r="BB101" s="1058"/>
      <c r="BC101" s="1058"/>
      <c r="BD101" s="1058"/>
      <c r="BE101" s="1058"/>
      <c r="BF101" s="1058"/>
      <c r="BG101" s="1058"/>
      <c r="BH101" s="1058"/>
      <c r="BI101" s="1058"/>
      <c r="BJ101" s="1058"/>
      <c r="BK101" s="1058"/>
      <c r="BL101" s="1058"/>
      <c r="BM101" s="1058"/>
      <c r="BN101" s="1058"/>
      <c r="BO101" s="1058"/>
      <c r="BP101" s="1058"/>
      <c r="BQ101" s="1058"/>
      <c r="BR101" s="1058"/>
      <c r="BS101" s="1058"/>
      <c r="BT101" s="1058"/>
      <c r="BU101" s="1058"/>
      <c r="BV101" s="1058"/>
      <c r="BW101" s="1058"/>
      <c r="BX101" s="1058"/>
      <c r="BY101" s="1058"/>
      <c r="BZ101" s="1058"/>
      <c r="CA101" s="1058"/>
      <c r="CB101" s="1058"/>
      <c r="CC101" s="1058"/>
      <c r="CD101" s="1058"/>
      <c r="CE101" s="1058"/>
      <c r="CF101" s="1058"/>
      <c r="CG101" s="1058"/>
      <c r="CH101" s="1058"/>
      <c r="CI101" s="1058"/>
      <c r="CJ101" s="1058"/>
      <c r="CK101" s="1058"/>
      <c r="CL101" s="1058"/>
      <c r="CM101" s="1058"/>
      <c r="CN101" s="1058"/>
      <c r="CO101" s="1058"/>
      <c r="CP101" s="1058"/>
      <c r="CQ101" s="1058"/>
      <c r="CR101" s="1058"/>
      <c r="CS101" s="1058"/>
      <c r="CT101" s="1058"/>
      <c r="CU101" s="1058"/>
      <c r="CV101" s="1058"/>
      <c r="CW101" s="1058"/>
      <c r="CX101" s="1058"/>
      <c r="CY101" s="1058"/>
      <c r="CZ101" s="1058"/>
      <c r="DA101" s="1058"/>
      <c r="DB101" s="1058"/>
      <c r="DC101" s="1058"/>
      <c r="DD101" s="1058"/>
      <c r="DE101" s="1058"/>
      <c r="DF101" s="1058"/>
      <c r="DG101" s="1058"/>
      <c r="DH101" s="1058"/>
      <c r="DI101" s="1058"/>
      <c r="DJ101" s="1058"/>
      <c r="DK101" s="1058"/>
      <c r="DL101" s="1058"/>
      <c r="DM101" s="1058"/>
      <c r="DN101" s="1058"/>
      <c r="DO101" s="1058"/>
      <c r="DP101" s="1058"/>
      <c r="DQ101" s="1058"/>
      <c r="DR101" s="1058"/>
      <c r="DS101" s="1058"/>
      <c r="DT101" s="1058"/>
      <c r="DU101" s="1058"/>
      <c r="DV101" s="1058"/>
      <c r="DW101" s="1058"/>
      <c r="DX101" s="1058"/>
      <c r="DY101" s="1058"/>
      <c r="DZ101" s="1058"/>
      <c r="EA101" s="1058"/>
      <c r="EB101" s="1058"/>
      <c r="EC101" s="1058"/>
      <c r="ED101" s="1058"/>
      <c r="EE101" s="1058"/>
      <c r="EF101" s="1058"/>
      <c r="EG101" s="1058"/>
      <c r="EH101" s="1058"/>
      <c r="EI101" s="1058"/>
      <c r="EJ101" s="1058"/>
      <c r="EK101" s="1058"/>
      <c r="EL101" s="1058"/>
      <c r="EM101" s="1058"/>
      <c r="EN101" s="1058"/>
      <c r="EO101" s="1058"/>
      <c r="EP101" s="1059"/>
    </row>
    <row r="102" spans="1:146" ht="15" customHeight="1" x14ac:dyDescent="0.15">
      <c r="A102" s="1060" t="s">
        <v>0</v>
      </c>
      <c r="B102" s="1061" t="s">
        <v>743</v>
      </c>
      <c r="C102" s="1052" t="s">
        <v>744</v>
      </c>
      <c r="D102" s="1053"/>
      <c r="E102" s="1053"/>
      <c r="F102" s="1053"/>
      <c r="G102" s="1053"/>
      <c r="H102" s="1053"/>
      <c r="I102" s="1053"/>
      <c r="J102" s="1053"/>
      <c r="K102" s="1053"/>
      <c r="L102" s="1053"/>
      <c r="M102" s="1053"/>
      <c r="N102" s="1053"/>
      <c r="O102" s="1053"/>
      <c r="P102" s="1053"/>
      <c r="Q102" s="1053"/>
      <c r="R102" s="1053"/>
      <c r="S102" s="1053"/>
      <c r="T102" s="1053"/>
      <c r="U102" s="1053"/>
      <c r="V102" s="1053"/>
      <c r="W102" s="1053"/>
      <c r="X102" s="1053"/>
      <c r="Y102" s="1053"/>
      <c r="Z102" s="1054"/>
      <c r="AA102" s="1052" t="s">
        <v>745</v>
      </c>
      <c r="AB102" s="1053"/>
      <c r="AC102" s="1053"/>
      <c r="AD102" s="1053"/>
      <c r="AE102" s="1053"/>
      <c r="AF102" s="1053"/>
      <c r="AG102" s="1053"/>
      <c r="AH102" s="1053"/>
      <c r="AI102" s="1053"/>
      <c r="AJ102" s="1053"/>
      <c r="AK102" s="1053"/>
      <c r="AL102" s="1053"/>
      <c r="AM102" s="1053"/>
      <c r="AN102" s="1053"/>
      <c r="AO102" s="1053"/>
      <c r="AP102" s="1053"/>
      <c r="AQ102" s="1053"/>
      <c r="AR102" s="1053"/>
      <c r="AS102" s="1053"/>
      <c r="AT102" s="1053"/>
      <c r="AU102" s="1053"/>
      <c r="AV102" s="1053"/>
      <c r="AW102" s="1053"/>
      <c r="AX102" s="1054"/>
      <c r="AY102" s="1052" t="s">
        <v>746</v>
      </c>
      <c r="AZ102" s="1053"/>
      <c r="BA102" s="1053"/>
      <c r="BB102" s="1053"/>
      <c r="BC102" s="1053"/>
      <c r="BD102" s="1053"/>
      <c r="BE102" s="1053"/>
      <c r="BF102" s="1053"/>
      <c r="BG102" s="1053"/>
      <c r="BH102" s="1053"/>
      <c r="BI102" s="1053"/>
      <c r="BJ102" s="1053"/>
      <c r="BK102" s="1053"/>
      <c r="BL102" s="1053"/>
      <c r="BM102" s="1053"/>
      <c r="BN102" s="1053"/>
      <c r="BO102" s="1053"/>
      <c r="BP102" s="1053"/>
      <c r="BQ102" s="1053"/>
      <c r="BR102" s="1053"/>
      <c r="BS102" s="1053"/>
      <c r="BT102" s="1053"/>
      <c r="BU102" s="1053"/>
      <c r="BV102" s="1054"/>
      <c r="BW102" s="1052" t="s">
        <v>747</v>
      </c>
      <c r="BX102" s="1053"/>
      <c r="BY102" s="1053"/>
      <c r="BZ102" s="1053"/>
      <c r="CA102" s="1053"/>
      <c r="CB102" s="1053"/>
      <c r="CC102" s="1053"/>
      <c r="CD102" s="1053"/>
      <c r="CE102" s="1053"/>
      <c r="CF102" s="1053"/>
      <c r="CG102" s="1053"/>
      <c r="CH102" s="1053"/>
      <c r="CI102" s="1053"/>
      <c r="CJ102" s="1053"/>
      <c r="CK102" s="1053"/>
      <c r="CL102" s="1053"/>
      <c r="CM102" s="1053"/>
      <c r="CN102" s="1053"/>
      <c r="CO102" s="1053"/>
      <c r="CP102" s="1053"/>
      <c r="CQ102" s="1053"/>
      <c r="CR102" s="1053"/>
      <c r="CS102" s="1053"/>
      <c r="CT102" s="1054"/>
      <c r="CU102" s="1052" t="s">
        <v>748</v>
      </c>
      <c r="CV102" s="1053"/>
      <c r="CW102" s="1053"/>
      <c r="CX102" s="1053"/>
      <c r="CY102" s="1053"/>
      <c r="CZ102" s="1053"/>
      <c r="DA102" s="1053"/>
      <c r="DB102" s="1053"/>
      <c r="DC102" s="1053"/>
      <c r="DD102" s="1053"/>
      <c r="DE102" s="1053"/>
      <c r="DF102" s="1053"/>
      <c r="DG102" s="1053"/>
      <c r="DH102" s="1053"/>
      <c r="DI102" s="1053"/>
      <c r="DJ102" s="1053"/>
      <c r="DK102" s="1053"/>
      <c r="DL102" s="1053"/>
      <c r="DM102" s="1053"/>
      <c r="DN102" s="1053"/>
      <c r="DO102" s="1053"/>
      <c r="DP102" s="1053"/>
      <c r="DQ102" s="1053"/>
      <c r="DR102" s="1054"/>
      <c r="DS102" s="1052" t="s">
        <v>749</v>
      </c>
      <c r="DT102" s="1053"/>
      <c r="DU102" s="1053"/>
      <c r="DV102" s="1053"/>
      <c r="DW102" s="1053"/>
      <c r="DX102" s="1053"/>
      <c r="DY102" s="1053"/>
      <c r="DZ102" s="1053"/>
      <c r="EA102" s="1053"/>
      <c r="EB102" s="1053"/>
      <c r="EC102" s="1053"/>
      <c r="ED102" s="1053"/>
      <c r="EE102" s="1053"/>
      <c r="EF102" s="1053"/>
      <c r="EG102" s="1053"/>
      <c r="EH102" s="1053"/>
      <c r="EI102" s="1053"/>
      <c r="EJ102" s="1053"/>
      <c r="EK102" s="1053"/>
      <c r="EL102" s="1053"/>
      <c r="EM102" s="1053"/>
      <c r="EN102" s="1053"/>
      <c r="EO102" s="1053"/>
      <c r="EP102" s="1054"/>
    </row>
    <row r="103" spans="1:146" ht="14.25" customHeight="1" x14ac:dyDescent="0.15">
      <c r="A103" s="1060"/>
      <c r="B103" s="1061"/>
      <c r="C103" s="1057" t="s">
        <v>750</v>
      </c>
      <c r="D103" s="1055"/>
      <c r="E103" s="1055"/>
      <c r="F103" s="1055"/>
      <c r="G103" s="1055"/>
      <c r="H103" s="1055"/>
      <c r="I103" s="1055" t="s">
        <v>751</v>
      </c>
      <c r="J103" s="1055"/>
      <c r="K103" s="1055"/>
      <c r="L103" s="1055"/>
      <c r="M103" s="1055"/>
      <c r="N103" s="1055"/>
      <c r="O103" s="1055" t="s">
        <v>752</v>
      </c>
      <c r="P103" s="1055"/>
      <c r="Q103" s="1055"/>
      <c r="R103" s="1055"/>
      <c r="S103" s="1055"/>
      <c r="T103" s="1055"/>
      <c r="U103" s="1055" t="s">
        <v>753</v>
      </c>
      <c r="V103" s="1055"/>
      <c r="W103" s="1055"/>
      <c r="X103" s="1055"/>
      <c r="Y103" s="1055"/>
      <c r="Z103" s="1056"/>
      <c r="AA103" s="1057" t="s">
        <v>754</v>
      </c>
      <c r="AB103" s="1055"/>
      <c r="AC103" s="1055"/>
      <c r="AD103" s="1055"/>
      <c r="AE103" s="1055"/>
      <c r="AF103" s="1055"/>
      <c r="AG103" s="1055" t="s">
        <v>751</v>
      </c>
      <c r="AH103" s="1055"/>
      <c r="AI103" s="1055"/>
      <c r="AJ103" s="1055"/>
      <c r="AK103" s="1055"/>
      <c r="AL103" s="1055"/>
      <c r="AM103" s="1055" t="s">
        <v>752</v>
      </c>
      <c r="AN103" s="1055"/>
      <c r="AO103" s="1055"/>
      <c r="AP103" s="1055"/>
      <c r="AQ103" s="1055"/>
      <c r="AR103" s="1055"/>
      <c r="AS103" s="1055" t="s">
        <v>753</v>
      </c>
      <c r="AT103" s="1055"/>
      <c r="AU103" s="1055"/>
      <c r="AV103" s="1055"/>
      <c r="AW103" s="1055"/>
      <c r="AX103" s="1056"/>
      <c r="AY103" s="1057" t="s">
        <v>754</v>
      </c>
      <c r="AZ103" s="1055"/>
      <c r="BA103" s="1055"/>
      <c r="BB103" s="1055"/>
      <c r="BC103" s="1055"/>
      <c r="BD103" s="1055"/>
      <c r="BE103" s="1055" t="s">
        <v>751</v>
      </c>
      <c r="BF103" s="1055"/>
      <c r="BG103" s="1055"/>
      <c r="BH103" s="1055"/>
      <c r="BI103" s="1055"/>
      <c r="BJ103" s="1055"/>
      <c r="BK103" s="1055" t="s">
        <v>752</v>
      </c>
      <c r="BL103" s="1055"/>
      <c r="BM103" s="1055"/>
      <c r="BN103" s="1055"/>
      <c r="BO103" s="1055"/>
      <c r="BP103" s="1055"/>
      <c r="BQ103" s="1055" t="s">
        <v>753</v>
      </c>
      <c r="BR103" s="1055"/>
      <c r="BS103" s="1055"/>
      <c r="BT103" s="1055"/>
      <c r="BU103" s="1055"/>
      <c r="BV103" s="1056"/>
      <c r="BW103" s="1057" t="s">
        <v>750</v>
      </c>
      <c r="BX103" s="1055"/>
      <c r="BY103" s="1055"/>
      <c r="BZ103" s="1055"/>
      <c r="CA103" s="1055"/>
      <c r="CB103" s="1055"/>
      <c r="CC103" s="1055" t="s">
        <v>751</v>
      </c>
      <c r="CD103" s="1055"/>
      <c r="CE103" s="1055"/>
      <c r="CF103" s="1055"/>
      <c r="CG103" s="1055"/>
      <c r="CH103" s="1055"/>
      <c r="CI103" s="1055" t="s">
        <v>752</v>
      </c>
      <c r="CJ103" s="1055"/>
      <c r="CK103" s="1055"/>
      <c r="CL103" s="1055"/>
      <c r="CM103" s="1055"/>
      <c r="CN103" s="1055"/>
      <c r="CO103" s="1055" t="s">
        <v>753</v>
      </c>
      <c r="CP103" s="1055"/>
      <c r="CQ103" s="1055"/>
      <c r="CR103" s="1055"/>
      <c r="CS103" s="1055"/>
      <c r="CT103" s="1056"/>
      <c r="CU103" s="1057" t="s">
        <v>754</v>
      </c>
      <c r="CV103" s="1055"/>
      <c r="CW103" s="1055"/>
      <c r="CX103" s="1055"/>
      <c r="CY103" s="1055"/>
      <c r="CZ103" s="1055"/>
      <c r="DA103" s="1055" t="s">
        <v>751</v>
      </c>
      <c r="DB103" s="1055"/>
      <c r="DC103" s="1055"/>
      <c r="DD103" s="1055"/>
      <c r="DE103" s="1055"/>
      <c r="DF103" s="1055"/>
      <c r="DG103" s="1055" t="s">
        <v>752</v>
      </c>
      <c r="DH103" s="1055"/>
      <c r="DI103" s="1055"/>
      <c r="DJ103" s="1055"/>
      <c r="DK103" s="1055"/>
      <c r="DL103" s="1055"/>
      <c r="DM103" s="1055" t="s">
        <v>753</v>
      </c>
      <c r="DN103" s="1055"/>
      <c r="DO103" s="1055"/>
      <c r="DP103" s="1055"/>
      <c r="DQ103" s="1055"/>
      <c r="DR103" s="1056"/>
      <c r="DS103" s="1057" t="s">
        <v>754</v>
      </c>
      <c r="DT103" s="1055"/>
      <c r="DU103" s="1055"/>
      <c r="DV103" s="1055"/>
      <c r="DW103" s="1055"/>
      <c r="DX103" s="1055"/>
      <c r="DY103" s="1055" t="s">
        <v>751</v>
      </c>
      <c r="DZ103" s="1055"/>
      <c r="EA103" s="1055"/>
      <c r="EB103" s="1055"/>
      <c r="EC103" s="1055"/>
      <c r="ED103" s="1055"/>
      <c r="EE103" s="1055" t="s">
        <v>752</v>
      </c>
      <c r="EF103" s="1055"/>
      <c r="EG103" s="1055"/>
      <c r="EH103" s="1055"/>
      <c r="EI103" s="1055"/>
      <c r="EJ103" s="1055"/>
      <c r="EK103" s="1055" t="s">
        <v>753</v>
      </c>
      <c r="EL103" s="1055"/>
      <c r="EM103" s="1055"/>
      <c r="EN103" s="1055"/>
      <c r="EO103" s="1055"/>
      <c r="EP103" s="1056"/>
    </row>
    <row r="104" spans="1:146" ht="24.75" customHeight="1" thickBot="1" x14ac:dyDescent="0.2">
      <c r="A104" s="1060"/>
      <c r="B104" s="1061"/>
      <c r="C104" s="1049" t="s">
        <v>755</v>
      </c>
      <c r="D104" s="1047"/>
      <c r="E104" s="1047"/>
      <c r="F104" s="1047"/>
      <c r="G104" s="1047"/>
      <c r="H104" s="1047"/>
      <c r="I104" s="1047" t="s">
        <v>755</v>
      </c>
      <c r="J104" s="1047"/>
      <c r="K104" s="1047"/>
      <c r="L104" s="1047"/>
      <c r="M104" s="1047"/>
      <c r="N104" s="1047"/>
      <c r="O104" s="1047" t="s">
        <v>755</v>
      </c>
      <c r="P104" s="1047"/>
      <c r="Q104" s="1047"/>
      <c r="R104" s="1047"/>
      <c r="S104" s="1047"/>
      <c r="T104" s="1047"/>
      <c r="U104" s="1047" t="s">
        <v>755</v>
      </c>
      <c r="V104" s="1047"/>
      <c r="W104" s="1047"/>
      <c r="X104" s="1047"/>
      <c r="Y104" s="1047"/>
      <c r="Z104" s="1048"/>
      <c r="AA104" s="1049" t="s">
        <v>755</v>
      </c>
      <c r="AB104" s="1047"/>
      <c r="AC104" s="1047"/>
      <c r="AD104" s="1047"/>
      <c r="AE104" s="1047"/>
      <c r="AF104" s="1047"/>
      <c r="AG104" s="1047" t="s">
        <v>755</v>
      </c>
      <c r="AH104" s="1047"/>
      <c r="AI104" s="1047"/>
      <c r="AJ104" s="1047"/>
      <c r="AK104" s="1047"/>
      <c r="AL104" s="1047"/>
      <c r="AM104" s="1047" t="s">
        <v>755</v>
      </c>
      <c r="AN104" s="1047"/>
      <c r="AO104" s="1047"/>
      <c r="AP104" s="1047"/>
      <c r="AQ104" s="1047"/>
      <c r="AR104" s="1047"/>
      <c r="AS104" s="1047" t="s">
        <v>755</v>
      </c>
      <c r="AT104" s="1047"/>
      <c r="AU104" s="1047"/>
      <c r="AV104" s="1047"/>
      <c r="AW104" s="1047"/>
      <c r="AX104" s="1048"/>
      <c r="AY104" s="1049" t="s">
        <v>755</v>
      </c>
      <c r="AZ104" s="1047"/>
      <c r="BA104" s="1047"/>
      <c r="BB104" s="1047"/>
      <c r="BC104" s="1047"/>
      <c r="BD104" s="1047"/>
      <c r="BE104" s="1047" t="s">
        <v>755</v>
      </c>
      <c r="BF104" s="1047"/>
      <c r="BG104" s="1047"/>
      <c r="BH104" s="1047"/>
      <c r="BI104" s="1047"/>
      <c r="BJ104" s="1047"/>
      <c r="BK104" s="1047" t="s">
        <v>755</v>
      </c>
      <c r="BL104" s="1047"/>
      <c r="BM104" s="1047"/>
      <c r="BN104" s="1047"/>
      <c r="BO104" s="1047"/>
      <c r="BP104" s="1047"/>
      <c r="BQ104" s="1047" t="s">
        <v>755</v>
      </c>
      <c r="BR104" s="1047"/>
      <c r="BS104" s="1047"/>
      <c r="BT104" s="1047"/>
      <c r="BU104" s="1047"/>
      <c r="BV104" s="1048"/>
      <c r="BW104" s="1049" t="s">
        <v>755</v>
      </c>
      <c r="BX104" s="1047"/>
      <c r="BY104" s="1047"/>
      <c r="BZ104" s="1047"/>
      <c r="CA104" s="1047"/>
      <c r="CB104" s="1047"/>
      <c r="CC104" s="1047" t="s">
        <v>755</v>
      </c>
      <c r="CD104" s="1047"/>
      <c r="CE104" s="1047"/>
      <c r="CF104" s="1047"/>
      <c r="CG104" s="1047"/>
      <c r="CH104" s="1047"/>
      <c r="CI104" s="1047" t="s">
        <v>755</v>
      </c>
      <c r="CJ104" s="1047"/>
      <c r="CK104" s="1047"/>
      <c r="CL104" s="1047"/>
      <c r="CM104" s="1047"/>
      <c r="CN104" s="1047"/>
      <c r="CO104" s="1047" t="s">
        <v>755</v>
      </c>
      <c r="CP104" s="1047"/>
      <c r="CQ104" s="1047"/>
      <c r="CR104" s="1047"/>
      <c r="CS104" s="1047"/>
      <c r="CT104" s="1048"/>
      <c r="CU104" s="1049" t="s">
        <v>755</v>
      </c>
      <c r="CV104" s="1047"/>
      <c r="CW104" s="1047"/>
      <c r="CX104" s="1047"/>
      <c r="CY104" s="1047"/>
      <c r="CZ104" s="1047"/>
      <c r="DA104" s="1047" t="s">
        <v>755</v>
      </c>
      <c r="DB104" s="1047"/>
      <c r="DC104" s="1047"/>
      <c r="DD104" s="1047"/>
      <c r="DE104" s="1047"/>
      <c r="DF104" s="1047"/>
      <c r="DG104" s="1047" t="s">
        <v>755</v>
      </c>
      <c r="DH104" s="1047"/>
      <c r="DI104" s="1047"/>
      <c r="DJ104" s="1047"/>
      <c r="DK104" s="1047"/>
      <c r="DL104" s="1047"/>
      <c r="DM104" s="1047" t="s">
        <v>755</v>
      </c>
      <c r="DN104" s="1047"/>
      <c r="DO104" s="1047"/>
      <c r="DP104" s="1047"/>
      <c r="DQ104" s="1047"/>
      <c r="DR104" s="1048"/>
      <c r="DS104" s="1049" t="s">
        <v>755</v>
      </c>
      <c r="DT104" s="1047"/>
      <c r="DU104" s="1047"/>
      <c r="DV104" s="1047"/>
      <c r="DW104" s="1047"/>
      <c r="DX104" s="1047"/>
      <c r="DY104" s="1047" t="s">
        <v>755</v>
      </c>
      <c r="DZ104" s="1047"/>
      <c r="EA104" s="1047"/>
      <c r="EB104" s="1047"/>
      <c r="EC104" s="1047"/>
      <c r="ED104" s="1047"/>
      <c r="EE104" s="1047" t="s">
        <v>755</v>
      </c>
      <c r="EF104" s="1047"/>
      <c r="EG104" s="1047"/>
      <c r="EH104" s="1047"/>
      <c r="EI104" s="1047"/>
      <c r="EJ104" s="1047"/>
      <c r="EK104" s="1047" t="s">
        <v>755</v>
      </c>
      <c r="EL104" s="1047"/>
      <c r="EM104" s="1047"/>
      <c r="EN104" s="1047"/>
      <c r="EO104" s="1047"/>
      <c r="EP104" s="1048"/>
    </row>
    <row r="105" spans="1:146" ht="33.75" customHeight="1" thickBot="1" x14ac:dyDescent="0.2">
      <c r="A105" s="624" t="s">
        <v>249</v>
      </c>
      <c r="B105" s="385" t="s">
        <v>480</v>
      </c>
      <c r="C105" s="489"/>
      <c r="D105" s="490"/>
      <c r="E105" s="490"/>
      <c r="F105" s="490"/>
      <c r="G105" s="490"/>
      <c r="H105" s="490"/>
      <c r="I105" s="490"/>
      <c r="J105" s="490"/>
      <c r="K105" s="490"/>
      <c r="L105" s="490"/>
      <c r="M105" s="490"/>
      <c r="N105" s="490"/>
      <c r="O105" s="490"/>
      <c r="P105" s="490"/>
      <c r="Q105" s="490"/>
      <c r="R105" s="490"/>
      <c r="S105" s="490"/>
      <c r="T105" s="490"/>
      <c r="U105" s="490"/>
      <c r="V105" s="490"/>
      <c r="W105" s="490"/>
      <c r="X105" s="490"/>
      <c r="Y105" s="490"/>
      <c r="Z105" s="516"/>
      <c r="AA105" s="489"/>
      <c r="AB105" s="490"/>
      <c r="AC105" s="490"/>
      <c r="AD105" s="490"/>
      <c r="AE105" s="490"/>
      <c r="AF105" s="490"/>
      <c r="AG105" s="490"/>
      <c r="AH105" s="490"/>
      <c r="AI105" s="490"/>
      <c r="AJ105" s="490"/>
      <c r="AK105" s="490"/>
      <c r="AL105" s="490"/>
      <c r="AM105" s="490"/>
      <c r="AN105" s="490"/>
      <c r="AO105" s="490"/>
      <c r="AP105" s="490"/>
      <c r="AQ105" s="490"/>
      <c r="AR105" s="490"/>
      <c r="AS105" s="490"/>
      <c r="AT105" s="490"/>
      <c r="AU105" s="490"/>
      <c r="AV105" s="490"/>
      <c r="AW105" s="490"/>
      <c r="AX105" s="516"/>
      <c r="AY105" s="517"/>
      <c r="AZ105" s="490"/>
      <c r="BA105" s="490"/>
      <c r="BB105" s="490"/>
      <c r="BC105" s="490"/>
      <c r="BD105" s="490"/>
      <c r="BE105" s="490"/>
      <c r="BF105" s="490"/>
      <c r="BG105" s="490"/>
      <c r="BH105" s="490"/>
      <c r="BI105" s="490"/>
      <c r="BJ105" s="490"/>
      <c r="BK105" s="490"/>
      <c r="BL105" s="490"/>
      <c r="BM105" s="490"/>
      <c r="BN105" s="490"/>
      <c r="BO105" s="490"/>
      <c r="BP105" s="490"/>
      <c r="BQ105" s="490"/>
      <c r="BR105" s="490"/>
      <c r="BS105" s="490"/>
      <c r="BT105" s="490"/>
      <c r="BU105" s="490"/>
      <c r="BV105" s="507"/>
      <c r="BW105" s="489"/>
      <c r="BX105" s="490"/>
      <c r="BY105" s="490"/>
      <c r="BZ105" s="490"/>
      <c r="CA105" s="490"/>
      <c r="CB105" s="490"/>
      <c r="CC105" s="490"/>
      <c r="CD105" s="490"/>
      <c r="CE105" s="490"/>
      <c r="CF105" s="490"/>
      <c r="CG105" s="490"/>
      <c r="CH105" s="490"/>
      <c r="CI105" s="490"/>
      <c r="CJ105" s="490"/>
      <c r="CK105" s="490"/>
      <c r="CL105" s="490"/>
      <c r="CM105" s="490"/>
      <c r="CN105" s="490"/>
      <c r="CO105" s="490"/>
      <c r="CP105" s="490"/>
      <c r="CQ105" s="490"/>
      <c r="CR105" s="490"/>
      <c r="CS105" s="490"/>
      <c r="CT105" s="516"/>
      <c r="CU105" s="489"/>
      <c r="CV105" s="490"/>
      <c r="CW105" s="490"/>
      <c r="CX105" s="490"/>
      <c r="CY105" s="490"/>
      <c r="CZ105" s="490"/>
      <c r="DA105" s="490"/>
      <c r="DB105" s="490"/>
      <c r="DC105" s="490"/>
      <c r="DD105" s="490"/>
      <c r="DE105" s="490"/>
      <c r="DF105" s="490"/>
      <c r="DG105" s="490"/>
      <c r="DH105" s="490"/>
      <c r="DI105" s="490"/>
      <c r="DJ105" s="490"/>
      <c r="DK105" s="490"/>
      <c r="DL105" s="490"/>
      <c r="DM105" s="490"/>
      <c r="DN105" s="490"/>
      <c r="DO105" s="490"/>
      <c r="DP105" s="490"/>
      <c r="DQ105" s="490"/>
      <c r="DR105" s="516"/>
      <c r="DS105" s="505"/>
      <c r="DT105" s="506"/>
      <c r="DU105" s="506"/>
      <c r="DV105" s="506"/>
      <c r="DW105" s="506"/>
      <c r="DX105" s="506"/>
      <c r="DY105" s="490"/>
      <c r="DZ105" s="490"/>
      <c r="EA105" s="490"/>
      <c r="EB105" s="490"/>
      <c r="EC105" s="490"/>
      <c r="ED105" s="490"/>
      <c r="EE105" s="490"/>
      <c r="EF105" s="490"/>
      <c r="EG105" s="490"/>
      <c r="EH105" s="490"/>
      <c r="EI105" s="490"/>
      <c r="EJ105" s="490"/>
      <c r="EK105" s="490"/>
      <c r="EL105" s="490"/>
      <c r="EM105" s="490"/>
      <c r="EN105" s="490"/>
      <c r="EO105" s="490"/>
      <c r="EP105" s="507"/>
    </row>
    <row r="106" spans="1:146" ht="58.5" customHeight="1" x14ac:dyDescent="0.15">
      <c r="A106" s="624" t="s">
        <v>250</v>
      </c>
      <c r="B106" s="385" t="s">
        <v>514</v>
      </c>
      <c r="C106" s="525"/>
      <c r="D106" s="526"/>
      <c r="E106" s="526"/>
      <c r="F106" s="526"/>
      <c r="G106" s="526"/>
      <c r="H106" s="526"/>
      <c r="I106" s="526"/>
      <c r="J106" s="526"/>
      <c r="K106" s="526"/>
      <c r="L106" s="526"/>
      <c r="M106" s="526"/>
      <c r="N106" s="526"/>
      <c r="O106" s="526"/>
      <c r="P106" s="526"/>
      <c r="Q106" s="526"/>
      <c r="R106" s="526"/>
      <c r="S106" s="526"/>
      <c r="T106" s="526"/>
      <c r="U106" s="526"/>
      <c r="V106" s="526"/>
      <c r="W106" s="526"/>
      <c r="X106" s="526"/>
      <c r="Y106" s="526"/>
      <c r="Z106" s="527"/>
      <c r="AA106" s="525"/>
      <c r="AB106" s="526"/>
      <c r="AC106" s="526"/>
      <c r="AD106" s="526"/>
      <c r="AE106" s="526"/>
      <c r="AF106" s="526"/>
      <c r="AG106" s="526"/>
      <c r="AH106" s="526"/>
      <c r="AI106" s="526"/>
      <c r="AJ106" s="526"/>
      <c r="AK106" s="526"/>
      <c r="AL106" s="526"/>
      <c r="AM106" s="526"/>
      <c r="AN106" s="526"/>
      <c r="AO106" s="526"/>
      <c r="AP106" s="526"/>
      <c r="AQ106" s="526"/>
      <c r="AR106" s="526"/>
      <c r="AS106" s="526"/>
      <c r="AT106" s="526"/>
      <c r="AU106" s="526"/>
      <c r="AV106" s="526"/>
      <c r="AW106" s="526"/>
      <c r="AX106" s="527"/>
      <c r="AY106" s="525"/>
      <c r="AZ106" s="526"/>
      <c r="BA106" s="526"/>
      <c r="BB106" s="526"/>
      <c r="BC106" s="526"/>
      <c r="BD106" s="526"/>
      <c r="BE106" s="526"/>
      <c r="BF106" s="526"/>
      <c r="BG106" s="526"/>
      <c r="BH106" s="526"/>
      <c r="BI106" s="526"/>
      <c r="BJ106" s="526"/>
      <c r="BK106" s="526"/>
      <c r="BL106" s="526"/>
      <c r="BM106" s="526"/>
      <c r="BN106" s="526"/>
      <c r="BO106" s="526"/>
      <c r="BP106" s="526"/>
      <c r="BQ106" s="526"/>
      <c r="BR106" s="526"/>
      <c r="BS106" s="526"/>
      <c r="BT106" s="526"/>
      <c r="BU106" s="526"/>
      <c r="BV106" s="535"/>
      <c r="BW106" s="525"/>
      <c r="BX106" s="526"/>
      <c r="BY106" s="526"/>
      <c r="BZ106" s="526"/>
      <c r="CA106" s="526"/>
      <c r="CB106" s="526"/>
      <c r="CC106" s="526"/>
      <c r="CD106" s="526"/>
      <c r="CE106" s="526"/>
      <c r="CF106" s="526"/>
      <c r="CG106" s="526"/>
      <c r="CH106" s="526"/>
      <c r="CI106" s="526"/>
      <c r="CJ106" s="526"/>
      <c r="CK106" s="526"/>
      <c r="CL106" s="526"/>
      <c r="CM106" s="526"/>
      <c r="CN106" s="526"/>
      <c r="CO106" s="526"/>
      <c r="CP106" s="526"/>
      <c r="CQ106" s="526"/>
      <c r="CR106" s="526"/>
      <c r="CS106" s="526"/>
      <c r="CT106" s="527"/>
      <c r="CU106" s="525"/>
      <c r="CV106" s="526"/>
      <c r="CW106" s="526"/>
      <c r="CX106" s="526"/>
      <c r="CY106" s="526"/>
      <c r="CZ106" s="526"/>
      <c r="DA106" s="526"/>
      <c r="DB106" s="526"/>
      <c r="DC106" s="526"/>
      <c r="DD106" s="526"/>
      <c r="DE106" s="526"/>
      <c r="DF106" s="526"/>
      <c r="DG106" s="526"/>
      <c r="DH106" s="526"/>
      <c r="DI106" s="526"/>
      <c r="DJ106" s="526"/>
      <c r="DK106" s="526"/>
      <c r="DL106" s="526"/>
      <c r="DM106" s="533"/>
      <c r="DN106" s="533"/>
      <c r="DO106" s="533"/>
      <c r="DP106" s="533"/>
      <c r="DQ106" s="533"/>
      <c r="DR106" s="534"/>
      <c r="DS106" s="525"/>
      <c r="DT106" s="526"/>
      <c r="DU106" s="526"/>
      <c r="DV106" s="526"/>
      <c r="DW106" s="526"/>
      <c r="DX106" s="526"/>
      <c r="DY106" s="526"/>
      <c r="DZ106" s="526"/>
      <c r="EA106" s="526"/>
      <c r="EB106" s="526"/>
      <c r="EC106" s="526"/>
      <c r="ED106" s="526"/>
      <c r="EE106" s="526"/>
      <c r="EF106" s="526"/>
      <c r="EG106" s="526"/>
      <c r="EH106" s="526"/>
      <c r="EI106" s="526"/>
      <c r="EJ106" s="526"/>
      <c r="EK106" s="526"/>
      <c r="EL106" s="526"/>
      <c r="EM106" s="526"/>
      <c r="EN106" s="526"/>
      <c r="EO106" s="526"/>
      <c r="EP106" s="535"/>
    </row>
    <row r="107" spans="1:146" ht="29.25" customHeight="1" x14ac:dyDescent="0.15">
      <c r="A107" s="624" t="s">
        <v>251</v>
      </c>
      <c r="B107" s="385" t="s">
        <v>705</v>
      </c>
      <c r="C107" s="525"/>
      <c r="D107" s="526"/>
      <c r="E107" s="526"/>
      <c r="F107" s="526"/>
      <c r="G107" s="526"/>
      <c r="H107" s="526"/>
      <c r="I107" s="526"/>
      <c r="J107" s="526"/>
      <c r="K107" s="526"/>
      <c r="L107" s="526"/>
      <c r="M107" s="526"/>
      <c r="N107" s="526"/>
      <c r="O107" s="526"/>
      <c r="P107" s="526"/>
      <c r="Q107" s="526"/>
      <c r="R107" s="526"/>
      <c r="S107" s="526"/>
      <c r="T107" s="526"/>
      <c r="U107" s="526"/>
      <c r="V107" s="526"/>
      <c r="W107" s="526"/>
      <c r="X107" s="526"/>
      <c r="Y107" s="526"/>
      <c r="Z107" s="527"/>
      <c r="AA107" s="525"/>
      <c r="AB107" s="526"/>
      <c r="AC107" s="526"/>
      <c r="AD107" s="526"/>
      <c r="AE107" s="526"/>
      <c r="AF107" s="526"/>
      <c r="AG107" s="526"/>
      <c r="AH107" s="526"/>
      <c r="AI107" s="526"/>
      <c r="AJ107" s="526"/>
      <c r="AK107" s="526"/>
      <c r="AL107" s="526"/>
      <c r="AM107" s="526"/>
      <c r="AN107" s="526"/>
      <c r="AO107" s="526"/>
      <c r="AP107" s="526"/>
      <c r="AQ107" s="526"/>
      <c r="AR107" s="526"/>
      <c r="AS107" s="526"/>
      <c r="AT107" s="526"/>
      <c r="AU107" s="526"/>
      <c r="AV107" s="526"/>
      <c r="AW107" s="526"/>
      <c r="AX107" s="527"/>
      <c r="AY107" s="525"/>
      <c r="AZ107" s="526"/>
      <c r="BA107" s="526"/>
      <c r="BB107" s="526"/>
      <c r="BC107" s="526"/>
      <c r="BD107" s="526"/>
      <c r="BE107" s="526"/>
      <c r="BF107" s="526"/>
      <c r="BG107" s="526"/>
      <c r="BH107" s="526"/>
      <c r="BI107" s="526"/>
      <c r="BJ107" s="526"/>
      <c r="BK107" s="526"/>
      <c r="BL107" s="526"/>
      <c r="BM107" s="526"/>
      <c r="BN107" s="526"/>
      <c r="BO107" s="526"/>
      <c r="BP107" s="526"/>
      <c r="BQ107" s="526"/>
      <c r="BR107" s="526"/>
      <c r="BS107" s="526"/>
      <c r="BT107" s="526"/>
      <c r="BU107" s="526"/>
      <c r="BV107" s="535"/>
      <c r="BW107" s="525"/>
      <c r="BX107" s="526"/>
      <c r="BY107" s="526"/>
      <c r="BZ107" s="526"/>
      <c r="CA107" s="526"/>
      <c r="CB107" s="526"/>
      <c r="CC107" s="526"/>
      <c r="CD107" s="526"/>
      <c r="CE107" s="526"/>
      <c r="CF107" s="526"/>
      <c r="CG107" s="526"/>
      <c r="CH107" s="526"/>
      <c r="CI107" s="526"/>
      <c r="CJ107" s="526"/>
      <c r="CK107" s="526"/>
      <c r="CL107" s="526"/>
      <c r="CM107" s="526"/>
      <c r="CN107" s="526"/>
      <c r="CO107" s="526"/>
      <c r="CP107" s="526"/>
      <c r="CQ107" s="526"/>
      <c r="CR107" s="526"/>
      <c r="CS107" s="526"/>
      <c r="CT107" s="527"/>
      <c r="CU107" s="525"/>
      <c r="CV107" s="526"/>
      <c r="CW107" s="526"/>
      <c r="CX107" s="526"/>
      <c r="CY107" s="526"/>
      <c r="CZ107" s="526"/>
      <c r="DA107" s="526"/>
      <c r="DB107" s="526"/>
      <c r="DC107" s="526"/>
      <c r="DD107" s="526"/>
      <c r="DE107" s="526"/>
      <c r="DF107" s="526"/>
      <c r="DG107" s="526"/>
      <c r="DH107" s="526"/>
      <c r="DI107" s="526"/>
      <c r="DJ107" s="526"/>
      <c r="DK107" s="526"/>
      <c r="DL107" s="526"/>
      <c r="DM107" s="526"/>
      <c r="DN107" s="526"/>
      <c r="DO107" s="526"/>
      <c r="DP107" s="526"/>
      <c r="DQ107" s="526"/>
      <c r="DR107" s="527"/>
      <c r="DS107" s="525"/>
      <c r="DT107" s="526"/>
      <c r="DU107" s="526"/>
      <c r="DV107" s="526"/>
      <c r="DW107" s="526"/>
      <c r="DX107" s="526"/>
      <c r="DY107" s="537"/>
      <c r="DZ107" s="537"/>
      <c r="EA107" s="537"/>
      <c r="EB107" s="537"/>
      <c r="EC107" s="537"/>
      <c r="ED107" s="537"/>
      <c r="EE107" s="526"/>
      <c r="EF107" s="526"/>
      <c r="EG107" s="526"/>
      <c r="EH107" s="526"/>
      <c r="EI107" s="526"/>
      <c r="EJ107" s="526"/>
      <c r="EK107" s="526"/>
      <c r="EL107" s="526"/>
      <c r="EM107" s="526"/>
      <c r="EN107" s="526"/>
      <c r="EO107" s="526"/>
      <c r="EP107" s="535"/>
    </row>
    <row r="108" spans="1:146" ht="29.25" customHeight="1" x14ac:dyDescent="0.15">
      <c r="A108" s="624" t="s">
        <v>708</v>
      </c>
      <c r="B108" s="385" t="s">
        <v>706</v>
      </c>
      <c r="C108" s="525"/>
      <c r="D108" s="526"/>
      <c r="E108" s="526"/>
      <c r="F108" s="526"/>
      <c r="G108" s="526"/>
      <c r="H108" s="526"/>
      <c r="I108" s="526"/>
      <c r="J108" s="526"/>
      <c r="K108" s="526"/>
      <c r="L108" s="526"/>
      <c r="M108" s="526"/>
      <c r="N108" s="526"/>
      <c r="O108" s="526"/>
      <c r="P108" s="526"/>
      <c r="Q108" s="526"/>
      <c r="R108" s="526"/>
      <c r="S108" s="526"/>
      <c r="T108" s="526"/>
      <c r="U108" s="526"/>
      <c r="V108" s="526"/>
      <c r="W108" s="526"/>
      <c r="X108" s="526"/>
      <c r="Y108" s="526"/>
      <c r="Z108" s="527"/>
      <c r="AA108" s="525"/>
      <c r="AB108" s="526"/>
      <c r="AC108" s="526"/>
      <c r="AD108" s="526"/>
      <c r="AE108" s="526"/>
      <c r="AF108" s="526"/>
      <c r="AG108" s="526"/>
      <c r="AH108" s="526"/>
      <c r="AI108" s="526"/>
      <c r="AJ108" s="526"/>
      <c r="AK108" s="526"/>
      <c r="AL108" s="526"/>
      <c r="AM108" s="526"/>
      <c r="AN108" s="526"/>
      <c r="AO108" s="526"/>
      <c r="AP108" s="526"/>
      <c r="AQ108" s="526"/>
      <c r="AR108" s="526"/>
      <c r="AS108" s="526"/>
      <c r="AT108" s="526"/>
      <c r="AU108" s="526"/>
      <c r="AV108" s="526"/>
      <c r="AW108" s="526"/>
      <c r="AX108" s="527"/>
      <c r="AY108" s="525"/>
      <c r="AZ108" s="526"/>
      <c r="BA108" s="526"/>
      <c r="BB108" s="526"/>
      <c r="BC108" s="526"/>
      <c r="BD108" s="526"/>
      <c r="BE108" s="526"/>
      <c r="BF108" s="526"/>
      <c r="BG108" s="526"/>
      <c r="BH108" s="526"/>
      <c r="BI108" s="526"/>
      <c r="BJ108" s="526"/>
      <c r="BK108" s="526"/>
      <c r="BL108" s="526"/>
      <c r="BM108" s="526"/>
      <c r="BN108" s="526"/>
      <c r="BO108" s="526"/>
      <c r="BP108" s="526"/>
      <c r="BQ108" s="526"/>
      <c r="BR108" s="526"/>
      <c r="BS108" s="526"/>
      <c r="BT108" s="526"/>
      <c r="BU108" s="526"/>
      <c r="BV108" s="535"/>
      <c r="BW108" s="525"/>
      <c r="BX108" s="526"/>
      <c r="BY108" s="526"/>
      <c r="BZ108" s="526"/>
      <c r="CA108" s="526"/>
      <c r="CB108" s="526"/>
      <c r="CC108" s="526"/>
      <c r="CD108" s="526"/>
      <c r="CE108" s="526"/>
      <c r="CF108" s="526"/>
      <c r="CG108" s="526"/>
      <c r="CH108" s="526"/>
      <c r="CI108" s="526"/>
      <c r="CJ108" s="526"/>
      <c r="CK108" s="526"/>
      <c r="CL108" s="526"/>
      <c r="CM108" s="526"/>
      <c r="CN108" s="526"/>
      <c r="CO108" s="526"/>
      <c r="CP108" s="526"/>
      <c r="CQ108" s="526"/>
      <c r="CR108" s="526"/>
      <c r="CS108" s="526"/>
      <c r="CT108" s="527"/>
      <c r="CU108" s="525"/>
      <c r="CV108" s="526"/>
      <c r="CW108" s="526"/>
      <c r="CX108" s="526"/>
      <c r="CY108" s="526"/>
      <c r="CZ108" s="526"/>
      <c r="DA108" s="526"/>
      <c r="DB108" s="526"/>
      <c r="DC108" s="526"/>
      <c r="DD108" s="526"/>
      <c r="DE108" s="526"/>
      <c r="DF108" s="526"/>
      <c r="DG108" s="526"/>
      <c r="DH108" s="526"/>
      <c r="DI108" s="526"/>
      <c r="DJ108" s="526"/>
      <c r="DK108" s="526"/>
      <c r="DL108" s="526"/>
      <c r="DM108" s="526"/>
      <c r="DN108" s="526"/>
      <c r="DO108" s="526"/>
      <c r="DP108" s="526"/>
      <c r="DQ108" s="526"/>
      <c r="DR108" s="527"/>
      <c r="DS108" s="525"/>
      <c r="DT108" s="526"/>
      <c r="DU108" s="526"/>
      <c r="DV108" s="526"/>
      <c r="DW108" s="526"/>
      <c r="DX108" s="526"/>
      <c r="DY108" s="537"/>
      <c r="DZ108" s="537"/>
      <c r="EA108" s="537"/>
      <c r="EB108" s="537"/>
      <c r="EC108" s="537"/>
      <c r="ED108" s="537"/>
      <c r="EE108" s="526"/>
      <c r="EF108" s="526"/>
      <c r="EG108" s="526"/>
      <c r="EH108" s="526"/>
      <c r="EI108" s="526"/>
      <c r="EJ108" s="526"/>
      <c r="EK108" s="526"/>
      <c r="EL108" s="526"/>
      <c r="EM108" s="526"/>
      <c r="EN108" s="526"/>
      <c r="EO108" s="526"/>
      <c r="EP108" s="535"/>
    </row>
    <row r="109" spans="1:146" ht="71.25" customHeight="1" x14ac:dyDescent="0.15">
      <c r="A109" s="624" t="s">
        <v>709</v>
      </c>
      <c r="B109" s="385" t="s">
        <v>774</v>
      </c>
      <c r="C109" s="525"/>
      <c r="D109" s="526"/>
      <c r="E109" s="526"/>
      <c r="F109" s="526"/>
      <c r="G109" s="526"/>
      <c r="H109" s="526"/>
      <c r="I109" s="526"/>
      <c r="J109" s="526"/>
      <c r="K109" s="526"/>
      <c r="L109" s="526"/>
      <c r="M109" s="526"/>
      <c r="N109" s="526"/>
      <c r="O109" s="526"/>
      <c r="P109" s="526"/>
      <c r="Q109" s="526"/>
      <c r="R109" s="526"/>
      <c r="S109" s="526"/>
      <c r="T109" s="526"/>
      <c r="U109" s="526"/>
      <c r="V109" s="526"/>
      <c r="W109" s="526"/>
      <c r="X109" s="526"/>
      <c r="Y109" s="526"/>
      <c r="Z109" s="527"/>
      <c r="AA109" s="525"/>
      <c r="AB109" s="526"/>
      <c r="AC109" s="526"/>
      <c r="AD109" s="526"/>
      <c r="AE109" s="526"/>
      <c r="AF109" s="526"/>
      <c r="AG109" s="526"/>
      <c r="AH109" s="526"/>
      <c r="AI109" s="526"/>
      <c r="AJ109" s="526"/>
      <c r="AK109" s="526"/>
      <c r="AL109" s="526"/>
      <c r="AM109" s="526"/>
      <c r="AN109" s="526"/>
      <c r="AO109" s="526"/>
      <c r="AP109" s="526"/>
      <c r="AQ109" s="526"/>
      <c r="AR109" s="526"/>
      <c r="AS109" s="526"/>
      <c r="AT109" s="526"/>
      <c r="AU109" s="526"/>
      <c r="AV109" s="526"/>
      <c r="AW109" s="526"/>
      <c r="AX109" s="527"/>
      <c r="AY109" s="525"/>
      <c r="AZ109" s="526"/>
      <c r="BA109" s="526"/>
      <c r="BB109" s="526"/>
      <c r="BC109" s="526"/>
      <c r="BD109" s="526"/>
      <c r="BE109" s="526"/>
      <c r="BF109" s="526"/>
      <c r="BG109" s="526"/>
      <c r="BH109" s="526"/>
      <c r="BI109" s="526"/>
      <c r="BJ109" s="526"/>
      <c r="BK109" s="526"/>
      <c r="BL109" s="526"/>
      <c r="BM109" s="526"/>
      <c r="BN109" s="526"/>
      <c r="BO109" s="526"/>
      <c r="BP109" s="526"/>
      <c r="BQ109" s="526"/>
      <c r="BR109" s="526"/>
      <c r="BS109" s="526"/>
      <c r="BT109" s="526"/>
      <c r="BU109" s="526"/>
      <c r="BV109" s="535"/>
      <c r="BW109" s="525"/>
      <c r="BX109" s="526"/>
      <c r="BY109" s="526"/>
      <c r="BZ109" s="526"/>
      <c r="CA109" s="526"/>
      <c r="CB109" s="526"/>
      <c r="CC109" s="526"/>
      <c r="CD109" s="526"/>
      <c r="CE109" s="526"/>
      <c r="CF109" s="526"/>
      <c r="CG109" s="526"/>
      <c r="CH109" s="526"/>
      <c r="CI109" s="526"/>
      <c r="CJ109" s="526"/>
      <c r="CK109" s="526"/>
      <c r="CL109" s="526"/>
      <c r="CM109" s="526"/>
      <c r="CN109" s="526"/>
      <c r="CO109" s="526"/>
      <c r="CP109" s="526"/>
      <c r="CQ109" s="526"/>
      <c r="CR109" s="526"/>
      <c r="CS109" s="526"/>
      <c r="CT109" s="527"/>
      <c r="CU109" s="525"/>
      <c r="CV109" s="526"/>
      <c r="CW109" s="526"/>
      <c r="CX109" s="526"/>
      <c r="CY109" s="526"/>
      <c r="CZ109" s="526"/>
      <c r="DA109" s="533"/>
      <c r="DB109" s="533"/>
      <c r="DC109" s="533"/>
      <c r="DD109" s="533"/>
      <c r="DE109" s="533"/>
      <c r="DF109" s="533"/>
      <c r="DG109" s="526"/>
      <c r="DH109" s="526"/>
      <c r="DI109" s="526"/>
      <c r="DJ109" s="526"/>
      <c r="DK109" s="526"/>
      <c r="DL109" s="526"/>
      <c r="DM109" s="526"/>
      <c r="DN109" s="526"/>
      <c r="DO109" s="526"/>
      <c r="DP109" s="526"/>
      <c r="DQ109" s="526"/>
      <c r="DR109" s="527"/>
      <c r="DS109" s="525"/>
      <c r="DT109" s="526"/>
      <c r="DU109" s="526"/>
      <c r="DV109" s="526"/>
      <c r="DW109" s="526"/>
      <c r="DX109" s="526"/>
      <c r="DY109" s="526"/>
      <c r="DZ109" s="526"/>
      <c r="EA109" s="526"/>
      <c r="EB109" s="526"/>
      <c r="EC109" s="526"/>
      <c r="ED109" s="526"/>
      <c r="EE109" s="526"/>
      <c r="EF109" s="526"/>
      <c r="EG109" s="526"/>
      <c r="EH109" s="526"/>
      <c r="EI109" s="526"/>
      <c r="EJ109" s="526"/>
      <c r="EK109" s="526"/>
      <c r="EL109" s="526"/>
      <c r="EM109" s="526"/>
      <c r="EN109" s="526"/>
      <c r="EO109" s="526"/>
      <c r="EP109" s="535"/>
    </row>
    <row r="110" spans="1:146" ht="71.25" customHeight="1" x14ac:dyDescent="0.15">
      <c r="A110" s="624" t="s">
        <v>710</v>
      </c>
      <c r="B110" s="385" t="s">
        <v>775</v>
      </c>
      <c r="C110" s="525"/>
      <c r="D110" s="526"/>
      <c r="E110" s="526"/>
      <c r="F110" s="526"/>
      <c r="G110" s="526"/>
      <c r="H110" s="526"/>
      <c r="I110" s="526"/>
      <c r="J110" s="526"/>
      <c r="K110" s="526"/>
      <c r="L110" s="526"/>
      <c r="M110" s="526"/>
      <c r="N110" s="526"/>
      <c r="O110" s="526"/>
      <c r="P110" s="526"/>
      <c r="Q110" s="526"/>
      <c r="R110" s="526"/>
      <c r="S110" s="526"/>
      <c r="T110" s="526"/>
      <c r="U110" s="526"/>
      <c r="V110" s="526"/>
      <c r="W110" s="526"/>
      <c r="X110" s="526"/>
      <c r="Y110" s="526"/>
      <c r="Z110" s="527"/>
      <c r="AA110" s="525"/>
      <c r="AB110" s="526"/>
      <c r="AC110" s="526"/>
      <c r="AD110" s="526"/>
      <c r="AE110" s="526"/>
      <c r="AF110" s="526"/>
      <c r="AG110" s="526"/>
      <c r="AH110" s="526"/>
      <c r="AI110" s="526"/>
      <c r="AJ110" s="526"/>
      <c r="AK110" s="526"/>
      <c r="AL110" s="526"/>
      <c r="AM110" s="526"/>
      <c r="AN110" s="526"/>
      <c r="AO110" s="526"/>
      <c r="AP110" s="526"/>
      <c r="AQ110" s="526"/>
      <c r="AR110" s="526"/>
      <c r="AS110" s="526"/>
      <c r="AT110" s="526"/>
      <c r="AU110" s="526"/>
      <c r="AV110" s="526"/>
      <c r="AW110" s="526"/>
      <c r="AX110" s="527"/>
      <c r="AY110" s="525"/>
      <c r="AZ110" s="526"/>
      <c r="BA110" s="526"/>
      <c r="BB110" s="526"/>
      <c r="BC110" s="526"/>
      <c r="BD110" s="526"/>
      <c r="BE110" s="526"/>
      <c r="BF110" s="526"/>
      <c r="BG110" s="526"/>
      <c r="BH110" s="526"/>
      <c r="BI110" s="526"/>
      <c r="BJ110" s="526"/>
      <c r="BK110" s="526"/>
      <c r="BL110" s="526"/>
      <c r="BM110" s="526"/>
      <c r="BN110" s="526"/>
      <c r="BO110" s="526"/>
      <c r="BP110" s="526"/>
      <c r="BQ110" s="526"/>
      <c r="BR110" s="526"/>
      <c r="BS110" s="526"/>
      <c r="BT110" s="526"/>
      <c r="BU110" s="526"/>
      <c r="BV110" s="535"/>
      <c r="BW110" s="525"/>
      <c r="BX110" s="526"/>
      <c r="BY110" s="526"/>
      <c r="BZ110" s="526"/>
      <c r="CA110" s="526"/>
      <c r="CB110" s="526"/>
      <c r="CC110" s="526"/>
      <c r="CD110" s="526"/>
      <c r="CE110" s="526"/>
      <c r="CF110" s="526"/>
      <c r="CG110" s="526"/>
      <c r="CH110" s="526"/>
      <c r="CI110" s="526"/>
      <c r="CJ110" s="526"/>
      <c r="CK110" s="526"/>
      <c r="CL110" s="526"/>
      <c r="CM110" s="526"/>
      <c r="CN110" s="526"/>
      <c r="CO110" s="526"/>
      <c r="CP110" s="526"/>
      <c r="CQ110" s="526"/>
      <c r="CR110" s="526"/>
      <c r="CS110" s="526"/>
      <c r="CT110" s="527"/>
      <c r="CU110" s="525"/>
      <c r="CV110" s="526"/>
      <c r="CW110" s="526"/>
      <c r="CX110" s="526"/>
      <c r="CY110" s="526"/>
      <c r="CZ110" s="526"/>
      <c r="DA110" s="526"/>
      <c r="DB110" s="526"/>
      <c r="DC110" s="526"/>
      <c r="DD110" s="526"/>
      <c r="DE110" s="526"/>
      <c r="DF110" s="526"/>
      <c r="DG110" s="533"/>
      <c r="DH110" s="533"/>
      <c r="DI110" s="533"/>
      <c r="DJ110" s="533"/>
      <c r="DK110" s="533"/>
      <c r="DL110" s="533"/>
      <c r="DM110" s="526"/>
      <c r="DN110" s="526"/>
      <c r="DO110" s="526"/>
      <c r="DP110" s="526"/>
      <c r="DQ110" s="526"/>
      <c r="DR110" s="527"/>
      <c r="DS110" s="525"/>
      <c r="DT110" s="526"/>
      <c r="DU110" s="526"/>
      <c r="DV110" s="526"/>
      <c r="DW110" s="526"/>
      <c r="DX110" s="526"/>
      <c r="DY110" s="526"/>
      <c r="DZ110" s="526"/>
      <c r="EA110" s="526"/>
      <c r="EB110" s="526"/>
      <c r="EC110" s="526"/>
      <c r="ED110" s="526"/>
      <c r="EE110" s="526"/>
      <c r="EF110" s="526"/>
      <c r="EG110" s="526"/>
      <c r="EH110" s="526"/>
      <c r="EI110" s="526"/>
      <c r="EJ110" s="526"/>
      <c r="EK110" s="526"/>
      <c r="EL110" s="526"/>
      <c r="EM110" s="526"/>
      <c r="EN110" s="526"/>
      <c r="EO110" s="526"/>
      <c r="EP110" s="535"/>
    </row>
    <row r="111" spans="1:146" ht="71.25" customHeight="1" x14ac:dyDescent="0.15">
      <c r="A111" s="624" t="s">
        <v>711</v>
      </c>
      <c r="B111" s="385" t="s">
        <v>776</v>
      </c>
      <c r="C111" s="525"/>
      <c r="D111" s="526"/>
      <c r="E111" s="526"/>
      <c r="F111" s="526"/>
      <c r="G111" s="526"/>
      <c r="H111" s="526"/>
      <c r="I111" s="526"/>
      <c r="J111" s="526"/>
      <c r="K111" s="526"/>
      <c r="L111" s="526"/>
      <c r="M111" s="526"/>
      <c r="N111" s="526"/>
      <c r="O111" s="526"/>
      <c r="P111" s="526"/>
      <c r="Q111" s="526"/>
      <c r="R111" s="526"/>
      <c r="S111" s="526"/>
      <c r="T111" s="526"/>
      <c r="U111" s="526"/>
      <c r="V111" s="526"/>
      <c r="W111" s="526"/>
      <c r="X111" s="526"/>
      <c r="Y111" s="526"/>
      <c r="Z111" s="527"/>
      <c r="AA111" s="525"/>
      <c r="AB111" s="526"/>
      <c r="AC111" s="526"/>
      <c r="AD111" s="526"/>
      <c r="AE111" s="526"/>
      <c r="AF111" s="526"/>
      <c r="AG111" s="526"/>
      <c r="AH111" s="526"/>
      <c r="AI111" s="526"/>
      <c r="AJ111" s="526"/>
      <c r="AK111" s="526"/>
      <c r="AL111" s="526"/>
      <c r="AM111" s="526"/>
      <c r="AN111" s="526"/>
      <c r="AO111" s="526"/>
      <c r="AP111" s="526"/>
      <c r="AQ111" s="526"/>
      <c r="AR111" s="526"/>
      <c r="AS111" s="526"/>
      <c r="AT111" s="526"/>
      <c r="AU111" s="526"/>
      <c r="AV111" s="526"/>
      <c r="AW111" s="526"/>
      <c r="AX111" s="527"/>
      <c r="AY111" s="525"/>
      <c r="AZ111" s="526"/>
      <c r="BA111" s="526"/>
      <c r="BB111" s="526"/>
      <c r="BC111" s="526"/>
      <c r="BD111" s="526"/>
      <c r="BE111" s="526"/>
      <c r="BF111" s="526"/>
      <c r="BG111" s="526"/>
      <c r="BH111" s="526"/>
      <c r="BI111" s="526"/>
      <c r="BJ111" s="526"/>
      <c r="BK111" s="526"/>
      <c r="BL111" s="526"/>
      <c r="BM111" s="526"/>
      <c r="BN111" s="526"/>
      <c r="BO111" s="526"/>
      <c r="BP111" s="526"/>
      <c r="BQ111" s="526"/>
      <c r="BR111" s="526"/>
      <c r="BS111" s="526"/>
      <c r="BT111" s="526"/>
      <c r="BU111" s="526"/>
      <c r="BV111" s="535"/>
      <c r="BW111" s="525"/>
      <c r="BX111" s="526"/>
      <c r="BY111" s="526"/>
      <c r="BZ111" s="526"/>
      <c r="CA111" s="526"/>
      <c r="CB111" s="526"/>
      <c r="CC111" s="526"/>
      <c r="CD111" s="526"/>
      <c r="CE111" s="526"/>
      <c r="CF111" s="526"/>
      <c r="CG111" s="526"/>
      <c r="CH111" s="526"/>
      <c r="CI111" s="526"/>
      <c r="CJ111" s="526"/>
      <c r="CK111" s="526"/>
      <c r="CL111" s="526"/>
      <c r="CM111" s="526"/>
      <c r="CN111" s="526"/>
      <c r="CO111" s="526"/>
      <c r="CP111" s="526"/>
      <c r="CQ111" s="526"/>
      <c r="CR111" s="526"/>
      <c r="CS111" s="526"/>
      <c r="CT111" s="527"/>
      <c r="CU111" s="525"/>
      <c r="CV111" s="526"/>
      <c r="CW111" s="526"/>
      <c r="CX111" s="526"/>
      <c r="CY111" s="526"/>
      <c r="CZ111" s="526"/>
      <c r="DA111" s="526"/>
      <c r="DB111" s="526"/>
      <c r="DC111" s="526"/>
      <c r="DD111" s="526"/>
      <c r="DE111" s="526"/>
      <c r="DF111" s="526"/>
      <c r="DG111" s="533"/>
      <c r="DH111" s="533"/>
      <c r="DI111" s="533"/>
      <c r="DJ111" s="533"/>
      <c r="DK111" s="533"/>
      <c r="DL111" s="533"/>
      <c r="DM111" s="526"/>
      <c r="DN111" s="526"/>
      <c r="DO111" s="526"/>
      <c r="DP111" s="526"/>
      <c r="DQ111" s="526"/>
      <c r="DR111" s="527"/>
      <c r="DS111" s="525"/>
      <c r="DT111" s="526"/>
      <c r="DU111" s="526"/>
      <c r="DV111" s="526"/>
      <c r="DW111" s="526"/>
      <c r="DX111" s="526"/>
      <c r="DY111" s="526"/>
      <c r="DZ111" s="526"/>
      <c r="EA111" s="526"/>
      <c r="EB111" s="526"/>
      <c r="EC111" s="526"/>
      <c r="ED111" s="526"/>
      <c r="EE111" s="526"/>
      <c r="EF111" s="526"/>
      <c r="EG111" s="526"/>
      <c r="EH111" s="526"/>
      <c r="EI111" s="526"/>
      <c r="EJ111" s="526"/>
      <c r="EK111" s="526"/>
      <c r="EL111" s="526"/>
      <c r="EM111" s="526"/>
      <c r="EN111" s="526"/>
      <c r="EO111" s="526"/>
      <c r="EP111" s="535"/>
    </row>
    <row r="112" spans="1:146" ht="71.25" customHeight="1" x14ac:dyDescent="0.15">
      <c r="A112" s="624" t="s">
        <v>712</v>
      </c>
      <c r="B112" s="385" t="s">
        <v>777</v>
      </c>
      <c r="C112" s="525"/>
      <c r="D112" s="526"/>
      <c r="E112" s="526"/>
      <c r="F112" s="526"/>
      <c r="G112" s="526"/>
      <c r="H112" s="526"/>
      <c r="I112" s="526"/>
      <c r="J112" s="526"/>
      <c r="K112" s="526"/>
      <c r="L112" s="526"/>
      <c r="M112" s="526"/>
      <c r="N112" s="526"/>
      <c r="O112" s="526"/>
      <c r="P112" s="526"/>
      <c r="Q112" s="526"/>
      <c r="R112" s="526"/>
      <c r="S112" s="526"/>
      <c r="T112" s="526"/>
      <c r="U112" s="526"/>
      <c r="V112" s="526"/>
      <c r="W112" s="526"/>
      <c r="X112" s="526"/>
      <c r="Y112" s="526"/>
      <c r="Z112" s="527"/>
      <c r="AA112" s="525"/>
      <c r="AB112" s="526"/>
      <c r="AC112" s="526"/>
      <c r="AD112" s="526"/>
      <c r="AE112" s="526"/>
      <c r="AF112" s="526"/>
      <c r="AG112" s="526"/>
      <c r="AH112" s="526"/>
      <c r="AI112" s="526"/>
      <c r="AJ112" s="526"/>
      <c r="AK112" s="526"/>
      <c r="AL112" s="526"/>
      <c r="AM112" s="526"/>
      <c r="AN112" s="526"/>
      <c r="AO112" s="526"/>
      <c r="AP112" s="526"/>
      <c r="AQ112" s="526"/>
      <c r="AR112" s="526"/>
      <c r="AS112" s="526"/>
      <c r="AT112" s="526"/>
      <c r="AU112" s="526"/>
      <c r="AV112" s="526"/>
      <c r="AW112" s="526"/>
      <c r="AX112" s="527"/>
      <c r="AY112" s="525"/>
      <c r="AZ112" s="526"/>
      <c r="BA112" s="526"/>
      <c r="BB112" s="526"/>
      <c r="BC112" s="526"/>
      <c r="BD112" s="526"/>
      <c r="BE112" s="526"/>
      <c r="BF112" s="526"/>
      <c r="BG112" s="526"/>
      <c r="BH112" s="526"/>
      <c r="BI112" s="526"/>
      <c r="BJ112" s="526"/>
      <c r="BK112" s="526"/>
      <c r="BL112" s="526"/>
      <c r="BM112" s="526"/>
      <c r="BN112" s="526"/>
      <c r="BO112" s="526"/>
      <c r="BP112" s="526"/>
      <c r="BQ112" s="526"/>
      <c r="BR112" s="526"/>
      <c r="BS112" s="526"/>
      <c r="BT112" s="526"/>
      <c r="BU112" s="526"/>
      <c r="BV112" s="535"/>
      <c r="BW112" s="525"/>
      <c r="BX112" s="526"/>
      <c r="BY112" s="526"/>
      <c r="BZ112" s="526"/>
      <c r="CA112" s="526"/>
      <c r="CB112" s="526"/>
      <c r="CC112" s="526"/>
      <c r="CD112" s="526"/>
      <c r="CE112" s="526"/>
      <c r="CF112" s="526"/>
      <c r="CG112" s="526"/>
      <c r="CH112" s="526"/>
      <c r="CI112" s="526"/>
      <c r="CJ112" s="526"/>
      <c r="CK112" s="526"/>
      <c r="CL112" s="526"/>
      <c r="CM112" s="526"/>
      <c r="CN112" s="526"/>
      <c r="CO112" s="526"/>
      <c r="CP112" s="526"/>
      <c r="CQ112" s="526"/>
      <c r="CR112" s="526"/>
      <c r="CS112" s="526"/>
      <c r="CT112" s="527"/>
      <c r="CU112" s="525"/>
      <c r="CV112" s="526"/>
      <c r="CW112" s="526"/>
      <c r="CX112" s="526"/>
      <c r="CY112" s="526"/>
      <c r="CZ112" s="526"/>
      <c r="DA112" s="526"/>
      <c r="DB112" s="526"/>
      <c r="DC112" s="526"/>
      <c r="DD112" s="526"/>
      <c r="DE112" s="526"/>
      <c r="DF112" s="526"/>
      <c r="DG112" s="533"/>
      <c r="DH112" s="533"/>
      <c r="DI112" s="533"/>
      <c r="DJ112" s="533"/>
      <c r="DK112" s="533"/>
      <c r="DL112" s="533"/>
      <c r="DM112" s="526"/>
      <c r="DN112" s="526"/>
      <c r="DO112" s="526"/>
      <c r="DP112" s="526"/>
      <c r="DQ112" s="526"/>
      <c r="DR112" s="527"/>
      <c r="DS112" s="525"/>
      <c r="DT112" s="526"/>
      <c r="DU112" s="526"/>
      <c r="DV112" s="526"/>
      <c r="DW112" s="526"/>
      <c r="DX112" s="526"/>
      <c r="DY112" s="526"/>
      <c r="DZ112" s="526"/>
      <c r="EA112" s="526"/>
      <c r="EB112" s="526"/>
      <c r="EC112" s="526"/>
      <c r="ED112" s="526"/>
      <c r="EE112" s="526"/>
      <c r="EF112" s="526"/>
      <c r="EG112" s="526"/>
      <c r="EH112" s="526"/>
      <c r="EI112" s="526"/>
      <c r="EJ112" s="526"/>
      <c r="EK112" s="526"/>
      <c r="EL112" s="526"/>
      <c r="EM112" s="526"/>
      <c r="EN112" s="526"/>
      <c r="EO112" s="526"/>
      <c r="EP112" s="535"/>
    </row>
    <row r="113" spans="1:146" ht="71.25" customHeight="1" x14ac:dyDescent="0.15">
      <c r="A113" s="624" t="s">
        <v>713</v>
      </c>
      <c r="B113" s="385" t="s">
        <v>778</v>
      </c>
      <c r="C113" s="525"/>
      <c r="D113" s="526"/>
      <c r="E113" s="526"/>
      <c r="F113" s="526"/>
      <c r="G113" s="526"/>
      <c r="H113" s="526"/>
      <c r="I113" s="526"/>
      <c r="J113" s="526"/>
      <c r="K113" s="526"/>
      <c r="L113" s="526"/>
      <c r="M113" s="526"/>
      <c r="N113" s="526"/>
      <c r="O113" s="526"/>
      <c r="P113" s="526"/>
      <c r="Q113" s="526"/>
      <c r="R113" s="526"/>
      <c r="S113" s="526"/>
      <c r="T113" s="526"/>
      <c r="U113" s="526"/>
      <c r="V113" s="526"/>
      <c r="W113" s="526"/>
      <c r="X113" s="526"/>
      <c r="Y113" s="526"/>
      <c r="Z113" s="527"/>
      <c r="AA113" s="525"/>
      <c r="AB113" s="526"/>
      <c r="AC113" s="526"/>
      <c r="AD113" s="526"/>
      <c r="AE113" s="526"/>
      <c r="AF113" s="526"/>
      <c r="AG113" s="526"/>
      <c r="AH113" s="526"/>
      <c r="AI113" s="526"/>
      <c r="AJ113" s="526"/>
      <c r="AK113" s="526"/>
      <c r="AL113" s="526"/>
      <c r="AM113" s="526"/>
      <c r="AN113" s="526"/>
      <c r="AO113" s="526"/>
      <c r="AP113" s="526"/>
      <c r="AQ113" s="526"/>
      <c r="AR113" s="526"/>
      <c r="AS113" s="526"/>
      <c r="AT113" s="526"/>
      <c r="AU113" s="526"/>
      <c r="AV113" s="526"/>
      <c r="AW113" s="526"/>
      <c r="AX113" s="527"/>
      <c r="AY113" s="525"/>
      <c r="AZ113" s="526"/>
      <c r="BA113" s="526"/>
      <c r="BB113" s="526"/>
      <c r="BC113" s="526"/>
      <c r="BD113" s="526"/>
      <c r="BE113" s="526"/>
      <c r="BF113" s="526"/>
      <c r="BG113" s="526"/>
      <c r="BH113" s="526"/>
      <c r="BI113" s="526"/>
      <c r="BJ113" s="526"/>
      <c r="BK113" s="526"/>
      <c r="BL113" s="526"/>
      <c r="BM113" s="526"/>
      <c r="BN113" s="526"/>
      <c r="BO113" s="526"/>
      <c r="BP113" s="526"/>
      <c r="BQ113" s="526"/>
      <c r="BR113" s="526"/>
      <c r="BS113" s="526"/>
      <c r="BT113" s="526"/>
      <c r="BU113" s="526"/>
      <c r="BV113" s="535"/>
      <c r="BW113" s="525"/>
      <c r="BX113" s="526"/>
      <c r="BY113" s="526"/>
      <c r="BZ113" s="526"/>
      <c r="CA113" s="526"/>
      <c r="CB113" s="526"/>
      <c r="CC113" s="526"/>
      <c r="CD113" s="526"/>
      <c r="CE113" s="526"/>
      <c r="CF113" s="526"/>
      <c r="CG113" s="526"/>
      <c r="CH113" s="526"/>
      <c r="CI113" s="526"/>
      <c r="CJ113" s="526"/>
      <c r="CK113" s="526"/>
      <c r="CL113" s="526"/>
      <c r="CM113" s="526"/>
      <c r="CN113" s="526"/>
      <c r="CO113" s="526"/>
      <c r="CP113" s="526"/>
      <c r="CQ113" s="526"/>
      <c r="CR113" s="526"/>
      <c r="CS113" s="526"/>
      <c r="CT113" s="527"/>
      <c r="CU113" s="525"/>
      <c r="CV113" s="526"/>
      <c r="CW113" s="526"/>
      <c r="CX113" s="526"/>
      <c r="CY113" s="526"/>
      <c r="CZ113" s="526"/>
      <c r="DA113" s="526"/>
      <c r="DB113" s="526"/>
      <c r="DC113" s="526"/>
      <c r="DD113" s="526"/>
      <c r="DE113" s="526"/>
      <c r="DF113" s="526"/>
      <c r="DG113" s="526"/>
      <c r="DH113" s="526"/>
      <c r="DI113" s="526"/>
      <c r="DJ113" s="526"/>
      <c r="DK113" s="526"/>
      <c r="DL113" s="526"/>
      <c r="DM113" s="533"/>
      <c r="DN113" s="533"/>
      <c r="DO113" s="533"/>
      <c r="DP113" s="533"/>
      <c r="DQ113" s="533"/>
      <c r="DR113" s="534"/>
      <c r="DS113" s="525"/>
      <c r="DT113" s="526"/>
      <c r="DU113" s="526"/>
      <c r="DV113" s="526"/>
      <c r="DW113" s="526"/>
      <c r="DX113" s="526"/>
      <c r="DY113" s="526"/>
      <c r="DZ113" s="526"/>
      <c r="EA113" s="526"/>
      <c r="EB113" s="526"/>
      <c r="EC113" s="526"/>
      <c r="ED113" s="526"/>
      <c r="EE113" s="526"/>
      <c r="EF113" s="526"/>
      <c r="EG113" s="526"/>
      <c r="EH113" s="526"/>
      <c r="EI113" s="526"/>
      <c r="EJ113" s="526"/>
      <c r="EK113" s="526"/>
      <c r="EL113" s="526"/>
      <c r="EM113" s="526"/>
      <c r="EN113" s="526"/>
      <c r="EO113" s="526"/>
      <c r="EP113" s="535"/>
    </row>
    <row r="114" spans="1:146" ht="71.25" customHeight="1" x14ac:dyDescent="0.15">
      <c r="A114" s="624" t="s">
        <v>714</v>
      </c>
      <c r="B114" s="385" t="s">
        <v>779</v>
      </c>
      <c r="C114" s="525"/>
      <c r="D114" s="526"/>
      <c r="E114" s="526"/>
      <c r="F114" s="526"/>
      <c r="G114" s="526"/>
      <c r="H114" s="526"/>
      <c r="I114" s="526"/>
      <c r="J114" s="526"/>
      <c r="K114" s="526"/>
      <c r="L114" s="526"/>
      <c r="M114" s="526"/>
      <c r="N114" s="526"/>
      <c r="O114" s="526"/>
      <c r="P114" s="526"/>
      <c r="Q114" s="526"/>
      <c r="R114" s="526"/>
      <c r="S114" s="526"/>
      <c r="T114" s="526"/>
      <c r="U114" s="526"/>
      <c r="V114" s="526"/>
      <c r="W114" s="526"/>
      <c r="X114" s="526"/>
      <c r="Y114" s="526"/>
      <c r="Z114" s="527"/>
      <c r="AA114" s="525"/>
      <c r="AB114" s="526"/>
      <c r="AC114" s="526"/>
      <c r="AD114" s="526"/>
      <c r="AE114" s="526"/>
      <c r="AF114" s="526"/>
      <c r="AG114" s="526"/>
      <c r="AH114" s="526"/>
      <c r="AI114" s="526"/>
      <c r="AJ114" s="526"/>
      <c r="AK114" s="526"/>
      <c r="AL114" s="526"/>
      <c r="AM114" s="526"/>
      <c r="AN114" s="526"/>
      <c r="AO114" s="526"/>
      <c r="AP114" s="526"/>
      <c r="AQ114" s="526"/>
      <c r="AR114" s="526"/>
      <c r="AS114" s="526"/>
      <c r="AT114" s="526"/>
      <c r="AU114" s="526"/>
      <c r="AV114" s="526"/>
      <c r="AW114" s="526"/>
      <c r="AX114" s="527"/>
      <c r="AY114" s="525"/>
      <c r="AZ114" s="526"/>
      <c r="BA114" s="526"/>
      <c r="BB114" s="526"/>
      <c r="BC114" s="526"/>
      <c r="BD114" s="526"/>
      <c r="BE114" s="526"/>
      <c r="BF114" s="526"/>
      <c r="BG114" s="526"/>
      <c r="BH114" s="526"/>
      <c r="BI114" s="526"/>
      <c r="BJ114" s="526"/>
      <c r="BK114" s="526"/>
      <c r="BL114" s="526"/>
      <c r="BM114" s="526"/>
      <c r="BN114" s="526"/>
      <c r="BO114" s="526"/>
      <c r="BP114" s="526"/>
      <c r="BQ114" s="526"/>
      <c r="BR114" s="526"/>
      <c r="BS114" s="526"/>
      <c r="BT114" s="526"/>
      <c r="BU114" s="526"/>
      <c r="BV114" s="535"/>
      <c r="BW114" s="525"/>
      <c r="BX114" s="526"/>
      <c r="BY114" s="526"/>
      <c r="BZ114" s="526"/>
      <c r="CA114" s="526"/>
      <c r="CB114" s="526"/>
      <c r="CC114" s="526"/>
      <c r="CD114" s="526"/>
      <c r="CE114" s="526"/>
      <c r="CF114" s="526"/>
      <c r="CG114" s="526"/>
      <c r="CH114" s="526"/>
      <c r="CI114" s="526"/>
      <c r="CJ114" s="526"/>
      <c r="CK114" s="526"/>
      <c r="CL114" s="526"/>
      <c r="CM114" s="526"/>
      <c r="CN114" s="526"/>
      <c r="CO114" s="526"/>
      <c r="CP114" s="526"/>
      <c r="CQ114" s="526"/>
      <c r="CR114" s="526"/>
      <c r="CS114" s="526"/>
      <c r="CT114" s="527"/>
      <c r="CU114" s="525"/>
      <c r="CV114" s="526"/>
      <c r="CW114" s="526"/>
      <c r="CX114" s="526"/>
      <c r="CY114" s="526"/>
      <c r="CZ114" s="526"/>
      <c r="DA114" s="526"/>
      <c r="DB114" s="526"/>
      <c r="DC114" s="526"/>
      <c r="DD114" s="526"/>
      <c r="DE114" s="526"/>
      <c r="DF114" s="526"/>
      <c r="DG114" s="526"/>
      <c r="DH114" s="526"/>
      <c r="DI114" s="526"/>
      <c r="DJ114" s="526"/>
      <c r="DK114" s="526"/>
      <c r="DL114" s="526"/>
      <c r="DM114" s="526"/>
      <c r="DN114" s="526"/>
      <c r="DO114" s="526"/>
      <c r="DP114" s="526"/>
      <c r="DQ114" s="526"/>
      <c r="DR114" s="527"/>
      <c r="DS114" s="536"/>
      <c r="DT114" s="537"/>
      <c r="DU114" s="537"/>
      <c r="DV114" s="537"/>
      <c r="DW114" s="537"/>
      <c r="DX114" s="537"/>
      <c r="DY114" s="526"/>
      <c r="DZ114" s="526"/>
      <c r="EA114" s="526"/>
      <c r="EB114" s="526"/>
      <c r="EC114" s="526"/>
      <c r="ED114" s="526"/>
      <c r="EE114" s="526"/>
      <c r="EF114" s="526"/>
      <c r="EG114" s="526"/>
      <c r="EH114" s="526"/>
      <c r="EI114" s="526"/>
      <c r="EJ114" s="526"/>
      <c r="EK114" s="526"/>
      <c r="EL114" s="526"/>
      <c r="EM114" s="526"/>
      <c r="EN114" s="526"/>
      <c r="EO114" s="526"/>
      <c r="EP114" s="535"/>
    </row>
    <row r="115" spans="1:146" ht="58.5" customHeight="1" x14ac:dyDescent="0.15">
      <c r="A115" s="624" t="s">
        <v>715</v>
      </c>
      <c r="B115" s="385" t="s">
        <v>780</v>
      </c>
      <c r="C115" s="525"/>
      <c r="D115" s="526"/>
      <c r="E115" s="526"/>
      <c r="F115" s="526"/>
      <c r="G115" s="526"/>
      <c r="H115" s="526"/>
      <c r="I115" s="526"/>
      <c r="J115" s="526"/>
      <c r="K115" s="526"/>
      <c r="L115" s="526"/>
      <c r="M115" s="526"/>
      <c r="N115" s="526"/>
      <c r="O115" s="526"/>
      <c r="P115" s="526"/>
      <c r="Q115" s="526"/>
      <c r="R115" s="526"/>
      <c r="S115" s="526"/>
      <c r="T115" s="526"/>
      <c r="U115" s="526"/>
      <c r="V115" s="526"/>
      <c r="W115" s="526"/>
      <c r="X115" s="526"/>
      <c r="Y115" s="526"/>
      <c r="Z115" s="527"/>
      <c r="AA115" s="525"/>
      <c r="AB115" s="526"/>
      <c r="AC115" s="526"/>
      <c r="AD115" s="526"/>
      <c r="AE115" s="526"/>
      <c r="AF115" s="526"/>
      <c r="AG115" s="526"/>
      <c r="AH115" s="526"/>
      <c r="AI115" s="526"/>
      <c r="AJ115" s="526"/>
      <c r="AK115" s="526"/>
      <c r="AL115" s="526"/>
      <c r="AM115" s="526"/>
      <c r="AN115" s="526"/>
      <c r="AO115" s="526"/>
      <c r="AP115" s="526"/>
      <c r="AQ115" s="526"/>
      <c r="AR115" s="526"/>
      <c r="AS115" s="526"/>
      <c r="AT115" s="526"/>
      <c r="AU115" s="526"/>
      <c r="AV115" s="526"/>
      <c r="AW115" s="526"/>
      <c r="AX115" s="527"/>
      <c r="AY115" s="525"/>
      <c r="AZ115" s="526"/>
      <c r="BA115" s="526"/>
      <c r="BB115" s="526"/>
      <c r="BC115" s="526"/>
      <c r="BD115" s="526"/>
      <c r="BE115" s="526"/>
      <c r="BF115" s="526"/>
      <c r="BG115" s="526"/>
      <c r="BH115" s="526"/>
      <c r="BI115" s="526"/>
      <c r="BJ115" s="526"/>
      <c r="BK115" s="526"/>
      <c r="BL115" s="526"/>
      <c r="BM115" s="526"/>
      <c r="BN115" s="526"/>
      <c r="BO115" s="526"/>
      <c r="BP115" s="526"/>
      <c r="BQ115" s="526"/>
      <c r="BR115" s="526"/>
      <c r="BS115" s="526"/>
      <c r="BT115" s="526"/>
      <c r="BU115" s="526"/>
      <c r="BV115" s="535"/>
      <c r="BW115" s="525"/>
      <c r="BX115" s="526"/>
      <c r="BY115" s="526"/>
      <c r="BZ115" s="526"/>
      <c r="CA115" s="526"/>
      <c r="CB115" s="526"/>
      <c r="CC115" s="526"/>
      <c r="CD115" s="526"/>
      <c r="CE115" s="526"/>
      <c r="CF115" s="526"/>
      <c r="CG115" s="526"/>
      <c r="CH115" s="526"/>
      <c r="CI115" s="526"/>
      <c r="CJ115" s="526"/>
      <c r="CK115" s="526"/>
      <c r="CL115" s="526"/>
      <c r="CM115" s="526"/>
      <c r="CN115" s="526"/>
      <c r="CO115" s="526"/>
      <c r="CP115" s="526"/>
      <c r="CQ115" s="526"/>
      <c r="CR115" s="526"/>
      <c r="CS115" s="526"/>
      <c r="CT115" s="527"/>
      <c r="CU115" s="525"/>
      <c r="CV115" s="526"/>
      <c r="CW115" s="526"/>
      <c r="CX115" s="526"/>
      <c r="CY115" s="526"/>
      <c r="CZ115" s="526"/>
      <c r="DA115" s="526"/>
      <c r="DB115" s="526"/>
      <c r="DC115" s="526"/>
      <c r="DD115" s="526"/>
      <c r="DE115" s="526"/>
      <c r="DF115" s="526"/>
      <c r="DG115" s="526"/>
      <c r="DH115" s="526"/>
      <c r="DI115" s="526"/>
      <c r="DJ115" s="526"/>
      <c r="DK115" s="526"/>
      <c r="DL115" s="526"/>
      <c r="DM115" s="526"/>
      <c r="DN115" s="526"/>
      <c r="DO115" s="526"/>
      <c r="DP115" s="526"/>
      <c r="DQ115" s="526"/>
      <c r="DR115" s="527"/>
      <c r="DS115" s="536"/>
      <c r="DT115" s="537"/>
      <c r="DU115" s="537"/>
      <c r="DV115" s="537"/>
      <c r="DW115" s="537"/>
      <c r="DX115" s="537"/>
      <c r="DY115" s="526"/>
      <c r="DZ115" s="526"/>
      <c r="EA115" s="526"/>
      <c r="EB115" s="526"/>
      <c r="EC115" s="526"/>
      <c r="ED115" s="526"/>
      <c r="EE115" s="526"/>
      <c r="EF115" s="526"/>
      <c r="EG115" s="526"/>
      <c r="EH115" s="526"/>
      <c r="EI115" s="526"/>
      <c r="EJ115" s="526"/>
      <c r="EK115" s="526"/>
      <c r="EL115" s="526"/>
      <c r="EM115" s="526"/>
      <c r="EN115" s="526"/>
      <c r="EO115" s="526"/>
      <c r="EP115" s="535"/>
    </row>
    <row r="116" spans="1:146" ht="58.5" customHeight="1" x14ac:dyDescent="0.15">
      <c r="A116" s="624" t="s">
        <v>716</v>
      </c>
      <c r="B116" s="385" t="s">
        <v>781</v>
      </c>
      <c r="C116" s="525"/>
      <c r="D116" s="526"/>
      <c r="E116" s="526"/>
      <c r="F116" s="526"/>
      <c r="G116" s="526"/>
      <c r="H116" s="526"/>
      <c r="I116" s="526"/>
      <c r="J116" s="526"/>
      <c r="K116" s="526"/>
      <c r="L116" s="526"/>
      <c r="M116" s="526"/>
      <c r="N116" s="526"/>
      <c r="O116" s="526"/>
      <c r="P116" s="526"/>
      <c r="Q116" s="526"/>
      <c r="R116" s="526"/>
      <c r="S116" s="526"/>
      <c r="T116" s="526"/>
      <c r="U116" s="526"/>
      <c r="V116" s="526"/>
      <c r="W116" s="526"/>
      <c r="X116" s="526"/>
      <c r="Y116" s="526"/>
      <c r="Z116" s="527"/>
      <c r="AA116" s="525"/>
      <c r="AB116" s="526"/>
      <c r="AC116" s="526"/>
      <c r="AD116" s="526"/>
      <c r="AE116" s="526"/>
      <c r="AF116" s="526"/>
      <c r="AG116" s="526"/>
      <c r="AH116" s="526"/>
      <c r="AI116" s="526"/>
      <c r="AJ116" s="526"/>
      <c r="AK116" s="526"/>
      <c r="AL116" s="526"/>
      <c r="AM116" s="526"/>
      <c r="AN116" s="526"/>
      <c r="AO116" s="526"/>
      <c r="AP116" s="526"/>
      <c r="AQ116" s="526"/>
      <c r="AR116" s="526"/>
      <c r="AS116" s="526"/>
      <c r="AT116" s="526"/>
      <c r="AU116" s="526"/>
      <c r="AV116" s="526"/>
      <c r="AW116" s="526"/>
      <c r="AX116" s="527"/>
      <c r="AY116" s="525"/>
      <c r="AZ116" s="526"/>
      <c r="BA116" s="526"/>
      <c r="BB116" s="526"/>
      <c r="BC116" s="526"/>
      <c r="BD116" s="526"/>
      <c r="BE116" s="526"/>
      <c r="BF116" s="526"/>
      <c r="BG116" s="526"/>
      <c r="BH116" s="526"/>
      <c r="BI116" s="526"/>
      <c r="BJ116" s="526"/>
      <c r="BK116" s="526"/>
      <c r="BL116" s="526"/>
      <c r="BM116" s="526"/>
      <c r="BN116" s="526"/>
      <c r="BO116" s="526"/>
      <c r="BP116" s="526"/>
      <c r="BQ116" s="526"/>
      <c r="BR116" s="526"/>
      <c r="BS116" s="526"/>
      <c r="BT116" s="526"/>
      <c r="BU116" s="526"/>
      <c r="BV116" s="535"/>
      <c r="BW116" s="525"/>
      <c r="BX116" s="526"/>
      <c r="BY116" s="526"/>
      <c r="BZ116" s="526"/>
      <c r="CA116" s="526"/>
      <c r="CB116" s="526"/>
      <c r="CC116" s="526"/>
      <c r="CD116" s="526"/>
      <c r="CE116" s="526"/>
      <c r="CF116" s="526"/>
      <c r="CG116" s="526"/>
      <c r="CH116" s="526"/>
      <c r="CI116" s="526"/>
      <c r="CJ116" s="526"/>
      <c r="CK116" s="526"/>
      <c r="CL116" s="526"/>
      <c r="CM116" s="526"/>
      <c r="CN116" s="526"/>
      <c r="CO116" s="526"/>
      <c r="CP116" s="526"/>
      <c r="CQ116" s="526"/>
      <c r="CR116" s="526"/>
      <c r="CS116" s="526"/>
      <c r="CT116" s="527"/>
      <c r="CU116" s="525"/>
      <c r="CV116" s="526"/>
      <c r="CW116" s="526"/>
      <c r="CX116" s="526"/>
      <c r="CY116" s="526"/>
      <c r="CZ116" s="526"/>
      <c r="DA116" s="526"/>
      <c r="DB116" s="526"/>
      <c r="DC116" s="526"/>
      <c r="DD116" s="526"/>
      <c r="DE116" s="526"/>
      <c r="DF116" s="526"/>
      <c r="DG116" s="526"/>
      <c r="DH116" s="526"/>
      <c r="DI116" s="526"/>
      <c r="DJ116" s="526"/>
      <c r="DK116" s="526"/>
      <c r="DL116" s="526"/>
      <c r="DM116" s="526"/>
      <c r="DN116" s="526"/>
      <c r="DO116" s="526"/>
      <c r="DP116" s="526"/>
      <c r="DQ116" s="526"/>
      <c r="DR116" s="527"/>
      <c r="DS116" s="536"/>
      <c r="DT116" s="537"/>
      <c r="DU116" s="537"/>
      <c r="DV116" s="537"/>
      <c r="DW116" s="537"/>
      <c r="DX116" s="537"/>
      <c r="DY116" s="526"/>
      <c r="DZ116" s="526"/>
      <c r="EA116" s="526"/>
      <c r="EB116" s="526"/>
      <c r="EC116" s="526"/>
      <c r="ED116" s="526"/>
      <c r="EE116" s="526"/>
      <c r="EF116" s="526"/>
      <c r="EG116" s="526"/>
      <c r="EH116" s="526"/>
      <c r="EI116" s="526"/>
      <c r="EJ116" s="526"/>
      <c r="EK116" s="526"/>
      <c r="EL116" s="526"/>
      <c r="EM116" s="526"/>
      <c r="EN116" s="526"/>
      <c r="EO116" s="526"/>
      <c r="EP116" s="535"/>
    </row>
    <row r="117" spans="1:146" ht="54.75" customHeight="1" thickBot="1" x14ac:dyDescent="0.2">
      <c r="A117" s="624" t="s">
        <v>717</v>
      </c>
      <c r="B117" s="385" t="s">
        <v>782</v>
      </c>
      <c r="C117" s="508"/>
      <c r="D117" s="509"/>
      <c r="E117" s="509"/>
      <c r="F117" s="509"/>
      <c r="G117" s="509"/>
      <c r="H117" s="509"/>
      <c r="I117" s="509"/>
      <c r="J117" s="509"/>
      <c r="K117" s="509"/>
      <c r="L117" s="509"/>
      <c r="M117" s="509"/>
      <c r="N117" s="509"/>
      <c r="O117" s="509"/>
      <c r="P117" s="509"/>
      <c r="Q117" s="509"/>
      <c r="R117" s="509"/>
      <c r="S117" s="509"/>
      <c r="T117" s="509"/>
      <c r="U117" s="509"/>
      <c r="V117" s="509"/>
      <c r="W117" s="509"/>
      <c r="X117" s="509"/>
      <c r="Y117" s="509"/>
      <c r="Z117" s="515"/>
      <c r="AA117" s="508"/>
      <c r="AB117" s="509"/>
      <c r="AC117" s="509"/>
      <c r="AD117" s="509"/>
      <c r="AE117" s="509"/>
      <c r="AF117" s="509"/>
      <c r="AG117" s="509"/>
      <c r="AH117" s="509"/>
      <c r="AI117" s="509"/>
      <c r="AJ117" s="509"/>
      <c r="AK117" s="509"/>
      <c r="AL117" s="509"/>
      <c r="AM117" s="509"/>
      <c r="AN117" s="509"/>
      <c r="AO117" s="509"/>
      <c r="AP117" s="509"/>
      <c r="AQ117" s="509"/>
      <c r="AR117" s="509"/>
      <c r="AS117" s="509"/>
      <c r="AT117" s="509"/>
      <c r="AU117" s="509"/>
      <c r="AV117" s="509"/>
      <c r="AW117" s="509"/>
      <c r="AX117" s="515"/>
      <c r="AY117" s="508"/>
      <c r="AZ117" s="509"/>
      <c r="BA117" s="509"/>
      <c r="BB117" s="509"/>
      <c r="BC117" s="509"/>
      <c r="BD117" s="509"/>
      <c r="BE117" s="509"/>
      <c r="BF117" s="509"/>
      <c r="BG117" s="509"/>
      <c r="BH117" s="509"/>
      <c r="BI117" s="509"/>
      <c r="BJ117" s="509"/>
      <c r="BK117" s="509"/>
      <c r="BL117" s="509"/>
      <c r="BM117" s="509"/>
      <c r="BN117" s="509"/>
      <c r="BO117" s="509"/>
      <c r="BP117" s="509"/>
      <c r="BQ117" s="509"/>
      <c r="BR117" s="509"/>
      <c r="BS117" s="509"/>
      <c r="BT117" s="509"/>
      <c r="BU117" s="509"/>
      <c r="BV117" s="515"/>
      <c r="BW117" s="508"/>
      <c r="BX117" s="509"/>
      <c r="BY117" s="509"/>
      <c r="BZ117" s="509"/>
      <c r="CA117" s="509"/>
      <c r="CB117" s="509"/>
      <c r="CC117" s="509"/>
      <c r="CD117" s="509"/>
      <c r="CE117" s="509"/>
      <c r="CF117" s="509"/>
      <c r="CG117" s="509"/>
      <c r="CH117" s="509"/>
      <c r="CI117" s="509"/>
      <c r="CJ117" s="509"/>
      <c r="CK117" s="509"/>
      <c r="CL117" s="509"/>
      <c r="CM117" s="509"/>
      <c r="CN117" s="509"/>
      <c r="CO117" s="509"/>
      <c r="CP117" s="509"/>
      <c r="CQ117" s="509"/>
      <c r="CR117" s="509"/>
      <c r="CS117" s="509"/>
      <c r="CT117" s="515"/>
      <c r="CU117" s="508"/>
      <c r="CV117" s="509"/>
      <c r="CW117" s="509"/>
      <c r="CX117" s="509"/>
      <c r="CY117" s="509"/>
      <c r="CZ117" s="509"/>
      <c r="DA117" s="509"/>
      <c r="DB117" s="509"/>
      <c r="DC117" s="509"/>
      <c r="DD117" s="509"/>
      <c r="DE117" s="509"/>
      <c r="DF117" s="509"/>
      <c r="DG117" s="509"/>
      <c r="DH117" s="509"/>
      <c r="DI117" s="509"/>
      <c r="DJ117" s="509"/>
      <c r="DK117" s="509"/>
      <c r="DL117" s="509"/>
      <c r="DM117" s="509"/>
      <c r="DN117" s="509"/>
      <c r="DO117" s="509"/>
      <c r="DP117" s="509"/>
      <c r="DQ117" s="509"/>
      <c r="DR117" s="515"/>
      <c r="DS117" s="622"/>
      <c r="DT117" s="538"/>
      <c r="DU117" s="538"/>
      <c r="DV117" s="538"/>
      <c r="DW117" s="538"/>
      <c r="DX117" s="538"/>
      <c r="DY117" s="509"/>
      <c r="DZ117" s="509"/>
      <c r="EA117" s="509"/>
      <c r="EB117" s="509"/>
      <c r="EC117" s="509"/>
      <c r="ED117" s="509"/>
      <c r="EE117" s="509"/>
      <c r="EF117" s="509"/>
      <c r="EG117" s="509"/>
      <c r="EH117" s="509"/>
      <c r="EI117" s="509"/>
      <c r="EJ117" s="509"/>
      <c r="EK117" s="509"/>
      <c r="EL117" s="509"/>
      <c r="EM117" s="509"/>
      <c r="EN117" s="509"/>
      <c r="EO117" s="509"/>
      <c r="EP117" s="515"/>
    </row>
    <row r="118" spans="1:146" s="12" customFormat="1" ht="21.75" customHeight="1" thickBot="1" x14ac:dyDescent="0.2">
      <c r="A118" s="488">
        <v>10</v>
      </c>
      <c r="B118" s="1058" t="s">
        <v>234</v>
      </c>
      <c r="C118" s="1058"/>
      <c r="D118" s="1058"/>
      <c r="E118" s="1058"/>
      <c r="F118" s="1058"/>
      <c r="G118" s="1058"/>
      <c r="H118" s="1058"/>
      <c r="I118" s="1058"/>
      <c r="J118" s="1058"/>
      <c r="K118" s="1058"/>
      <c r="L118" s="1058"/>
      <c r="M118" s="1058"/>
      <c r="N118" s="1058"/>
      <c r="O118" s="1058"/>
      <c r="P118" s="1058"/>
      <c r="Q118" s="1058"/>
      <c r="R118" s="1058"/>
      <c r="S118" s="1058"/>
      <c r="T118" s="1058"/>
      <c r="U118" s="1058"/>
      <c r="V118" s="1058"/>
      <c r="W118" s="1058"/>
      <c r="X118" s="1058"/>
      <c r="Y118" s="1058"/>
      <c r="Z118" s="1058"/>
      <c r="AA118" s="1058"/>
      <c r="AB118" s="1058"/>
      <c r="AC118" s="1058"/>
      <c r="AD118" s="1058"/>
      <c r="AE118" s="1058"/>
      <c r="AF118" s="1058"/>
      <c r="AG118" s="1058"/>
      <c r="AH118" s="1058"/>
      <c r="AI118" s="1058"/>
      <c r="AJ118" s="1058"/>
      <c r="AK118" s="1058"/>
      <c r="AL118" s="1058"/>
      <c r="AM118" s="1058"/>
      <c r="AN118" s="1058"/>
      <c r="AO118" s="1058"/>
      <c r="AP118" s="1058"/>
      <c r="AQ118" s="1058"/>
      <c r="AR118" s="1058"/>
      <c r="AS118" s="1058"/>
      <c r="AT118" s="1058"/>
      <c r="AU118" s="1058"/>
      <c r="AV118" s="1058"/>
      <c r="AW118" s="1058"/>
      <c r="AX118" s="1058"/>
      <c r="AY118" s="1058"/>
      <c r="AZ118" s="1058"/>
      <c r="BA118" s="1058"/>
      <c r="BB118" s="1058"/>
      <c r="BC118" s="1058"/>
      <c r="BD118" s="1058"/>
      <c r="BE118" s="1058"/>
      <c r="BF118" s="1058"/>
      <c r="BG118" s="1058"/>
      <c r="BH118" s="1058"/>
      <c r="BI118" s="1058"/>
      <c r="BJ118" s="1058"/>
      <c r="BK118" s="1058"/>
      <c r="BL118" s="1058"/>
      <c r="BM118" s="1058"/>
      <c r="BN118" s="1058"/>
      <c r="BO118" s="1058"/>
      <c r="BP118" s="1058"/>
      <c r="BQ118" s="1058"/>
      <c r="BR118" s="1058"/>
      <c r="BS118" s="1058"/>
      <c r="BT118" s="1058"/>
      <c r="BU118" s="1058"/>
      <c r="BV118" s="1058"/>
      <c r="BW118" s="1058"/>
      <c r="BX118" s="1058"/>
      <c r="BY118" s="1058"/>
      <c r="BZ118" s="1058"/>
      <c r="CA118" s="1058"/>
      <c r="CB118" s="1058"/>
      <c r="CC118" s="1058"/>
      <c r="CD118" s="1058"/>
      <c r="CE118" s="1058"/>
      <c r="CF118" s="1058"/>
      <c r="CG118" s="1058"/>
      <c r="CH118" s="1058"/>
      <c r="CI118" s="1058"/>
      <c r="CJ118" s="1058"/>
      <c r="CK118" s="1058"/>
      <c r="CL118" s="1058"/>
      <c r="CM118" s="1058"/>
      <c r="CN118" s="1058"/>
      <c r="CO118" s="1058"/>
      <c r="CP118" s="1058"/>
      <c r="CQ118" s="1058"/>
      <c r="CR118" s="1058"/>
      <c r="CS118" s="1058"/>
      <c r="CT118" s="1058"/>
      <c r="CU118" s="1058"/>
      <c r="CV118" s="1058"/>
      <c r="CW118" s="1058"/>
      <c r="CX118" s="1058"/>
      <c r="CY118" s="1058"/>
      <c r="CZ118" s="1058"/>
      <c r="DA118" s="1058"/>
      <c r="DB118" s="1058"/>
      <c r="DC118" s="1058"/>
      <c r="DD118" s="1058"/>
      <c r="DE118" s="1058"/>
      <c r="DF118" s="1058"/>
      <c r="DG118" s="1058"/>
      <c r="DH118" s="1058"/>
      <c r="DI118" s="1058"/>
      <c r="DJ118" s="1058"/>
      <c r="DK118" s="1058"/>
      <c r="DL118" s="1058"/>
      <c r="DM118" s="1058"/>
      <c r="DN118" s="1058"/>
      <c r="DO118" s="1058"/>
      <c r="DP118" s="1058"/>
      <c r="DQ118" s="1058"/>
      <c r="DR118" s="1058"/>
      <c r="DS118" s="1058"/>
      <c r="DT118" s="1058"/>
      <c r="DU118" s="1058"/>
      <c r="DV118" s="1058"/>
      <c r="DW118" s="1058"/>
      <c r="DX118" s="1058"/>
      <c r="DY118" s="1058"/>
      <c r="DZ118" s="1058"/>
      <c r="EA118" s="1058"/>
      <c r="EB118" s="1058"/>
      <c r="EC118" s="1058"/>
      <c r="ED118" s="1058"/>
      <c r="EE118" s="1058"/>
      <c r="EF118" s="1058"/>
      <c r="EG118" s="1058"/>
      <c r="EH118" s="1058"/>
      <c r="EI118" s="1058"/>
      <c r="EJ118" s="1058"/>
      <c r="EK118" s="1058"/>
      <c r="EL118" s="1058"/>
      <c r="EM118" s="1058"/>
      <c r="EN118" s="1058"/>
      <c r="EO118" s="1058"/>
      <c r="EP118" s="1059"/>
    </row>
    <row r="119" spans="1:146" ht="15" customHeight="1" x14ac:dyDescent="0.15">
      <c r="A119" s="1060" t="s">
        <v>0</v>
      </c>
      <c r="B119" s="1061" t="s">
        <v>743</v>
      </c>
      <c r="C119" s="1052" t="s">
        <v>744</v>
      </c>
      <c r="D119" s="1053"/>
      <c r="E119" s="1053"/>
      <c r="F119" s="1053"/>
      <c r="G119" s="1053"/>
      <c r="H119" s="1053"/>
      <c r="I119" s="1053"/>
      <c r="J119" s="1053"/>
      <c r="K119" s="1053"/>
      <c r="L119" s="1053"/>
      <c r="M119" s="1053"/>
      <c r="N119" s="1053"/>
      <c r="O119" s="1053"/>
      <c r="P119" s="1053"/>
      <c r="Q119" s="1053"/>
      <c r="R119" s="1053"/>
      <c r="S119" s="1053"/>
      <c r="T119" s="1053"/>
      <c r="U119" s="1053"/>
      <c r="V119" s="1053"/>
      <c r="W119" s="1053"/>
      <c r="X119" s="1053"/>
      <c r="Y119" s="1053"/>
      <c r="Z119" s="1054"/>
      <c r="AA119" s="1052" t="s">
        <v>745</v>
      </c>
      <c r="AB119" s="1053"/>
      <c r="AC119" s="1053"/>
      <c r="AD119" s="1053"/>
      <c r="AE119" s="1053"/>
      <c r="AF119" s="1053"/>
      <c r="AG119" s="1053"/>
      <c r="AH119" s="1053"/>
      <c r="AI119" s="1053"/>
      <c r="AJ119" s="1053"/>
      <c r="AK119" s="1053"/>
      <c r="AL119" s="1053"/>
      <c r="AM119" s="1053"/>
      <c r="AN119" s="1053"/>
      <c r="AO119" s="1053"/>
      <c r="AP119" s="1053"/>
      <c r="AQ119" s="1053"/>
      <c r="AR119" s="1053"/>
      <c r="AS119" s="1053"/>
      <c r="AT119" s="1053"/>
      <c r="AU119" s="1053"/>
      <c r="AV119" s="1053"/>
      <c r="AW119" s="1053"/>
      <c r="AX119" s="1054"/>
      <c r="AY119" s="1052" t="s">
        <v>746</v>
      </c>
      <c r="AZ119" s="1053"/>
      <c r="BA119" s="1053"/>
      <c r="BB119" s="1053"/>
      <c r="BC119" s="1053"/>
      <c r="BD119" s="1053"/>
      <c r="BE119" s="1053"/>
      <c r="BF119" s="1053"/>
      <c r="BG119" s="1053"/>
      <c r="BH119" s="1053"/>
      <c r="BI119" s="1053"/>
      <c r="BJ119" s="1053"/>
      <c r="BK119" s="1053"/>
      <c r="BL119" s="1053"/>
      <c r="BM119" s="1053"/>
      <c r="BN119" s="1053"/>
      <c r="BO119" s="1053"/>
      <c r="BP119" s="1053"/>
      <c r="BQ119" s="1053"/>
      <c r="BR119" s="1053"/>
      <c r="BS119" s="1053"/>
      <c r="BT119" s="1053"/>
      <c r="BU119" s="1053"/>
      <c r="BV119" s="1054"/>
      <c r="BW119" s="1052" t="s">
        <v>747</v>
      </c>
      <c r="BX119" s="1053"/>
      <c r="BY119" s="1053"/>
      <c r="BZ119" s="1053"/>
      <c r="CA119" s="1053"/>
      <c r="CB119" s="1053"/>
      <c r="CC119" s="1053"/>
      <c r="CD119" s="1053"/>
      <c r="CE119" s="1053"/>
      <c r="CF119" s="1053"/>
      <c r="CG119" s="1053"/>
      <c r="CH119" s="1053"/>
      <c r="CI119" s="1053"/>
      <c r="CJ119" s="1053"/>
      <c r="CK119" s="1053"/>
      <c r="CL119" s="1053"/>
      <c r="CM119" s="1053"/>
      <c r="CN119" s="1053"/>
      <c r="CO119" s="1053"/>
      <c r="CP119" s="1053"/>
      <c r="CQ119" s="1053"/>
      <c r="CR119" s="1053"/>
      <c r="CS119" s="1053"/>
      <c r="CT119" s="1054"/>
      <c r="CU119" s="1052" t="s">
        <v>748</v>
      </c>
      <c r="CV119" s="1053"/>
      <c r="CW119" s="1053"/>
      <c r="CX119" s="1053"/>
      <c r="CY119" s="1053"/>
      <c r="CZ119" s="1053"/>
      <c r="DA119" s="1053"/>
      <c r="DB119" s="1053"/>
      <c r="DC119" s="1053"/>
      <c r="DD119" s="1053"/>
      <c r="DE119" s="1053"/>
      <c r="DF119" s="1053"/>
      <c r="DG119" s="1053"/>
      <c r="DH119" s="1053"/>
      <c r="DI119" s="1053"/>
      <c r="DJ119" s="1053"/>
      <c r="DK119" s="1053"/>
      <c r="DL119" s="1053"/>
      <c r="DM119" s="1053"/>
      <c r="DN119" s="1053"/>
      <c r="DO119" s="1053"/>
      <c r="DP119" s="1053"/>
      <c r="DQ119" s="1053"/>
      <c r="DR119" s="1054"/>
      <c r="DS119" s="1052" t="s">
        <v>749</v>
      </c>
      <c r="DT119" s="1053"/>
      <c r="DU119" s="1053"/>
      <c r="DV119" s="1053"/>
      <c r="DW119" s="1053"/>
      <c r="DX119" s="1053"/>
      <c r="DY119" s="1053"/>
      <c r="DZ119" s="1053"/>
      <c r="EA119" s="1053"/>
      <c r="EB119" s="1053"/>
      <c r="EC119" s="1053"/>
      <c r="ED119" s="1053"/>
      <c r="EE119" s="1053"/>
      <c r="EF119" s="1053"/>
      <c r="EG119" s="1053"/>
      <c r="EH119" s="1053"/>
      <c r="EI119" s="1053"/>
      <c r="EJ119" s="1053"/>
      <c r="EK119" s="1053"/>
      <c r="EL119" s="1053"/>
      <c r="EM119" s="1053"/>
      <c r="EN119" s="1053"/>
      <c r="EO119" s="1053"/>
      <c r="EP119" s="1054"/>
    </row>
    <row r="120" spans="1:146" ht="14.25" customHeight="1" x14ac:dyDescent="0.15">
      <c r="A120" s="1060"/>
      <c r="B120" s="1061"/>
      <c r="C120" s="1057" t="s">
        <v>750</v>
      </c>
      <c r="D120" s="1055"/>
      <c r="E120" s="1055"/>
      <c r="F120" s="1055"/>
      <c r="G120" s="1055"/>
      <c r="H120" s="1055"/>
      <c r="I120" s="1055" t="s">
        <v>751</v>
      </c>
      <c r="J120" s="1055"/>
      <c r="K120" s="1055"/>
      <c r="L120" s="1055"/>
      <c r="M120" s="1055"/>
      <c r="N120" s="1055"/>
      <c r="O120" s="1055" t="s">
        <v>752</v>
      </c>
      <c r="P120" s="1055"/>
      <c r="Q120" s="1055"/>
      <c r="R120" s="1055"/>
      <c r="S120" s="1055"/>
      <c r="T120" s="1055"/>
      <c r="U120" s="1055" t="s">
        <v>753</v>
      </c>
      <c r="V120" s="1055"/>
      <c r="W120" s="1055"/>
      <c r="X120" s="1055"/>
      <c r="Y120" s="1055"/>
      <c r="Z120" s="1056"/>
      <c r="AA120" s="1057" t="s">
        <v>754</v>
      </c>
      <c r="AB120" s="1055"/>
      <c r="AC120" s="1055"/>
      <c r="AD120" s="1055"/>
      <c r="AE120" s="1055"/>
      <c r="AF120" s="1055"/>
      <c r="AG120" s="1055" t="s">
        <v>751</v>
      </c>
      <c r="AH120" s="1055"/>
      <c r="AI120" s="1055"/>
      <c r="AJ120" s="1055"/>
      <c r="AK120" s="1055"/>
      <c r="AL120" s="1055"/>
      <c r="AM120" s="1055" t="s">
        <v>752</v>
      </c>
      <c r="AN120" s="1055"/>
      <c r="AO120" s="1055"/>
      <c r="AP120" s="1055"/>
      <c r="AQ120" s="1055"/>
      <c r="AR120" s="1055"/>
      <c r="AS120" s="1055" t="s">
        <v>753</v>
      </c>
      <c r="AT120" s="1055"/>
      <c r="AU120" s="1055"/>
      <c r="AV120" s="1055"/>
      <c r="AW120" s="1055"/>
      <c r="AX120" s="1056"/>
      <c r="AY120" s="1057" t="s">
        <v>754</v>
      </c>
      <c r="AZ120" s="1055"/>
      <c r="BA120" s="1055"/>
      <c r="BB120" s="1055"/>
      <c r="BC120" s="1055"/>
      <c r="BD120" s="1055"/>
      <c r="BE120" s="1055" t="s">
        <v>751</v>
      </c>
      <c r="BF120" s="1055"/>
      <c r="BG120" s="1055"/>
      <c r="BH120" s="1055"/>
      <c r="BI120" s="1055"/>
      <c r="BJ120" s="1055"/>
      <c r="BK120" s="1055" t="s">
        <v>752</v>
      </c>
      <c r="BL120" s="1055"/>
      <c r="BM120" s="1055"/>
      <c r="BN120" s="1055"/>
      <c r="BO120" s="1055"/>
      <c r="BP120" s="1055"/>
      <c r="BQ120" s="1055" t="s">
        <v>753</v>
      </c>
      <c r="BR120" s="1055"/>
      <c r="BS120" s="1055"/>
      <c r="BT120" s="1055"/>
      <c r="BU120" s="1055"/>
      <c r="BV120" s="1056"/>
      <c r="BW120" s="1057" t="s">
        <v>750</v>
      </c>
      <c r="BX120" s="1055"/>
      <c r="BY120" s="1055"/>
      <c r="BZ120" s="1055"/>
      <c r="CA120" s="1055"/>
      <c r="CB120" s="1055"/>
      <c r="CC120" s="1055" t="s">
        <v>751</v>
      </c>
      <c r="CD120" s="1055"/>
      <c r="CE120" s="1055"/>
      <c r="CF120" s="1055"/>
      <c r="CG120" s="1055"/>
      <c r="CH120" s="1055"/>
      <c r="CI120" s="1055" t="s">
        <v>752</v>
      </c>
      <c r="CJ120" s="1055"/>
      <c r="CK120" s="1055"/>
      <c r="CL120" s="1055"/>
      <c r="CM120" s="1055"/>
      <c r="CN120" s="1055"/>
      <c r="CO120" s="1055" t="s">
        <v>753</v>
      </c>
      <c r="CP120" s="1055"/>
      <c r="CQ120" s="1055"/>
      <c r="CR120" s="1055"/>
      <c r="CS120" s="1055"/>
      <c r="CT120" s="1056"/>
      <c r="CU120" s="1057" t="s">
        <v>754</v>
      </c>
      <c r="CV120" s="1055"/>
      <c r="CW120" s="1055"/>
      <c r="CX120" s="1055"/>
      <c r="CY120" s="1055"/>
      <c r="CZ120" s="1055"/>
      <c r="DA120" s="1055" t="s">
        <v>751</v>
      </c>
      <c r="DB120" s="1055"/>
      <c r="DC120" s="1055"/>
      <c r="DD120" s="1055"/>
      <c r="DE120" s="1055"/>
      <c r="DF120" s="1055"/>
      <c r="DG120" s="1055" t="s">
        <v>752</v>
      </c>
      <c r="DH120" s="1055"/>
      <c r="DI120" s="1055"/>
      <c r="DJ120" s="1055"/>
      <c r="DK120" s="1055"/>
      <c r="DL120" s="1055"/>
      <c r="DM120" s="1055" t="s">
        <v>753</v>
      </c>
      <c r="DN120" s="1055"/>
      <c r="DO120" s="1055"/>
      <c r="DP120" s="1055"/>
      <c r="DQ120" s="1055"/>
      <c r="DR120" s="1056"/>
      <c r="DS120" s="1057" t="s">
        <v>754</v>
      </c>
      <c r="DT120" s="1055"/>
      <c r="DU120" s="1055"/>
      <c r="DV120" s="1055"/>
      <c r="DW120" s="1055"/>
      <c r="DX120" s="1055"/>
      <c r="DY120" s="1055" t="s">
        <v>751</v>
      </c>
      <c r="DZ120" s="1055"/>
      <c r="EA120" s="1055"/>
      <c r="EB120" s="1055"/>
      <c r="EC120" s="1055"/>
      <c r="ED120" s="1055"/>
      <c r="EE120" s="1055" t="s">
        <v>752</v>
      </c>
      <c r="EF120" s="1055"/>
      <c r="EG120" s="1055"/>
      <c r="EH120" s="1055"/>
      <c r="EI120" s="1055"/>
      <c r="EJ120" s="1055"/>
      <c r="EK120" s="1055" t="s">
        <v>753</v>
      </c>
      <c r="EL120" s="1055"/>
      <c r="EM120" s="1055"/>
      <c r="EN120" s="1055"/>
      <c r="EO120" s="1055"/>
      <c r="EP120" s="1056"/>
    </row>
    <row r="121" spans="1:146" ht="24.75" customHeight="1" thickBot="1" x14ac:dyDescent="0.2">
      <c r="A121" s="1060"/>
      <c r="B121" s="1061"/>
      <c r="C121" s="1049" t="s">
        <v>755</v>
      </c>
      <c r="D121" s="1047"/>
      <c r="E121" s="1047"/>
      <c r="F121" s="1047"/>
      <c r="G121" s="1047"/>
      <c r="H121" s="1047"/>
      <c r="I121" s="1047" t="s">
        <v>755</v>
      </c>
      <c r="J121" s="1047"/>
      <c r="K121" s="1047"/>
      <c r="L121" s="1047"/>
      <c r="M121" s="1047"/>
      <c r="N121" s="1047"/>
      <c r="O121" s="1047" t="s">
        <v>755</v>
      </c>
      <c r="P121" s="1047"/>
      <c r="Q121" s="1047"/>
      <c r="R121" s="1047"/>
      <c r="S121" s="1047"/>
      <c r="T121" s="1047"/>
      <c r="U121" s="1047" t="s">
        <v>755</v>
      </c>
      <c r="V121" s="1047"/>
      <c r="W121" s="1047"/>
      <c r="X121" s="1047"/>
      <c r="Y121" s="1047"/>
      <c r="Z121" s="1048"/>
      <c r="AA121" s="1049" t="s">
        <v>755</v>
      </c>
      <c r="AB121" s="1047"/>
      <c r="AC121" s="1047"/>
      <c r="AD121" s="1047"/>
      <c r="AE121" s="1047"/>
      <c r="AF121" s="1047"/>
      <c r="AG121" s="1047" t="s">
        <v>755</v>
      </c>
      <c r="AH121" s="1047"/>
      <c r="AI121" s="1047"/>
      <c r="AJ121" s="1047"/>
      <c r="AK121" s="1047"/>
      <c r="AL121" s="1047"/>
      <c r="AM121" s="1047" t="s">
        <v>755</v>
      </c>
      <c r="AN121" s="1047"/>
      <c r="AO121" s="1047"/>
      <c r="AP121" s="1047"/>
      <c r="AQ121" s="1047"/>
      <c r="AR121" s="1047"/>
      <c r="AS121" s="1047" t="s">
        <v>755</v>
      </c>
      <c r="AT121" s="1047"/>
      <c r="AU121" s="1047"/>
      <c r="AV121" s="1047"/>
      <c r="AW121" s="1047"/>
      <c r="AX121" s="1048"/>
      <c r="AY121" s="1049" t="s">
        <v>755</v>
      </c>
      <c r="AZ121" s="1047"/>
      <c r="BA121" s="1047"/>
      <c r="BB121" s="1047"/>
      <c r="BC121" s="1047"/>
      <c r="BD121" s="1047"/>
      <c r="BE121" s="1047" t="s">
        <v>755</v>
      </c>
      <c r="BF121" s="1047"/>
      <c r="BG121" s="1047"/>
      <c r="BH121" s="1047"/>
      <c r="BI121" s="1047"/>
      <c r="BJ121" s="1047"/>
      <c r="BK121" s="1047" t="s">
        <v>755</v>
      </c>
      <c r="BL121" s="1047"/>
      <c r="BM121" s="1047"/>
      <c r="BN121" s="1047"/>
      <c r="BO121" s="1047"/>
      <c r="BP121" s="1047"/>
      <c r="BQ121" s="1047" t="s">
        <v>755</v>
      </c>
      <c r="BR121" s="1047"/>
      <c r="BS121" s="1047"/>
      <c r="BT121" s="1047"/>
      <c r="BU121" s="1047"/>
      <c r="BV121" s="1048"/>
      <c r="BW121" s="1049" t="s">
        <v>755</v>
      </c>
      <c r="BX121" s="1047"/>
      <c r="BY121" s="1047"/>
      <c r="BZ121" s="1047"/>
      <c r="CA121" s="1047"/>
      <c r="CB121" s="1047"/>
      <c r="CC121" s="1047" t="s">
        <v>755</v>
      </c>
      <c r="CD121" s="1047"/>
      <c r="CE121" s="1047"/>
      <c r="CF121" s="1047"/>
      <c r="CG121" s="1047"/>
      <c r="CH121" s="1047"/>
      <c r="CI121" s="1047" t="s">
        <v>755</v>
      </c>
      <c r="CJ121" s="1047"/>
      <c r="CK121" s="1047"/>
      <c r="CL121" s="1047"/>
      <c r="CM121" s="1047"/>
      <c r="CN121" s="1047"/>
      <c r="CO121" s="1047" t="s">
        <v>755</v>
      </c>
      <c r="CP121" s="1047"/>
      <c r="CQ121" s="1047"/>
      <c r="CR121" s="1047"/>
      <c r="CS121" s="1047"/>
      <c r="CT121" s="1048"/>
      <c r="CU121" s="1049" t="s">
        <v>755</v>
      </c>
      <c r="CV121" s="1047"/>
      <c r="CW121" s="1047"/>
      <c r="CX121" s="1047"/>
      <c r="CY121" s="1047"/>
      <c r="CZ121" s="1047"/>
      <c r="DA121" s="1047" t="s">
        <v>755</v>
      </c>
      <c r="DB121" s="1047"/>
      <c r="DC121" s="1047"/>
      <c r="DD121" s="1047"/>
      <c r="DE121" s="1047"/>
      <c r="DF121" s="1047"/>
      <c r="DG121" s="1047" t="s">
        <v>755</v>
      </c>
      <c r="DH121" s="1047"/>
      <c r="DI121" s="1047"/>
      <c r="DJ121" s="1047"/>
      <c r="DK121" s="1047"/>
      <c r="DL121" s="1047"/>
      <c r="DM121" s="1047" t="s">
        <v>755</v>
      </c>
      <c r="DN121" s="1047"/>
      <c r="DO121" s="1047"/>
      <c r="DP121" s="1047"/>
      <c r="DQ121" s="1047"/>
      <c r="DR121" s="1048"/>
      <c r="DS121" s="1049" t="s">
        <v>755</v>
      </c>
      <c r="DT121" s="1047"/>
      <c r="DU121" s="1047"/>
      <c r="DV121" s="1047"/>
      <c r="DW121" s="1047"/>
      <c r="DX121" s="1047"/>
      <c r="DY121" s="1047" t="s">
        <v>755</v>
      </c>
      <c r="DZ121" s="1047"/>
      <c r="EA121" s="1047"/>
      <c r="EB121" s="1047"/>
      <c r="EC121" s="1047"/>
      <c r="ED121" s="1047"/>
      <c r="EE121" s="1047" t="s">
        <v>755</v>
      </c>
      <c r="EF121" s="1047"/>
      <c r="EG121" s="1047"/>
      <c r="EH121" s="1047"/>
      <c r="EI121" s="1047"/>
      <c r="EJ121" s="1047"/>
      <c r="EK121" s="1047" t="s">
        <v>755</v>
      </c>
      <c r="EL121" s="1047"/>
      <c r="EM121" s="1047"/>
      <c r="EN121" s="1047"/>
      <c r="EO121" s="1047"/>
      <c r="EP121" s="1048"/>
    </row>
    <row r="122" spans="1:146" ht="30.75" customHeight="1" thickBot="1" x14ac:dyDescent="0.2">
      <c r="A122" s="624" t="s">
        <v>252</v>
      </c>
      <c r="B122" s="385" t="s">
        <v>570</v>
      </c>
      <c r="C122" s="489"/>
      <c r="D122" s="490"/>
      <c r="E122" s="490"/>
      <c r="F122" s="490"/>
      <c r="G122" s="490"/>
      <c r="H122" s="490"/>
      <c r="I122" s="490"/>
      <c r="J122" s="490"/>
      <c r="K122" s="490"/>
      <c r="L122" s="490"/>
      <c r="M122" s="490"/>
      <c r="N122" s="490"/>
      <c r="O122" s="490"/>
      <c r="P122" s="490"/>
      <c r="Q122" s="490"/>
      <c r="R122" s="490"/>
      <c r="S122" s="490"/>
      <c r="T122" s="490"/>
      <c r="U122" s="490"/>
      <c r="V122" s="490"/>
      <c r="W122" s="490"/>
      <c r="X122" s="490"/>
      <c r="Y122" s="490"/>
      <c r="Z122" s="516"/>
      <c r="AA122" s="489"/>
      <c r="AB122" s="490"/>
      <c r="AC122" s="490"/>
      <c r="AD122" s="490"/>
      <c r="AE122" s="490"/>
      <c r="AF122" s="490"/>
      <c r="AG122" s="490"/>
      <c r="AH122" s="490"/>
      <c r="AI122" s="490"/>
      <c r="AJ122" s="490"/>
      <c r="AK122" s="490"/>
      <c r="AL122" s="490"/>
      <c r="AM122" s="490"/>
      <c r="AN122" s="490"/>
      <c r="AO122" s="490"/>
      <c r="AP122" s="490"/>
      <c r="AQ122" s="490"/>
      <c r="AR122" s="490"/>
      <c r="AS122" s="490"/>
      <c r="AT122" s="490"/>
      <c r="AU122" s="490"/>
      <c r="AV122" s="490"/>
      <c r="AW122" s="490"/>
      <c r="AX122" s="516"/>
      <c r="AY122" s="517"/>
      <c r="AZ122" s="490"/>
      <c r="BA122" s="490"/>
      <c r="BB122" s="490"/>
      <c r="BC122" s="490"/>
      <c r="BD122" s="490"/>
      <c r="BE122" s="490"/>
      <c r="BF122" s="490"/>
      <c r="BG122" s="490"/>
      <c r="BH122" s="490"/>
      <c r="BI122" s="490"/>
      <c r="BJ122" s="490"/>
      <c r="BK122" s="490"/>
      <c r="BL122" s="490"/>
      <c r="BM122" s="490"/>
      <c r="BN122" s="490"/>
      <c r="BO122" s="490"/>
      <c r="BP122" s="490"/>
      <c r="BQ122" s="490"/>
      <c r="BR122" s="490"/>
      <c r="BS122" s="490"/>
      <c r="BT122" s="490"/>
      <c r="BU122" s="490"/>
      <c r="BV122" s="507"/>
      <c r="BW122" s="489"/>
      <c r="BX122" s="490"/>
      <c r="BY122" s="490"/>
      <c r="BZ122" s="490"/>
      <c r="CA122" s="490"/>
      <c r="CB122" s="490"/>
      <c r="CC122" s="490"/>
      <c r="CD122" s="490"/>
      <c r="CE122" s="490"/>
      <c r="CF122" s="490"/>
      <c r="CG122" s="490"/>
      <c r="CH122" s="490"/>
      <c r="CI122" s="490"/>
      <c r="CJ122" s="490"/>
      <c r="CK122" s="490"/>
      <c r="CL122" s="490"/>
      <c r="CM122" s="490"/>
      <c r="CN122" s="490"/>
      <c r="CO122" s="490"/>
      <c r="CP122" s="490"/>
      <c r="CQ122" s="490"/>
      <c r="CR122" s="490"/>
      <c r="CS122" s="490"/>
      <c r="CT122" s="516"/>
      <c r="CU122" s="489"/>
      <c r="CV122" s="490"/>
      <c r="CW122" s="490"/>
      <c r="CX122" s="490"/>
      <c r="CY122" s="490"/>
      <c r="CZ122" s="490"/>
      <c r="DA122" s="490"/>
      <c r="DB122" s="490"/>
      <c r="DC122" s="490"/>
      <c r="DD122" s="490"/>
      <c r="DE122" s="490"/>
      <c r="DF122" s="490"/>
      <c r="DG122" s="490"/>
      <c r="DH122" s="490"/>
      <c r="DI122" s="490"/>
      <c r="DJ122" s="490"/>
      <c r="DK122" s="490"/>
      <c r="DL122" s="490"/>
      <c r="DM122" s="490"/>
      <c r="DN122" s="490"/>
      <c r="DO122" s="490"/>
      <c r="DP122" s="490"/>
      <c r="DQ122" s="490"/>
      <c r="DR122" s="516"/>
      <c r="DS122" s="505"/>
      <c r="DT122" s="506"/>
      <c r="DU122" s="506"/>
      <c r="DV122" s="506"/>
      <c r="DW122" s="506"/>
      <c r="DX122" s="506"/>
      <c r="DY122" s="490"/>
      <c r="DZ122" s="490"/>
      <c r="EA122" s="490"/>
      <c r="EB122" s="490"/>
      <c r="EC122" s="490"/>
      <c r="ED122" s="490"/>
      <c r="EE122" s="490"/>
      <c r="EF122" s="490"/>
      <c r="EG122" s="490"/>
      <c r="EH122" s="490"/>
      <c r="EI122" s="490"/>
      <c r="EJ122" s="490"/>
      <c r="EK122" s="490"/>
      <c r="EL122" s="490"/>
      <c r="EM122" s="490"/>
      <c r="EN122" s="490"/>
      <c r="EO122" s="490"/>
      <c r="EP122" s="507"/>
    </row>
    <row r="123" spans="1:146" ht="30.75" customHeight="1" x14ac:dyDescent="0.15">
      <c r="A123" s="624" t="s">
        <v>643</v>
      </c>
      <c r="B123" s="385" t="s">
        <v>638</v>
      </c>
      <c r="C123" s="525"/>
      <c r="D123" s="526"/>
      <c r="E123" s="526"/>
      <c r="F123" s="526"/>
      <c r="G123" s="526"/>
      <c r="H123" s="526"/>
      <c r="I123" s="526"/>
      <c r="J123" s="526"/>
      <c r="K123" s="526"/>
      <c r="L123" s="526"/>
      <c r="M123" s="526"/>
      <c r="N123" s="526"/>
      <c r="O123" s="526"/>
      <c r="P123" s="526"/>
      <c r="Q123" s="526"/>
      <c r="R123" s="526"/>
      <c r="S123" s="526"/>
      <c r="T123" s="526"/>
      <c r="U123" s="526"/>
      <c r="V123" s="526"/>
      <c r="W123" s="526"/>
      <c r="X123" s="526"/>
      <c r="Y123" s="526"/>
      <c r="Z123" s="527"/>
      <c r="AA123" s="525"/>
      <c r="AB123" s="526"/>
      <c r="AC123" s="526"/>
      <c r="AD123" s="526"/>
      <c r="AE123" s="526"/>
      <c r="AF123" s="526"/>
      <c r="AG123" s="526"/>
      <c r="AH123" s="526"/>
      <c r="AI123" s="526"/>
      <c r="AJ123" s="526"/>
      <c r="AK123" s="526"/>
      <c r="AL123" s="526"/>
      <c r="AM123" s="526"/>
      <c r="AN123" s="526"/>
      <c r="AO123" s="526"/>
      <c r="AP123" s="526"/>
      <c r="AQ123" s="526"/>
      <c r="AR123" s="526"/>
      <c r="AS123" s="526"/>
      <c r="AT123" s="526"/>
      <c r="AU123" s="526"/>
      <c r="AV123" s="526"/>
      <c r="AW123" s="526"/>
      <c r="AX123" s="527"/>
      <c r="AY123" s="525"/>
      <c r="AZ123" s="526"/>
      <c r="BA123" s="526"/>
      <c r="BB123" s="526"/>
      <c r="BC123" s="526"/>
      <c r="BD123" s="526"/>
      <c r="BE123" s="526"/>
      <c r="BF123" s="526"/>
      <c r="BG123" s="526"/>
      <c r="BH123" s="526"/>
      <c r="BI123" s="526"/>
      <c r="BJ123" s="526"/>
      <c r="BK123" s="526"/>
      <c r="BL123" s="526"/>
      <c r="BM123" s="526"/>
      <c r="BN123" s="526"/>
      <c r="BO123" s="526"/>
      <c r="BP123" s="526"/>
      <c r="BQ123" s="526"/>
      <c r="BR123" s="526"/>
      <c r="BS123" s="526"/>
      <c r="BT123" s="526"/>
      <c r="BU123" s="526"/>
      <c r="BV123" s="535"/>
      <c r="BW123" s="525"/>
      <c r="BX123" s="526"/>
      <c r="BY123" s="526"/>
      <c r="BZ123" s="526"/>
      <c r="CA123" s="526"/>
      <c r="CB123" s="526"/>
      <c r="CC123" s="526"/>
      <c r="CD123" s="526"/>
      <c r="CE123" s="526"/>
      <c r="CF123" s="526"/>
      <c r="CG123" s="526"/>
      <c r="CH123" s="526"/>
      <c r="CI123" s="526"/>
      <c r="CJ123" s="526"/>
      <c r="CK123" s="526"/>
      <c r="CL123" s="526"/>
      <c r="CM123" s="526"/>
      <c r="CN123" s="526"/>
      <c r="CO123" s="526"/>
      <c r="CP123" s="526"/>
      <c r="CQ123" s="526"/>
      <c r="CR123" s="526"/>
      <c r="CS123" s="526"/>
      <c r="CT123" s="527"/>
      <c r="CU123" s="525"/>
      <c r="CV123" s="526"/>
      <c r="CW123" s="526"/>
      <c r="CX123" s="526"/>
      <c r="CY123" s="526"/>
      <c r="CZ123" s="526"/>
      <c r="DA123" s="526"/>
      <c r="DB123" s="526"/>
      <c r="DC123" s="526"/>
      <c r="DD123" s="526"/>
      <c r="DE123" s="526"/>
      <c r="DF123" s="526"/>
      <c r="DG123" s="526"/>
      <c r="DH123" s="526"/>
      <c r="DI123" s="526"/>
      <c r="DJ123" s="526"/>
      <c r="DK123" s="526"/>
      <c r="DL123" s="526"/>
      <c r="DM123" s="526"/>
      <c r="DN123" s="526"/>
      <c r="DO123" s="526"/>
      <c r="DP123" s="526"/>
      <c r="DQ123" s="526"/>
      <c r="DR123" s="527"/>
      <c r="DS123" s="536"/>
      <c r="DT123" s="537"/>
      <c r="DU123" s="537"/>
      <c r="DV123" s="537"/>
      <c r="DW123" s="537"/>
      <c r="DX123" s="537"/>
      <c r="DY123" s="526"/>
      <c r="DZ123" s="526"/>
      <c r="EA123" s="526"/>
      <c r="EB123" s="526"/>
      <c r="EC123" s="526"/>
      <c r="ED123" s="526"/>
      <c r="EE123" s="526"/>
      <c r="EF123" s="526"/>
      <c r="EG123" s="526"/>
      <c r="EH123" s="526"/>
      <c r="EI123" s="526"/>
      <c r="EJ123" s="526"/>
      <c r="EK123" s="526"/>
      <c r="EL123" s="526"/>
      <c r="EM123" s="526"/>
      <c r="EN123" s="526"/>
      <c r="EO123" s="526"/>
      <c r="EP123" s="535"/>
    </row>
    <row r="124" spans="1:146" ht="30.75" customHeight="1" x14ac:dyDescent="0.15">
      <c r="A124" s="624" t="s">
        <v>720</v>
      </c>
      <c r="B124" s="385" t="s">
        <v>573</v>
      </c>
      <c r="C124" s="525"/>
      <c r="D124" s="526"/>
      <c r="E124" s="526"/>
      <c r="F124" s="526"/>
      <c r="G124" s="526"/>
      <c r="H124" s="526"/>
      <c r="I124" s="526"/>
      <c r="J124" s="526"/>
      <c r="K124" s="526"/>
      <c r="L124" s="526"/>
      <c r="M124" s="526"/>
      <c r="N124" s="526"/>
      <c r="O124" s="526"/>
      <c r="P124" s="526"/>
      <c r="Q124" s="526"/>
      <c r="R124" s="526"/>
      <c r="S124" s="526"/>
      <c r="T124" s="526"/>
      <c r="U124" s="526"/>
      <c r="V124" s="526"/>
      <c r="W124" s="526"/>
      <c r="X124" s="526"/>
      <c r="Y124" s="526"/>
      <c r="Z124" s="527"/>
      <c r="AA124" s="525"/>
      <c r="AB124" s="526"/>
      <c r="AC124" s="526"/>
      <c r="AD124" s="526"/>
      <c r="AE124" s="526"/>
      <c r="AF124" s="526"/>
      <c r="AG124" s="526"/>
      <c r="AH124" s="526"/>
      <c r="AI124" s="526"/>
      <c r="AJ124" s="526"/>
      <c r="AK124" s="526"/>
      <c r="AL124" s="526"/>
      <c r="AM124" s="526"/>
      <c r="AN124" s="526"/>
      <c r="AO124" s="526"/>
      <c r="AP124" s="526"/>
      <c r="AQ124" s="526"/>
      <c r="AR124" s="526"/>
      <c r="AS124" s="526"/>
      <c r="AT124" s="526"/>
      <c r="AU124" s="526"/>
      <c r="AV124" s="526"/>
      <c r="AW124" s="526"/>
      <c r="AX124" s="527"/>
      <c r="AY124" s="525"/>
      <c r="AZ124" s="526"/>
      <c r="BA124" s="526"/>
      <c r="BB124" s="526"/>
      <c r="BC124" s="526"/>
      <c r="BD124" s="526"/>
      <c r="BE124" s="526"/>
      <c r="BF124" s="526"/>
      <c r="BG124" s="526"/>
      <c r="BH124" s="526"/>
      <c r="BI124" s="526"/>
      <c r="BJ124" s="526"/>
      <c r="BK124" s="526"/>
      <c r="BL124" s="526"/>
      <c r="BM124" s="526"/>
      <c r="BN124" s="526"/>
      <c r="BO124" s="526"/>
      <c r="BP124" s="526"/>
      <c r="BQ124" s="526"/>
      <c r="BR124" s="526"/>
      <c r="BS124" s="526"/>
      <c r="BT124" s="526"/>
      <c r="BU124" s="526"/>
      <c r="BV124" s="535"/>
      <c r="BW124" s="525"/>
      <c r="BX124" s="526"/>
      <c r="BY124" s="526"/>
      <c r="BZ124" s="526"/>
      <c r="CA124" s="526"/>
      <c r="CB124" s="526"/>
      <c r="CC124" s="526"/>
      <c r="CD124" s="526"/>
      <c r="CE124" s="526"/>
      <c r="CF124" s="526"/>
      <c r="CG124" s="526"/>
      <c r="CH124" s="526"/>
      <c r="CI124" s="526"/>
      <c r="CJ124" s="526"/>
      <c r="CK124" s="526"/>
      <c r="CL124" s="526"/>
      <c r="CM124" s="526"/>
      <c r="CN124" s="526"/>
      <c r="CO124" s="526"/>
      <c r="CP124" s="526"/>
      <c r="CQ124" s="526"/>
      <c r="CR124" s="526"/>
      <c r="CS124" s="526"/>
      <c r="CT124" s="527"/>
      <c r="CU124" s="525"/>
      <c r="CV124" s="526"/>
      <c r="CW124" s="526"/>
      <c r="CX124" s="526"/>
      <c r="CY124" s="526"/>
      <c r="CZ124" s="526"/>
      <c r="DA124" s="526"/>
      <c r="DB124" s="526"/>
      <c r="DC124" s="526"/>
      <c r="DD124" s="526"/>
      <c r="DE124" s="526"/>
      <c r="DF124" s="526"/>
      <c r="DG124" s="526"/>
      <c r="DH124" s="526"/>
      <c r="DI124" s="526"/>
      <c r="DJ124" s="526"/>
      <c r="DK124" s="526"/>
      <c r="DL124" s="526"/>
      <c r="DM124" s="526"/>
      <c r="DN124" s="526"/>
      <c r="DO124" s="526"/>
      <c r="DP124" s="526"/>
      <c r="DQ124" s="526"/>
      <c r="DR124" s="527"/>
      <c r="DS124" s="536"/>
      <c r="DT124" s="537"/>
      <c r="DU124" s="537"/>
      <c r="DV124" s="537"/>
      <c r="DW124" s="537"/>
      <c r="DX124" s="537"/>
      <c r="DY124" s="526"/>
      <c r="DZ124" s="526"/>
      <c r="EA124" s="526"/>
      <c r="EB124" s="526"/>
      <c r="EC124" s="526"/>
      <c r="ED124" s="526"/>
      <c r="EE124" s="526"/>
      <c r="EF124" s="526"/>
      <c r="EG124" s="526"/>
      <c r="EH124" s="526"/>
      <c r="EI124" s="526"/>
      <c r="EJ124" s="526"/>
      <c r="EK124" s="526"/>
      <c r="EL124" s="526"/>
      <c r="EM124" s="526"/>
      <c r="EN124" s="526"/>
      <c r="EO124" s="526"/>
      <c r="EP124" s="535"/>
    </row>
    <row r="125" spans="1:146" ht="30.75" customHeight="1" x14ac:dyDescent="0.15">
      <c r="A125" s="624" t="s">
        <v>721</v>
      </c>
      <c r="B125" s="385" t="s">
        <v>571</v>
      </c>
      <c r="C125" s="525"/>
      <c r="D125" s="526"/>
      <c r="E125" s="526"/>
      <c r="F125" s="526"/>
      <c r="G125" s="526"/>
      <c r="H125" s="526"/>
      <c r="I125" s="526"/>
      <c r="J125" s="526"/>
      <c r="K125" s="526"/>
      <c r="L125" s="526"/>
      <c r="M125" s="526"/>
      <c r="N125" s="526"/>
      <c r="O125" s="526"/>
      <c r="P125" s="526"/>
      <c r="Q125" s="526"/>
      <c r="R125" s="526"/>
      <c r="S125" s="526"/>
      <c r="T125" s="526"/>
      <c r="U125" s="526"/>
      <c r="V125" s="526"/>
      <c r="W125" s="526"/>
      <c r="X125" s="526"/>
      <c r="Y125" s="526"/>
      <c r="Z125" s="527"/>
      <c r="AA125" s="525"/>
      <c r="AB125" s="526"/>
      <c r="AC125" s="526"/>
      <c r="AD125" s="526"/>
      <c r="AE125" s="526"/>
      <c r="AF125" s="526"/>
      <c r="AG125" s="526"/>
      <c r="AH125" s="526"/>
      <c r="AI125" s="526"/>
      <c r="AJ125" s="526"/>
      <c r="AK125" s="526"/>
      <c r="AL125" s="526"/>
      <c r="AM125" s="526"/>
      <c r="AN125" s="526"/>
      <c r="AO125" s="526"/>
      <c r="AP125" s="526"/>
      <c r="AQ125" s="526"/>
      <c r="AR125" s="526"/>
      <c r="AS125" s="526"/>
      <c r="AT125" s="526"/>
      <c r="AU125" s="526"/>
      <c r="AV125" s="526"/>
      <c r="AW125" s="526"/>
      <c r="AX125" s="527"/>
      <c r="AY125" s="525"/>
      <c r="AZ125" s="526"/>
      <c r="BA125" s="526"/>
      <c r="BB125" s="526"/>
      <c r="BC125" s="526"/>
      <c r="BD125" s="526"/>
      <c r="BE125" s="526"/>
      <c r="BF125" s="526"/>
      <c r="BG125" s="526"/>
      <c r="BH125" s="526"/>
      <c r="BI125" s="526"/>
      <c r="BJ125" s="526"/>
      <c r="BK125" s="526"/>
      <c r="BL125" s="526"/>
      <c r="BM125" s="526"/>
      <c r="BN125" s="526"/>
      <c r="BO125" s="526"/>
      <c r="BP125" s="526"/>
      <c r="BQ125" s="526"/>
      <c r="BR125" s="526"/>
      <c r="BS125" s="526"/>
      <c r="BT125" s="526"/>
      <c r="BU125" s="526"/>
      <c r="BV125" s="535"/>
      <c r="BW125" s="525"/>
      <c r="BX125" s="526"/>
      <c r="BY125" s="526"/>
      <c r="BZ125" s="526"/>
      <c r="CA125" s="526"/>
      <c r="CB125" s="526"/>
      <c r="CC125" s="526"/>
      <c r="CD125" s="526"/>
      <c r="CE125" s="526"/>
      <c r="CF125" s="526"/>
      <c r="CG125" s="526"/>
      <c r="CH125" s="526"/>
      <c r="CI125" s="526"/>
      <c r="CJ125" s="526"/>
      <c r="CK125" s="526"/>
      <c r="CL125" s="526"/>
      <c r="CM125" s="526"/>
      <c r="CN125" s="526"/>
      <c r="CO125" s="526"/>
      <c r="CP125" s="526"/>
      <c r="CQ125" s="526"/>
      <c r="CR125" s="526"/>
      <c r="CS125" s="526"/>
      <c r="CT125" s="527"/>
      <c r="CU125" s="525"/>
      <c r="CV125" s="526"/>
      <c r="CW125" s="526"/>
      <c r="CX125" s="526"/>
      <c r="CY125" s="526"/>
      <c r="CZ125" s="526"/>
      <c r="DA125" s="526"/>
      <c r="DB125" s="526"/>
      <c r="DC125" s="526"/>
      <c r="DD125" s="526"/>
      <c r="DE125" s="526"/>
      <c r="DF125" s="526"/>
      <c r="DG125" s="526"/>
      <c r="DH125" s="526"/>
      <c r="DI125" s="526"/>
      <c r="DJ125" s="526"/>
      <c r="DK125" s="526"/>
      <c r="DL125" s="526"/>
      <c r="DM125" s="526"/>
      <c r="DN125" s="526"/>
      <c r="DO125" s="526"/>
      <c r="DP125" s="526"/>
      <c r="DQ125" s="526"/>
      <c r="DR125" s="527"/>
      <c r="DS125" s="536"/>
      <c r="DT125" s="537"/>
      <c r="DU125" s="537"/>
      <c r="DV125" s="537"/>
      <c r="DW125" s="537"/>
      <c r="DX125" s="537"/>
      <c r="DY125" s="526"/>
      <c r="DZ125" s="526"/>
      <c r="EA125" s="526"/>
      <c r="EB125" s="526"/>
      <c r="EC125" s="526"/>
      <c r="ED125" s="526"/>
      <c r="EE125" s="526"/>
      <c r="EF125" s="526"/>
      <c r="EG125" s="526"/>
      <c r="EH125" s="526"/>
      <c r="EI125" s="526"/>
      <c r="EJ125" s="526"/>
      <c r="EK125" s="526"/>
      <c r="EL125" s="526"/>
      <c r="EM125" s="526"/>
      <c r="EN125" s="526"/>
      <c r="EO125" s="526"/>
      <c r="EP125" s="535"/>
    </row>
    <row r="126" spans="1:146" ht="30.75" customHeight="1" thickBot="1" x14ac:dyDescent="0.2">
      <c r="A126" s="624" t="s">
        <v>727</v>
      </c>
      <c r="B126" s="385" t="s">
        <v>728</v>
      </c>
      <c r="C126" s="508"/>
      <c r="D126" s="509"/>
      <c r="E126" s="509"/>
      <c r="F126" s="509"/>
      <c r="G126" s="509"/>
      <c r="H126" s="509"/>
      <c r="I126" s="509"/>
      <c r="J126" s="509"/>
      <c r="K126" s="509"/>
      <c r="L126" s="509"/>
      <c r="M126" s="509"/>
      <c r="N126" s="509"/>
      <c r="O126" s="509"/>
      <c r="P126" s="509"/>
      <c r="Q126" s="509"/>
      <c r="R126" s="509"/>
      <c r="S126" s="509"/>
      <c r="T126" s="509"/>
      <c r="U126" s="509"/>
      <c r="V126" s="509"/>
      <c r="W126" s="509"/>
      <c r="X126" s="509"/>
      <c r="Y126" s="509"/>
      <c r="Z126" s="515"/>
      <c r="AA126" s="508"/>
      <c r="AB126" s="509"/>
      <c r="AC126" s="509"/>
      <c r="AD126" s="509"/>
      <c r="AE126" s="509"/>
      <c r="AF126" s="509"/>
      <c r="AG126" s="509"/>
      <c r="AH126" s="509"/>
      <c r="AI126" s="509"/>
      <c r="AJ126" s="509"/>
      <c r="AK126" s="509"/>
      <c r="AL126" s="509"/>
      <c r="AM126" s="509"/>
      <c r="AN126" s="509"/>
      <c r="AO126" s="509"/>
      <c r="AP126" s="509"/>
      <c r="AQ126" s="509"/>
      <c r="AR126" s="509"/>
      <c r="AS126" s="509"/>
      <c r="AT126" s="509"/>
      <c r="AU126" s="509"/>
      <c r="AV126" s="509"/>
      <c r="AW126" s="509"/>
      <c r="AX126" s="515"/>
      <c r="AY126" s="508"/>
      <c r="AZ126" s="509"/>
      <c r="BA126" s="509"/>
      <c r="BB126" s="509"/>
      <c r="BC126" s="509"/>
      <c r="BD126" s="509"/>
      <c r="BE126" s="509"/>
      <c r="BF126" s="509"/>
      <c r="BG126" s="509"/>
      <c r="BH126" s="509"/>
      <c r="BI126" s="509"/>
      <c r="BJ126" s="509"/>
      <c r="BK126" s="509"/>
      <c r="BL126" s="509"/>
      <c r="BM126" s="509"/>
      <c r="BN126" s="509"/>
      <c r="BO126" s="509"/>
      <c r="BP126" s="509"/>
      <c r="BQ126" s="509"/>
      <c r="BR126" s="509"/>
      <c r="BS126" s="509"/>
      <c r="BT126" s="509"/>
      <c r="BU126" s="509"/>
      <c r="BV126" s="515"/>
      <c r="BW126" s="508"/>
      <c r="BX126" s="509"/>
      <c r="BY126" s="509"/>
      <c r="BZ126" s="509"/>
      <c r="CA126" s="509"/>
      <c r="CB126" s="509"/>
      <c r="CC126" s="509"/>
      <c r="CD126" s="509"/>
      <c r="CE126" s="509"/>
      <c r="CF126" s="509"/>
      <c r="CG126" s="509"/>
      <c r="CH126" s="509"/>
      <c r="CI126" s="509"/>
      <c r="CJ126" s="509"/>
      <c r="CK126" s="509"/>
      <c r="CL126" s="509"/>
      <c r="CM126" s="509"/>
      <c r="CN126" s="509"/>
      <c r="CO126" s="509"/>
      <c r="CP126" s="509"/>
      <c r="CQ126" s="509"/>
      <c r="CR126" s="509"/>
      <c r="CS126" s="509"/>
      <c r="CT126" s="515"/>
      <c r="CU126" s="508"/>
      <c r="CV126" s="509"/>
      <c r="CW126" s="509"/>
      <c r="CX126" s="509"/>
      <c r="CY126" s="509"/>
      <c r="CZ126" s="509"/>
      <c r="DA126" s="509"/>
      <c r="DB126" s="509"/>
      <c r="DC126" s="509"/>
      <c r="DD126" s="509"/>
      <c r="DE126" s="509"/>
      <c r="DF126" s="509"/>
      <c r="DG126" s="523"/>
      <c r="DH126" s="523"/>
      <c r="DI126" s="523"/>
      <c r="DJ126" s="523"/>
      <c r="DK126" s="523"/>
      <c r="DL126" s="523"/>
      <c r="DM126" s="523"/>
      <c r="DN126" s="523"/>
      <c r="DO126" s="523"/>
      <c r="DP126" s="523"/>
      <c r="DQ126" s="523"/>
      <c r="DR126" s="524"/>
      <c r="DS126" s="508"/>
      <c r="DT126" s="509"/>
      <c r="DU126" s="509"/>
      <c r="DV126" s="509"/>
      <c r="DW126" s="509"/>
      <c r="DX126" s="509"/>
      <c r="DY126" s="509"/>
      <c r="DZ126" s="509"/>
      <c r="EA126" s="509"/>
      <c r="EB126" s="509"/>
      <c r="EC126" s="509"/>
      <c r="ED126" s="509"/>
      <c r="EE126" s="509"/>
      <c r="EF126" s="509"/>
      <c r="EG126" s="509"/>
      <c r="EH126" s="509"/>
      <c r="EI126" s="509"/>
      <c r="EJ126" s="509"/>
      <c r="EK126" s="509"/>
      <c r="EL126" s="509"/>
      <c r="EM126" s="509"/>
      <c r="EN126" s="509"/>
      <c r="EO126" s="509"/>
      <c r="EP126" s="515"/>
    </row>
    <row r="127" spans="1:146" s="12" customFormat="1" ht="21.75" customHeight="1" thickBot="1" x14ac:dyDescent="0.2">
      <c r="A127" s="488">
        <v>11</v>
      </c>
      <c r="B127" s="1076" t="s">
        <v>521</v>
      </c>
      <c r="C127" s="1077"/>
      <c r="D127" s="1077"/>
      <c r="E127" s="1077"/>
      <c r="F127" s="1077"/>
      <c r="G127" s="1077"/>
      <c r="H127" s="1077"/>
      <c r="I127" s="1077"/>
      <c r="J127" s="1077"/>
      <c r="K127" s="1077"/>
      <c r="L127" s="1077"/>
      <c r="M127" s="1077"/>
      <c r="N127" s="1077"/>
      <c r="O127" s="1077"/>
      <c r="P127" s="1077"/>
      <c r="Q127" s="1077"/>
      <c r="R127" s="1077"/>
      <c r="S127" s="1077"/>
      <c r="T127" s="1077"/>
      <c r="U127" s="1077"/>
      <c r="V127" s="1077"/>
      <c r="W127" s="1077"/>
      <c r="X127" s="1077"/>
      <c r="Y127" s="1077"/>
      <c r="Z127" s="1077"/>
      <c r="AA127" s="1077"/>
      <c r="AB127" s="1077"/>
      <c r="AC127" s="1077"/>
      <c r="AD127" s="1077"/>
      <c r="AE127" s="1077"/>
      <c r="AF127" s="1077"/>
      <c r="AG127" s="1077"/>
      <c r="AH127" s="1077"/>
      <c r="AI127" s="1077"/>
      <c r="AJ127" s="1077"/>
      <c r="AK127" s="1077"/>
      <c r="AL127" s="1077"/>
      <c r="AM127" s="1077"/>
      <c r="AN127" s="1077"/>
      <c r="AO127" s="1077"/>
      <c r="AP127" s="1077"/>
      <c r="AQ127" s="1077"/>
      <c r="AR127" s="1077"/>
      <c r="AS127" s="1077"/>
      <c r="AT127" s="1077"/>
      <c r="AU127" s="1077"/>
      <c r="AV127" s="1077"/>
      <c r="AW127" s="1077"/>
      <c r="AX127" s="1077"/>
      <c r="AY127" s="1077"/>
      <c r="AZ127" s="1077"/>
      <c r="BA127" s="1077"/>
      <c r="BB127" s="1077"/>
      <c r="BC127" s="1077"/>
      <c r="BD127" s="1077"/>
      <c r="BE127" s="1077"/>
      <c r="BF127" s="1077"/>
      <c r="BG127" s="1077"/>
      <c r="BH127" s="1077"/>
      <c r="BI127" s="1077"/>
      <c r="BJ127" s="1077"/>
      <c r="BK127" s="1077"/>
      <c r="BL127" s="1077"/>
      <c r="BM127" s="1077"/>
      <c r="BN127" s="1077"/>
      <c r="BO127" s="1077"/>
      <c r="BP127" s="1077"/>
      <c r="BQ127" s="1077"/>
      <c r="BR127" s="1077"/>
      <c r="BS127" s="1077"/>
      <c r="BT127" s="1077"/>
      <c r="BU127" s="1077"/>
      <c r="BV127" s="1077"/>
      <c r="BW127" s="1077"/>
      <c r="BX127" s="1077"/>
      <c r="BY127" s="1077"/>
      <c r="BZ127" s="1077"/>
      <c r="CA127" s="1077"/>
      <c r="CB127" s="1077"/>
      <c r="CC127" s="1077"/>
      <c r="CD127" s="1077"/>
      <c r="CE127" s="1077"/>
      <c r="CF127" s="1077"/>
      <c r="CG127" s="1077"/>
      <c r="CH127" s="1077"/>
      <c r="CI127" s="1077"/>
      <c r="CJ127" s="1077"/>
      <c r="CK127" s="1077"/>
      <c r="CL127" s="1077"/>
      <c r="CM127" s="1077"/>
      <c r="CN127" s="1077"/>
      <c r="CO127" s="1077"/>
      <c r="CP127" s="1077"/>
      <c r="CQ127" s="1077"/>
      <c r="CR127" s="1077"/>
      <c r="CS127" s="1077"/>
      <c r="CT127" s="1077"/>
      <c r="CU127" s="1077"/>
      <c r="CV127" s="1077"/>
      <c r="CW127" s="1077"/>
      <c r="CX127" s="1077"/>
      <c r="CY127" s="1077"/>
      <c r="CZ127" s="1077"/>
      <c r="DA127" s="1077"/>
      <c r="DB127" s="1077"/>
      <c r="DC127" s="1077"/>
      <c r="DD127" s="1077"/>
      <c r="DE127" s="1077"/>
      <c r="DF127" s="1077"/>
      <c r="DG127" s="1077"/>
      <c r="DH127" s="1077"/>
      <c r="DI127" s="1077"/>
      <c r="DJ127" s="1077"/>
      <c r="DK127" s="1077"/>
      <c r="DL127" s="1077"/>
      <c r="DM127" s="1077"/>
      <c r="DN127" s="1077"/>
      <c r="DO127" s="1077"/>
      <c r="DP127" s="1077"/>
      <c r="DQ127" s="1077"/>
      <c r="DR127" s="1077"/>
      <c r="DS127" s="1077"/>
      <c r="DT127" s="1077"/>
      <c r="DU127" s="1077"/>
      <c r="DV127" s="1077"/>
      <c r="DW127" s="1077"/>
      <c r="DX127" s="1077"/>
      <c r="DY127" s="1077"/>
      <c r="DZ127" s="1077"/>
      <c r="EA127" s="1077"/>
      <c r="EB127" s="1077"/>
      <c r="EC127" s="1077"/>
      <c r="ED127" s="1077"/>
      <c r="EE127" s="1077"/>
      <c r="EF127" s="1077"/>
      <c r="EG127" s="1077"/>
      <c r="EH127" s="1077"/>
      <c r="EI127" s="1077"/>
      <c r="EJ127" s="1077"/>
      <c r="EK127" s="1077"/>
      <c r="EL127" s="1077"/>
      <c r="EM127" s="1077"/>
      <c r="EN127" s="1077"/>
      <c r="EO127" s="1077"/>
      <c r="EP127" s="1078"/>
    </row>
    <row r="128" spans="1:146" ht="15" customHeight="1" x14ac:dyDescent="0.15">
      <c r="A128" s="1060" t="s">
        <v>0</v>
      </c>
      <c r="B128" s="1061" t="s">
        <v>743</v>
      </c>
      <c r="C128" s="1052" t="s">
        <v>744</v>
      </c>
      <c r="D128" s="1053"/>
      <c r="E128" s="1053"/>
      <c r="F128" s="1053"/>
      <c r="G128" s="1053"/>
      <c r="H128" s="1053"/>
      <c r="I128" s="1053"/>
      <c r="J128" s="1053"/>
      <c r="K128" s="1053"/>
      <c r="L128" s="1053"/>
      <c r="M128" s="1053"/>
      <c r="N128" s="1053"/>
      <c r="O128" s="1053"/>
      <c r="P128" s="1053"/>
      <c r="Q128" s="1053"/>
      <c r="R128" s="1053"/>
      <c r="S128" s="1053"/>
      <c r="T128" s="1053"/>
      <c r="U128" s="1053"/>
      <c r="V128" s="1053"/>
      <c r="W128" s="1053"/>
      <c r="X128" s="1053"/>
      <c r="Y128" s="1053"/>
      <c r="Z128" s="1054"/>
      <c r="AA128" s="1052" t="s">
        <v>745</v>
      </c>
      <c r="AB128" s="1053"/>
      <c r="AC128" s="1053"/>
      <c r="AD128" s="1053"/>
      <c r="AE128" s="1053"/>
      <c r="AF128" s="1053"/>
      <c r="AG128" s="1053"/>
      <c r="AH128" s="1053"/>
      <c r="AI128" s="1053"/>
      <c r="AJ128" s="1053"/>
      <c r="AK128" s="1053"/>
      <c r="AL128" s="1053"/>
      <c r="AM128" s="1053"/>
      <c r="AN128" s="1053"/>
      <c r="AO128" s="1053"/>
      <c r="AP128" s="1053"/>
      <c r="AQ128" s="1053"/>
      <c r="AR128" s="1053"/>
      <c r="AS128" s="1053"/>
      <c r="AT128" s="1053"/>
      <c r="AU128" s="1053"/>
      <c r="AV128" s="1053"/>
      <c r="AW128" s="1053"/>
      <c r="AX128" s="1054"/>
      <c r="AY128" s="1052" t="s">
        <v>746</v>
      </c>
      <c r="AZ128" s="1053"/>
      <c r="BA128" s="1053"/>
      <c r="BB128" s="1053"/>
      <c r="BC128" s="1053"/>
      <c r="BD128" s="1053"/>
      <c r="BE128" s="1053"/>
      <c r="BF128" s="1053"/>
      <c r="BG128" s="1053"/>
      <c r="BH128" s="1053"/>
      <c r="BI128" s="1053"/>
      <c r="BJ128" s="1053"/>
      <c r="BK128" s="1053"/>
      <c r="BL128" s="1053"/>
      <c r="BM128" s="1053"/>
      <c r="BN128" s="1053"/>
      <c r="BO128" s="1053"/>
      <c r="BP128" s="1053"/>
      <c r="BQ128" s="1053"/>
      <c r="BR128" s="1053"/>
      <c r="BS128" s="1053"/>
      <c r="BT128" s="1053"/>
      <c r="BU128" s="1053"/>
      <c r="BV128" s="1054"/>
      <c r="BW128" s="1052" t="s">
        <v>747</v>
      </c>
      <c r="BX128" s="1053"/>
      <c r="BY128" s="1053"/>
      <c r="BZ128" s="1053"/>
      <c r="CA128" s="1053"/>
      <c r="CB128" s="1053"/>
      <c r="CC128" s="1053"/>
      <c r="CD128" s="1053"/>
      <c r="CE128" s="1053"/>
      <c r="CF128" s="1053"/>
      <c r="CG128" s="1053"/>
      <c r="CH128" s="1053"/>
      <c r="CI128" s="1053"/>
      <c r="CJ128" s="1053"/>
      <c r="CK128" s="1053"/>
      <c r="CL128" s="1053"/>
      <c r="CM128" s="1053"/>
      <c r="CN128" s="1053"/>
      <c r="CO128" s="1053"/>
      <c r="CP128" s="1053"/>
      <c r="CQ128" s="1053"/>
      <c r="CR128" s="1053"/>
      <c r="CS128" s="1053"/>
      <c r="CT128" s="1054"/>
      <c r="CU128" s="1052" t="s">
        <v>748</v>
      </c>
      <c r="CV128" s="1053"/>
      <c r="CW128" s="1053"/>
      <c r="CX128" s="1053"/>
      <c r="CY128" s="1053"/>
      <c r="CZ128" s="1053"/>
      <c r="DA128" s="1053"/>
      <c r="DB128" s="1053"/>
      <c r="DC128" s="1053"/>
      <c r="DD128" s="1053"/>
      <c r="DE128" s="1053"/>
      <c r="DF128" s="1053"/>
      <c r="DG128" s="1053"/>
      <c r="DH128" s="1053"/>
      <c r="DI128" s="1053"/>
      <c r="DJ128" s="1053"/>
      <c r="DK128" s="1053"/>
      <c r="DL128" s="1053"/>
      <c r="DM128" s="1053"/>
      <c r="DN128" s="1053"/>
      <c r="DO128" s="1053"/>
      <c r="DP128" s="1053"/>
      <c r="DQ128" s="1053"/>
      <c r="DR128" s="1054"/>
      <c r="DS128" s="1052" t="s">
        <v>749</v>
      </c>
      <c r="DT128" s="1053"/>
      <c r="DU128" s="1053"/>
      <c r="DV128" s="1053"/>
      <c r="DW128" s="1053"/>
      <c r="DX128" s="1053"/>
      <c r="DY128" s="1053"/>
      <c r="DZ128" s="1053"/>
      <c r="EA128" s="1053"/>
      <c r="EB128" s="1053"/>
      <c r="EC128" s="1053"/>
      <c r="ED128" s="1053"/>
      <c r="EE128" s="1053"/>
      <c r="EF128" s="1053"/>
      <c r="EG128" s="1053"/>
      <c r="EH128" s="1053"/>
      <c r="EI128" s="1053"/>
      <c r="EJ128" s="1053"/>
      <c r="EK128" s="1053"/>
      <c r="EL128" s="1053"/>
      <c r="EM128" s="1053"/>
      <c r="EN128" s="1053"/>
      <c r="EO128" s="1053"/>
      <c r="EP128" s="1054"/>
    </row>
    <row r="129" spans="1:146" ht="14.25" customHeight="1" x14ac:dyDescent="0.15">
      <c r="A129" s="1060"/>
      <c r="B129" s="1061"/>
      <c r="C129" s="1057" t="s">
        <v>750</v>
      </c>
      <c r="D129" s="1055"/>
      <c r="E129" s="1055"/>
      <c r="F129" s="1055"/>
      <c r="G129" s="1055"/>
      <c r="H129" s="1055"/>
      <c r="I129" s="1055" t="s">
        <v>751</v>
      </c>
      <c r="J129" s="1055"/>
      <c r="K129" s="1055"/>
      <c r="L129" s="1055"/>
      <c r="M129" s="1055"/>
      <c r="N129" s="1055"/>
      <c r="O129" s="1055" t="s">
        <v>752</v>
      </c>
      <c r="P129" s="1055"/>
      <c r="Q129" s="1055"/>
      <c r="R129" s="1055"/>
      <c r="S129" s="1055"/>
      <c r="T129" s="1055"/>
      <c r="U129" s="1055" t="s">
        <v>753</v>
      </c>
      <c r="V129" s="1055"/>
      <c r="W129" s="1055"/>
      <c r="X129" s="1055"/>
      <c r="Y129" s="1055"/>
      <c r="Z129" s="1056"/>
      <c r="AA129" s="1057" t="s">
        <v>754</v>
      </c>
      <c r="AB129" s="1055"/>
      <c r="AC129" s="1055"/>
      <c r="AD129" s="1055"/>
      <c r="AE129" s="1055"/>
      <c r="AF129" s="1055"/>
      <c r="AG129" s="1055" t="s">
        <v>751</v>
      </c>
      <c r="AH129" s="1055"/>
      <c r="AI129" s="1055"/>
      <c r="AJ129" s="1055"/>
      <c r="AK129" s="1055"/>
      <c r="AL129" s="1055"/>
      <c r="AM129" s="1055" t="s">
        <v>752</v>
      </c>
      <c r="AN129" s="1055"/>
      <c r="AO129" s="1055"/>
      <c r="AP129" s="1055"/>
      <c r="AQ129" s="1055"/>
      <c r="AR129" s="1055"/>
      <c r="AS129" s="1055" t="s">
        <v>753</v>
      </c>
      <c r="AT129" s="1055"/>
      <c r="AU129" s="1055"/>
      <c r="AV129" s="1055"/>
      <c r="AW129" s="1055"/>
      <c r="AX129" s="1056"/>
      <c r="AY129" s="1057" t="s">
        <v>754</v>
      </c>
      <c r="AZ129" s="1055"/>
      <c r="BA129" s="1055"/>
      <c r="BB129" s="1055"/>
      <c r="BC129" s="1055"/>
      <c r="BD129" s="1055"/>
      <c r="BE129" s="1055" t="s">
        <v>751</v>
      </c>
      <c r="BF129" s="1055"/>
      <c r="BG129" s="1055"/>
      <c r="BH129" s="1055"/>
      <c r="BI129" s="1055"/>
      <c r="BJ129" s="1055"/>
      <c r="BK129" s="1055" t="s">
        <v>752</v>
      </c>
      <c r="BL129" s="1055"/>
      <c r="BM129" s="1055"/>
      <c r="BN129" s="1055"/>
      <c r="BO129" s="1055"/>
      <c r="BP129" s="1055"/>
      <c r="BQ129" s="1055" t="s">
        <v>753</v>
      </c>
      <c r="BR129" s="1055"/>
      <c r="BS129" s="1055"/>
      <c r="BT129" s="1055"/>
      <c r="BU129" s="1055"/>
      <c r="BV129" s="1056"/>
      <c r="BW129" s="1057" t="s">
        <v>750</v>
      </c>
      <c r="BX129" s="1055"/>
      <c r="BY129" s="1055"/>
      <c r="BZ129" s="1055"/>
      <c r="CA129" s="1055"/>
      <c r="CB129" s="1055"/>
      <c r="CC129" s="1055" t="s">
        <v>751</v>
      </c>
      <c r="CD129" s="1055"/>
      <c r="CE129" s="1055"/>
      <c r="CF129" s="1055"/>
      <c r="CG129" s="1055"/>
      <c r="CH129" s="1055"/>
      <c r="CI129" s="1055" t="s">
        <v>752</v>
      </c>
      <c r="CJ129" s="1055"/>
      <c r="CK129" s="1055"/>
      <c r="CL129" s="1055"/>
      <c r="CM129" s="1055"/>
      <c r="CN129" s="1055"/>
      <c r="CO129" s="1055" t="s">
        <v>753</v>
      </c>
      <c r="CP129" s="1055"/>
      <c r="CQ129" s="1055"/>
      <c r="CR129" s="1055"/>
      <c r="CS129" s="1055"/>
      <c r="CT129" s="1056"/>
      <c r="CU129" s="1057" t="s">
        <v>754</v>
      </c>
      <c r="CV129" s="1055"/>
      <c r="CW129" s="1055"/>
      <c r="CX129" s="1055"/>
      <c r="CY129" s="1055"/>
      <c r="CZ129" s="1055"/>
      <c r="DA129" s="1055" t="s">
        <v>751</v>
      </c>
      <c r="DB129" s="1055"/>
      <c r="DC129" s="1055"/>
      <c r="DD129" s="1055"/>
      <c r="DE129" s="1055"/>
      <c r="DF129" s="1055"/>
      <c r="DG129" s="1055" t="s">
        <v>752</v>
      </c>
      <c r="DH129" s="1055"/>
      <c r="DI129" s="1055"/>
      <c r="DJ129" s="1055"/>
      <c r="DK129" s="1055"/>
      <c r="DL129" s="1055"/>
      <c r="DM129" s="1055" t="s">
        <v>753</v>
      </c>
      <c r="DN129" s="1055"/>
      <c r="DO129" s="1055"/>
      <c r="DP129" s="1055"/>
      <c r="DQ129" s="1055"/>
      <c r="DR129" s="1056"/>
      <c r="DS129" s="1057" t="s">
        <v>754</v>
      </c>
      <c r="DT129" s="1055"/>
      <c r="DU129" s="1055"/>
      <c r="DV129" s="1055"/>
      <c r="DW129" s="1055"/>
      <c r="DX129" s="1055"/>
      <c r="DY129" s="1055" t="s">
        <v>751</v>
      </c>
      <c r="DZ129" s="1055"/>
      <c r="EA129" s="1055"/>
      <c r="EB129" s="1055"/>
      <c r="EC129" s="1055"/>
      <c r="ED129" s="1055"/>
      <c r="EE129" s="1055" t="s">
        <v>752</v>
      </c>
      <c r="EF129" s="1055"/>
      <c r="EG129" s="1055"/>
      <c r="EH129" s="1055"/>
      <c r="EI129" s="1055"/>
      <c r="EJ129" s="1055"/>
      <c r="EK129" s="1055" t="s">
        <v>753</v>
      </c>
      <c r="EL129" s="1055"/>
      <c r="EM129" s="1055"/>
      <c r="EN129" s="1055"/>
      <c r="EO129" s="1055"/>
      <c r="EP129" s="1056"/>
    </row>
    <row r="130" spans="1:146" ht="24.75" customHeight="1" thickBot="1" x14ac:dyDescent="0.2">
      <c r="A130" s="1060"/>
      <c r="B130" s="1061"/>
      <c r="C130" s="1049" t="s">
        <v>755</v>
      </c>
      <c r="D130" s="1047"/>
      <c r="E130" s="1047"/>
      <c r="F130" s="1047"/>
      <c r="G130" s="1047"/>
      <c r="H130" s="1047"/>
      <c r="I130" s="1047" t="s">
        <v>755</v>
      </c>
      <c r="J130" s="1047"/>
      <c r="K130" s="1047"/>
      <c r="L130" s="1047"/>
      <c r="M130" s="1047"/>
      <c r="N130" s="1047"/>
      <c r="O130" s="1047" t="s">
        <v>755</v>
      </c>
      <c r="P130" s="1047"/>
      <c r="Q130" s="1047"/>
      <c r="R130" s="1047"/>
      <c r="S130" s="1047"/>
      <c r="T130" s="1047"/>
      <c r="U130" s="1047" t="s">
        <v>755</v>
      </c>
      <c r="V130" s="1047"/>
      <c r="W130" s="1047"/>
      <c r="X130" s="1047"/>
      <c r="Y130" s="1047"/>
      <c r="Z130" s="1048"/>
      <c r="AA130" s="1049" t="s">
        <v>755</v>
      </c>
      <c r="AB130" s="1047"/>
      <c r="AC130" s="1047"/>
      <c r="AD130" s="1047"/>
      <c r="AE130" s="1047"/>
      <c r="AF130" s="1047"/>
      <c r="AG130" s="1047" t="s">
        <v>755</v>
      </c>
      <c r="AH130" s="1047"/>
      <c r="AI130" s="1047"/>
      <c r="AJ130" s="1047"/>
      <c r="AK130" s="1047"/>
      <c r="AL130" s="1047"/>
      <c r="AM130" s="1047" t="s">
        <v>755</v>
      </c>
      <c r="AN130" s="1047"/>
      <c r="AO130" s="1047"/>
      <c r="AP130" s="1047"/>
      <c r="AQ130" s="1047"/>
      <c r="AR130" s="1047"/>
      <c r="AS130" s="1047" t="s">
        <v>755</v>
      </c>
      <c r="AT130" s="1047"/>
      <c r="AU130" s="1047"/>
      <c r="AV130" s="1047"/>
      <c r="AW130" s="1047"/>
      <c r="AX130" s="1048"/>
      <c r="AY130" s="1049" t="s">
        <v>755</v>
      </c>
      <c r="AZ130" s="1047"/>
      <c r="BA130" s="1047"/>
      <c r="BB130" s="1047"/>
      <c r="BC130" s="1047"/>
      <c r="BD130" s="1047"/>
      <c r="BE130" s="1047" t="s">
        <v>755</v>
      </c>
      <c r="BF130" s="1047"/>
      <c r="BG130" s="1047"/>
      <c r="BH130" s="1047"/>
      <c r="BI130" s="1047"/>
      <c r="BJ130" s="1047"/>
      <c r="BK130" s="1047" t="s">
        <v>755</v>
      </c>
      <c r="BL130" s="1047"/>
      <c r="BM130" s="1047"/>
      <c r="BN130" s="1047"/>
      <c r="BO130" s="1047"/>
      <c r="BP130" s="1047"/>
      <c r="BQ130" s="1047" t="s">
        <v>755</v>
      </c>
      <c r="BR130" s="1047"/>
      <c r="BS130" s="1047"/>
      <c r="BT130" s="1047"/>
      <c r="BU130" s="1047"/>
      <c r="BV130" s="1048"/>
      <c r="BW130" s="1049" t="s">
        <v>755</v>
      </c>
      <c r="BX130" s="1047"/>
      <c r="BY130" s="1047"/>
      <c r="BZ130" s="1047"/>
      <c r="CA130" s="1047"/>
      <c r="CB130" s="1047"/>
      <c r="CC130" s="1047" t="s">
        <v>755</v>
      </c>
      <c r="CD130" s="1047"/>
      <c r="CE130" s="1047"/>
      <c r="CF130" s="1047"/>
      <c r="CG130" s="1047"/>
      <c r="CH130" s="1047"/>
      <c r="CI130" s="1047" t="s">
        <v>755</v>
      </c>
      <c r="CJ130" s="1047"/>
      <c r="CK130" s="1047"/>
      <c r="CL130" s="1047"/>
      <c r="CM130" s="1047"/>
      <c r="CN130" s="1047"/>
      <c r="CO130" s="1047" t="s">
        <v>755</v>
      </c>
      <c r="CP130" s="1047"/>
      <c r="CQ130" s="1047"/>
      <c r="CR130" s="1047"/>
      <c r="CS130" s="1047"/>
      <c r="CT130" s="1048"/>
      <c r="CU130" s="1049" t="s">
        <v>755</v>
      </c>
      <c r="CV130" s="1047"/>
      <c r="CW130" s="1047"/>
      <c r="CX130" s="1047"/>
      <c r="CY130" s="1047"/>
      <c r="CZ130" s="1047"/>
      <c r="DA130" s="1047" t="s">
        <v>755</v>
      </c>
      <c r="DB130" s="1047"/>
      <c r="DC130" s="1047"/>
      <c r="DD130" s="1047"/>
      <c r="DE130" s="1047"/>
      <c r="DF130" s="1047"/>
      <c r="DG130" s="1047" t="s">
        <v>755</v>
      </c>
      <c r="DH130" s="1047"/>
      <c r="DI130" s="1047"/>
      <c r="DJ130" s="1047"/>
      <c r="DK130" s="1047"/>
      <c r="DL130" s="1047"/>
      <c r="DM130" s="1047" t="s">
        <v>755</v>
      </c>
      <c r="DN130" s="1047"/>
      <c r="DO130" s="1047"/>
      <c r="DP130" s="1047"/>
      <c r="DQ130" s="1047"/>
      <c r="DR130" s="1048"/>
      <c r="DS130" s="1049" t="s">
        <v>755</v>
      </c>
      <c r="DT130" s="1047"/>
      <c r="DU130" s="1047"/>
      <c r="DV130" s="1047"/>
      <c r="DW130" s="1047"/>
      <c r="DX130" s="1047"/>
      <c r="DY130" s="1047" t="s">
        <v>755</v>
      </c>
      <c r="DZ130" s="1047"/>
      <c r="EA130" s="1047"/>
      <c r="EB130" s="1047"/>
      <c r="EC130" s="1047"/>
      <c r="ED130" s="1047"/>
      <c r="EE130" s="1047" t="s">
        <v>755</v>
      </c>
      <c r="EF130" s="1047"/>
      <c r="EG130" s="1047"/>
      <c r="EH130" s="1047"/>
      <c r="EI130" s="1047"/>
      <c r="EJ130" s="1047"/>
      <c r="EK130" s="1047" t="s">
        <v>755</v>
      </c>
      <c r="EL130" s="1047"/>
      <c r="EM130" s="1047"/>
      <c r="EN130" s="1047"/>
      <c r="EO130" s="1047"/>
      <c r="EP130" s="1048"/>
    </row>
    <row r="131" spans="1:146" ht="33.75" customHeight="1" thickBot="1" x14ac:dyDescent="0.2">
      <c r="A131" s="624" t="s">
        <v>646</v>
      </c>
      <c r="B131" s="385" t="s">
        <v>587</v>
      </c>
      <c r="C131" s="489"/>
      <c r="D131" s="490"/>
      <c r="E131" s="490"/>
      <c r="F131" s="490"/>
      <c r="G131" s="490"/>
      <c r="H131" s="490"/>
      <c r="I131" s="490"/>
      <c r="J131" s="490"/>
      <c r="K131" s="490"/>
      <c r="L131" s="490"/>
      <c r="M131" s="490"/>
      <c r="N131" s="490"/>
      <c r="O131" s="490"/>
      <c r="P131" s="490"/>
      <c r="Q131" s="490"/>
      <c r="R131" s="490"/>
      <c r="S131" s="490"/>
      <c r="T131" s="490"/>
      <c r="U131" s="490"/>
      <c r="V131" s="490"/>
      <c r="W131" s="490"/>
      <c r="X131" s="490"/>
      <c r="Y131" s="490"/>
      <c r="Z131" s="516"/>
      <c r="AA131" s="489"/>
      <c r="AB131" s="490"/>
      <c r="AC131" s="490"/>
      <c r="AD131" s="490"/>
      <c r="AE131" s="490"/>
      <c r="AF131" s="490"/>
      <c r="AG131" s="490"/>
      <c r="AH131" s="490"/>
      <c r="AI131" s="490"/>
      <c r="AJ131" s="490"/>
      <c r="AK131" s="490"/>
      <c r="AL131" s="490"/>
      <c r="AM131" s="490"/>
      <c r="AN131" s="490"/>
      <c r="AO131" s="490"/>
      <c r="AP131" s="490"/>
      <c r="AQ131" s="490"/>
      <c r="AR131" s="490"/>
      <c r="AS131" s="490"/>
      <c r="AT131" s="490"/>
      <c r="AU131" s="490"/>
      <c r="AV131" s="490"/>
      <c r="AW131" s="490"/>
      <c r="AX131" s="516"/>
      <c r="AY131" s="517"/>
      <c r="AZ131" s="490"/>
      <c r="BA131" s="490"/>
      <c r="BB131" s="490"/>
      <c r="BC131" s="490"/>
      <c r="BD131" s="490"/>
      <c r="BE131" s="490"/>
      <c r="BF131" s="490"/>
      <c r="BG131" s="490"/>
      <c r="BH131" s="490"/>
      <c r="BI131" s="490"/>
      <c r="BJ131" s="490"/>
      <c r="BK131" s="490"/>
      <c r="BL131" s="490"/>
      <c r="BM131" s="490"/>
      <c r="BN131" s="490"/>
      <c r="BO131" s="490"/>
      <c r="BP131" s="490"/>
      <c r="BQ131" s="490"/>
      <c r="BR131" s="490"/>
      <c r="BS131" s="490"/>
      <c r="BT131" s="490"/>
      <c r="BU131" s="490"/>
      <c r="BV131" s="507"/>
      <c r="BW131" s="489"/>
      <c r="BX131" s="490"/>
      <c r="BY131" s="490"/>
      <c r="BZ131" s="490"/>
      <c r="CA131" s="490"/>
      <c r="CB131" s="490"/>
      <c r="CC131" s="490"/>
      <c r="CD131" s="490"/>
      <c r="CE131" s="490"/>
      <c r="CF131" s="490"/>
      <c r="CG131" s="490"/>
      <c r="CH131" s="490"/>
      <c r="CI131" s="490"/>
      <c r="CJ131" s="490"/>
      <c r="CK131" s="490"/>
      <c r="CL131" s="490"/>
      <c r="CM131" s="490"/>
      <c r="CN131" s="490"/>
      <c r="CO131" s="490"/>
      <c r="CP131" s="490"/>
      <c r="CQ131" s="490"/>
      <c r="CR131" s="490"/>
      <c r="CS131" s="490"/>
      <c r="CT131" s="516"/>
      <c r="CU131" s="489"/>
      <c r="CV131" s="490"/>
      <c r="CW131" s="490"/>
      <c r="CX131" s="490"/>
      <c r="CY131" s="490"/>
      <c r="CZ131" s="490"/>
      <c r="DA131" s="490"/>
      <c r="DB131" s="490"/>
      <c r="DC131" s="490"/>
      <c r="DD131" s="490"/>
      <c r="DE131" s="490"/>
      <c r="DF131" s="490"/>
      <c r="DG131" s="490"/>
      <c r="DH131" s="490"/>
      <c r="DI131" s="490"/>
      <c r="DJ131" s="490"/>
      <c r="DK131" s="490"/>
      <c r="DL131" s="490"/>
      <c r="DM131" s="490"/>
      <c r="DN131" s="490"/>
      <c r="DO131" s="490"/>
      <c r="DP131" s="490"/>
      <c r="DQ131" s="490"/>
      <c r="DR131" s="516"/>
      <c r="DS131" s="517"/>
      <c r="DT131" s="490"/>
      <c r="DU131" s="490"/>
      <c r="DV131" s="490"/>
      <c r="DW131" s="490"/>
      <c r="DX131" s="490"/>
      <c r="DY131" s="490"/>
      <c r="DZ131" s="490"/>
      <c r="EA131" s="490"/>
      <c r="EB131" s="490"/>
      <c r="EC131" s="490"/>
      <c r="ED131" s="490"/>
      <c r="EE131" s="506"/>
      <c r="EF131" s="506"/>
      <c r="EG131" s="506"/>
      <c r="EH131" s="506"/>
      <c r="EI131" s="506"/>
      <c r="EJ131" s="506"/>
      <c r="EK131" s="490"/>
      <c r="EL131" s="490"/>
      <c r="EM131" s="490"/>
      <c r="EN131" s="490"/>
      <c r="EO131" s="490"/>
      <c r="EP131" s="507"/>
    </row>
    <row r="132" spans="1:146" ht="19.5" customHeight="1" x14ac:dyDescent="0.15">
      <c r="A132" s="624" t="s">
        <v>648</v>
      </c>
      <c r="B132" s="385" t="s">
        <v>639</v>
      </c>
      <c r="C132" s="525"/>
      <c r="D132" s="526"/>
      <c r="E132" s="526"/>
      <c r="F132" s="526"/>
      <c r="G132" s="526"/>
      <c r="H132" s="526"/>
      <c r="I132" s="526"/>
      <c r="J132" s="526"/>
      <c r="K132" s="526"/>
      <c r="L132" s="526"/>
      <c r="M132" s="526"/>
      <c r="N132" s="526"/>
      <c r="O132" s="526"/>
      <c r="P132" s="526"/>
      <c r="Q132" s="526"/>
      <c r="R132" s="526"/>
      <c r="S132" s="526"/>
      <c r="T132" s="526"/>
      <c r="U132" s="526"/>
      <c r="V132" s="526"/>
      <c r="W132" s="526"/>
      <c r="X132" s="526"/>
      <c r="Y132" s="526"/>
      <c r="Z132" s="527"/>
      <c r="AA132" s="525"/>
      <c r="AB132" s="526"/>
      <c r="AC132" s="526"/>
      <c r="AD132" s="526"/>
      <c r="AE132" s="526"/>
      <c r="AF132" s="526"/>
      <c r="AG132" s="526"/>
      <c r="AH132" s="526"/>
      <c r="AI132" s="526"/>
      <c r="AJ132" s="526"/>
      <c r="AK132" s="526"/>
      <c r="AL132" s="526"/>
      <c r="AM132" s="526"/>
      <c r="AN132" s="526"/>
      <c r="AO132" s="526"/>
      <c r="AP132" s="526"/>
      <c r="AQ132" s="526"/>
      <c r="AR132" s="526"/>
      <c r="AS132" s="526"/>
      <c r="AT132" s="526"/>
      <c r="AU132" s="526"/>
      <c r="AV132" s="526"/>
      <c r="AW132" s="526"/>
      <c r="AX132" s="527"/>
      <c r="AY132" s="525"/>
      <c r="AZ132" s="526"/>
      <c r="BA132" s="526"/>
      <c r="BB132" s="526"/>
      <c r="BC132" s="526"/>
      <c r="BD132" s="526"/>
      <c r="BE132" s="526"/>
      <c r="BF132" s="526"/>
      <c r="BG132" s="526"/>
      <c r="BH132" s="526"/>
      <c r="BI132" s="526"/>
      <c r="BJ132" s="526"/>
      <c r="BK132" s="526"/>
      <c r="BL132" s="526"/>
      <c r="BM132" s="526"/>
      <c r="BN132" s="526"/>
      <c r="BO132" s="526"/>
      <c r="BP132" s="526"/>
      <c r="BQ132" s="526"/>
      <c r="BR132" s="526"/>
      <c r="BS132" s="526"/>
      <c r="BT132" s="526"/>
      <c r="BU132" s="526"/>
      <c r="BV132" s="535"/>
      <c r="BW132" s="525"/>
      <c r="BX132" s="526"/>
      <c r="BY132" s="526"/>
      <c r="BZ132" s="526"/>
      <c r="CA132" s="526"/>
      <c r="CB132" s="526"/>
      <c r="CC132" s="526"/>
      <c r="CD132" s="526"/>
      <c r="CE132" s="526"/>
      <c r="CF132" s="526"/>
      <c r="CG132" s="526"/>
      <c r="CH132" s="526"/>
      <c r="CI132" s="526"/>
      <c r="CJ132" s="526"/>
      <c r="CK132" s="526"/>
      <c r="CL132" s="526"/>
      <c r="CM132" s="526"/>
      <c r="CN132" s="526"/>
      <c r="CO132" s="526"/>
      <c r="CP132" s="526"/>
      <c r="CQ132" s="526"/>
      <c r="CR132" s="526"/>
      <c r="CS132" s="526"/>
      <c r="CT132" s="527"/>
      <c r="CU132" s="525"/>
      <c r="CV132" s="526"/>
      <c r="CW132" s="526"/>
      <c r="CX132" s="526"/>
      <c r="CY132" s="526"/>
      <c r="CZ132" s="526"/>
      <c r="DA132" s="526"/>
      <c r="DB132" s="526"/>
      <c r="DC132" s="526"/>
      <c r="DD132" s="526"/>
      <c r="DE132" s="526"/>
      <c r="DF132" s="526"/>
      <c r="DG132" s="526"/>
      <c r="DH132" s="526"/>
      <c r="DI132" s="526"/>
      <c r="DJ132" s="526"/>
      <c r="DK132" s="526"/>
      <c r="DL132" s="526"/>
      <c r="DM132" s="526"/>
      <c r="DN132" s="526"/>
      <c r="DO132" s="526"/>
      <c r="DP132" s="526"/>
      <c r="DQ132" s="526"/>
      <c r="DR132" s="527"/>
      <c r="DS132" s="525"/>
      <c r="DT132" s="526"/>
      <c r="DU132" s="526"/>
      <c r="DV132" s="526"/>
      <c r="DW132" s="526"/>
      <c r="DX132" s="526"/>
      <c r="DY132" s="526"/>
      <c r="DZ132" s="526"/>
      <c r="EA132" s="526"/>
      <c r="EB132" s="526"/>
      <c r="EC132" s="526"/>
      <c r="ED132" s="526"/>
      <c r="EE132" s="537"/>
      <c r="EF132" s="537"/>
      <c r="EG132" s="537"/>
      <c r="EH132" s="537"/>
      <c r="EI132" s="537"/>
      <c r="EJ132" s="537"/>
      <c r="EK132" s="526"/>
      <c r="EL132" s="526"/>
      <c r="EM132" s="526"/>
      <c r="EN132" s="526"/>
      <c r="EO132" s="526"/>
      <c r="EP132" s="535"/>
    </row>
    <row r="133" spans="1:146" ht="19.5" customHeight="1" x14ac:dyDescent="0.15">
      <c r="A133" s="624" t="s">
        <v>650</v>
      </c>
      <c r="B133" s="385" t="s">
        <v>719</v>
      </c>
      <c r="C133" s="525"/>
      <c r="D133" s="526"/>
      <c r="E133" s="526"/>
      <c r="F133" s="526"/>
      <c r="G133" s="526"/>
      <c r="H133" s="526"/>
      <c r="I133" s="526"/>
      <c r="J133" s="526"/>
      <c r="K133" s="526"/>
      <c r="L133" s="526"/>
      <c r="M133" s="526"/>
      <c r="N133" s="526"/>
      <c r="O133" s="526"/>
      <c r="P133" s="526"/>
      <c r="Q133" s="526"/>
      <c r="R133" s="526"/>
      <c r="S133" s="526"/>
      <c r="T133" s="526"/>
      <c r="U133" s="526"/>
      <c r="V133" s="526"/>
      <c r="W133" s="526"/>
      <c r="X133" s="526"/>
      <c r="Y133" s="526"/>
      <c r="Z133" s="527"/>
      <c r="AA133" s="525"/>
      <c r="AB133" s="526"/>
      <c r="AC133" s="526"/>
      <c r="AD133" s="526"/>
      <c r="AE133" s="526"/>
      <c r="AF133" s="526"/>
      <c r="AG133" s="526"/>
      <c r="AH133" s="526"/>
      <c r="AI133" s="526"/>
      <c r="AJ133" s="526"/>
      <c r="AK133" s="526"/>
      <c r="AL133" s="526"/>
      <c r="AM133" s="526"/>
      <c r="AN133" s="526"/>
      <c r="AO133" s="526"/>
      <c r="AP133" s="526"/>
      <c r="AQ133" s="526"/>
      <c r="AR133" s="526"/>
      <c r="AS133" s="526"/>
      <c r="AT133" s="526"/>
      <c r="AU133" s="526"/>
      <c r="AV133" s="526"/>
      <c r="AW133" s="526"/>
      <c r="AX133" s="527"/>
      <c r="AY133" s="525"/>
      <c r="AZ133" s="526"/>
      <c r="BA133" s="526"/>
      <c r="BB133" s="526"/>
      <c r="BC133" s="526"/>
      <c r="BD133" s="526"/>
      <c r="BE133" s="526"/>
      <c r="BF133" s="526"/>
      <c r="BG133" s="526"/>
      <c r="BH133" s="526"/>
      <c r="BI133" s="526"/>
      <c r="BJ133" s="526"/>
      <c r="BK133" s="526"/>
      <c r="BL133" s="526"/>
      <c r="BM133" s="526"/>
      <c r="BN133" s="526"/>
      <c r="BO133" s="526"/>
      <c r="BP133" s="526"/>
      <c r="BQ133" s="526"/>
      <c r="BR133" s="526"/>
      <c r="BS133" s="526"/>
      <c r="BT133" s="526"/>
      <c r="BU133" s="526"/>
      <c r="BV133" s="535"/>
      <c r="BW133" s="525"/>
      <c r="BX133" s="526"/>
      <c r="BY133" s="526"/>
      <c r="BZ133" s="526"/>
      <c r="CA133" s="526"/>
      <c r="CB133" s="526"/>
      <c r="CC133" s="526"/>
      <c r="CD133" s="526"/>
      <c r="CE133" s="526"/>
      <c r="CF133" s="526"/>
      <c r="CG133" s="526"/>
      <c r="CH133" s="526"/>
      <c r="CI133" s="526"/>
      <c r="CJ133" s="526"/>
      <c r="CK133" s="526"/>
      <c r="CL133" s="526"/>
      <c r="CM133" s="526"/>
      <c r="CN133" s="526"/>
      <c r="CO133" s="526"/>
      <c r="CP133" s="526"/>
      <c r="CQ133" s="526"/>
      <c r="CR133" s="526"/>
      <c r="CS133" s="526"/>
      <c r="CT133" s="527"/>
      <c r="CU133" s="525"/>
      <c r="CV133" s="526"/>
      <c r="CW133" s="526"/>
      <c r="CX133" s="526"/>
      <c r="CY133" s="526"/>
      <c r="CZ133" s="526"/>
      <c r="DA133" s="526"/>
      <c r="DB133" s="526"/>
      <c r="DC133" s="526"/>
      <c r="DD133" s="526"/>
      <c r="DE133" s="526"/>
      <c r="DF133" s="526"/>
      <c r="DG133" s="526"/>
      <c r="DH133" s="526"/>
      <c r="DI133" s="526"/>
      <c r="DJ133" s="526"/>
      <c r="DK133" s="526"/>
      <c r="DL133" s="526"/>
      <c r="DM133" s="526"/>
      <c r="DN133" s="526"/>
      <c r="DO133" s="526"/>
      <c r="DP133" s="526"/>
      <c r="DQ133" s="526"/>
      <c r="DR133" s="527"/>
      <c r="DS133" s="525"/>
      <c r="DT133" s="526"/>
      <c r="DU133" s="526"/>
      <c r="DV133" s="526"/>
      <c r="DW133" s="526"/>
      <c r="DX133" s="526"/>
      <c r="DY133" s="526"/>
      <c r="DZ133" s="526"/>
      <c r="EA133" s="526"/>
      <c r="EB133" s="526"/>
      <c r="EC133" s="526"/>
      <c r="ED133" s="526"/>
      <c r="EE133" s="537"/>
      <c r="EF133" s="537"/>
      <c r="EG133" s="537"/>
      <c r="EH133" s="537"/>
      <c r="EI133" s="537"/>
      <c r="EJ133" s="537"/>
      <c r="EK133" s="526"/>
      <c r="EL133" s="526"/>
      <c r="EM133" s="526"/>
      <c r="EN133" s="526"/>
      <c r="EO133" s="526"/>
      <c r="EP133" s="535"/>
    </row>
    <row r="134" spans="1:146" ht="66" customHeight="1" x14ac:dyDescent="0.15">
      <c r="A134" s="624" t="s">
        <v>722</v>
      </c>
      <c r="B134" s="385" t="s">
        <v>730</v>
      </c>
      <c r="C134" s="525"/>
      <c r="D134" s="526"/>
      <c r="E134" s="526"/>
      <c r="F134" s="526"/>
      <c r="G134" s="526"/>
      <c r="H134" s="526"/>
      <c r="I134" s="526"/>
      <c r="J134" s="526"/>
      <c r="K134" s="526"/>
      <c r="L134" s="526"/>
      <c r="M134" s="526"/>
      <c r="N134" s="526"/>
      <c r="O134" s="526"/>
      <c r="P134" s="526"/>
      <c r="Q134" s="526"/>
      <c r="R134" s="526"/>
      <c r="S134" s="526"/>
      <c r="T134" s="526"/>
      <c r="U134" s="526"/>
      <c r="V134" s="526"/>
      <c r="W134" s="526"/>
      <c r="X134" s="526"/>
      <c r="Y134" s="526"/>
      <c r="Z134" s="527"/>
      <c r="AA134" s="525"/>
      <c r="AB134" s="526"/>
      <c r="AC134" s="526"/>
      <c r="AD134" s="526"/>
      <c r="AE134" s="526"/>
      <c r="AF134" s="526"/>
      <c r="AG134" s="526"/>
      <c r="AH134" s="526"/>
      <c r="AI134" s="526"/>
      <c r="AJ134" s="526"/>
      <c r="AK134" s="526"/>
      <c r="AL134" s="526"/>
      <c r="AM134" s="526"/>
      <c r="AN134" s="526"/>
      <c r="AO134" s="526"/>
      <c r="AP134" s="526"/>
      <c r="AQ134" s="526"/>
      <c r="AR134" s="526"/>
      <c r="AS134" s="526"/>
      <c r="AT134" s="526"/>
      <c r="AU134" s="526"/>
      <c r="AV134" s="526"/>
      <c r="AW134" s="526"/>
      <c r="AX134" s="527"/>
      <c r="AY134" s="525"/>
      <c r="AZ134" s="526"/>
      <c r="BA134" s="526"/>
      <c r="BB134" s="526"/>
      <c r="BC134" s="526"/>
      <c r="BD134" s="526"/>
      <c r="BE134" s="526"/>
      <c r="BF134" s="526"/>
      <c r="BG134" s="526"/>
      <c r="BH134" s="526"/>
      <c r="BI134" s="526"/>
      <c r="BJ134" s="526"/>
      <c r="BK134" s="526"/>
      <c r="BL134" s="526"/>
      <c r="BM134" s="526"/>
      <c r="BN134" s="526"/>
      <c r="BO134" s="526"/>
      <c r="BP134" s="526"/>
      <c r="BQ134" s="526"/>
      <c r="BR134" s="526"/>
      <c r="BS134" s="526"/>
      <c r="BT134" s="526"/>
      <c r="BU134" s="526"/>
      <c r="BV134" s="535"/>
      <c r="BW134" s="525"/>
      <c r="BX134" s="526"/>
      <c r="BY134" s="526"/>
      <c r="BZ134" s="526"/>
      <c r="CA134" s="526"/>
      <c r="CB134" s="526"/>
      <c r="CC134" s="526"/>
      <c r="CD134" s="526"/>
      <c r="CE134" s="526"/>
      <c r="CF134" s="526"/>
      <c r="CG134" s="526"/>
      <c r="CH134" s="526"/>
      <c r="CI134" s="526"/>
      <c r="CJ134" s="526"/>
      <c r="CK134" s="526"/>
      <c r="CL134" s="526"/>
      <c r="CM134" s="526"/>
      <c r="CN134" s="526"/>
      <c r="CO134" s="526"/>
      <c r="CP134" s="526"/>
      <c r="CQ134" s="526"/>
      <c r="CR134" s="526"/>
      <c r="CS134" s="526"/>
      <c r="CT134" s="527"/>
      <c r="CU134" s="525"/>
      <c r="CV134" s="526"/>
      <c r="CW134" s="526"/>
      <c r="CX134" s="526"/>
      <c r="CY134" s="526"/>
      <c r="CZ134" s="526"/>
      <c r="DA134" s="526"/>
      <c r="DB134" s="526"/>
      <c r="DC134" s="526"/>
      <c r="DD134" s="526"/>
      <c r="DE134" s="526"/>
      <c r="DF134" s="526"/>
      <c r="DG134" s="526"/>
      <c r="DH134" s="526"/>
      <c r="DI134" s="526"/>
      <c r="DJ134" s="526"/>
      <c r="DK134" s="526"/>
      <c r="DL134" s="526"/>
      <c r="DM134" s="526"/>
      <c r="DN134" s="526"/>
      <c r="DO134" s="526"/>
      <c r="DP134" s="526"/>
      <c r="DQ134" s="526"/>
      <c r="DR134" s="527"/>
      <c r="DS134" s="525"/>
      <c r="DT134" s="526"/>
      <c r="DU134" s="526"/>
      <c r="DV134" s="526"/>
      <c r="DW134" s="526"/>
      <c r="DX134" s="526"/>
      <c r="DY134" s="526"/>
      <c r="DZ134" s="526"/>
      <c r="EA134" s="526"/>
      <c r="EB134" s="526"/>
      <c r="EC134" s="526"/>
      <c r="ED134" s="526"/>
      <c r="EE134" s="537"/>
      <c r="EF134" s="537"/>
      <c r="EG134" s="537"/>
      <c r="EH134" s="537"/>
      <c r="EI134" s="537"/>
      <c r="EJ134" s="537"/>
      <c r="EK134" s="526"/>
      <c r="EL134" s="526"/>
      <c r="EM134" s="526"/>
      <c r="EN134" s="526"/>
      <c r="EO134" s="526"/>
      <c r="EP134" s="535"/>
    </row>
    <row r="135" spans="1:146" ht="66" customHeight="1" x14ac:dyDescent="0.15">
      <c r="A135" s="624" t="s">
        <v>731</v>
      </c>
      <c r="B135" s="385" t="s">
        <v>733</v>
      </c>
      <c r="C135" s="525"/>
      <c r="D135" s="526"/>
      <c r="E135" s="526"/>
      <c r="F135" s="526"/>
      <c r="G135" s="526"/>
      <c r="H135" s="526"/>
      <c r="I135" s="526"/>
      <c r="J135" s="526"/>
      <c r="K135" s="526"/>
      <c r="L135" s="526"/>
      <c r="M135" s="526"/>
      <c r="N135" s="526"/>
      <c r="O135" s="526"/>
      <c r="P135" s="526"/>
      <c r="Q135" s="526"/>
      <c r="R135" s="526"/>
      <c r="S135" s="526"/>
      <c r="T135" s="526"/>
      <c r="U135" s="526"/>
      <c r="V135" s="526"/>
      <c r="W135" s="526"/>
      <c r="X135" s="526"/>
      <c r="Y135" s="526"/>
      <c r="Z135" s="527"/>
      <c r="AA135" s="525"/>
      <c r="AB135" s="526"/>
      <c r="AC135" s="526"/>
      <c r="AD135" s="526"/>
      <c r="AE135" s="526"/>
      <c r="AF135" s="526"/>
      <c r="AG135" s="526"/>
      <c r="AH135" s="526"/>
      <c r="AI135" s="526"/>
      <c r="AJ135" s="526"/>
      <c r="AK135" s="526"/>
      <c r="AL135" s="526"/>
      <c r="AM135" s="526"/>
      <c r="AN135" s="526"/>
      <c r="AO135" s="526"/>
      <c r="AP135" s="526"/>
      <c r="AQ135" s="526"/>
      <c r="AR135" s="526"/>
      <c r="AS135" s="526"/>
      <c r="AT135" s="526"/>
      <c r="AU135" s="526"/>
      <c r="AV135" s="526"/>
      <c r="AW135" s="526"/>
      <c r="AX135" s="527"/>
      <c r="AY135" s="525"/>
      <c r="AZ135" s="526"/>
      <c r="BA135" s="526"/>
      <c r="BB135" s="526"/>
      <c r="BC135" s="526"/>
      <c r="BD135" s="526"/>
      <c r="BE135" s="526"/>
      <c r="BF135" s="526"/>
      <c r="BG135" s="526"/>
      <c r="BH135" s="526"/>
      <c r="BI135" s="526"/>
      <c r="BJ135" s="526"/>
      <c r="BK135" s="526"/>
      <c r="BL135" s="526"/>
      <c r="BM135" s="526"/>
      <c r="BN135" s="526"/>
      <c r="BO135" s="526"/>
      <c r="BP135" s="526"/>
      <c r="BQ135" s="526"/>
      <c r="BR135" s="526"/>
      <c r="BS135" s="526"/>
      <c r="BT135" s="526"/>
      <c r="BU135" s="526"/>
      <c r="BV135" s="535"/>
      <c r="BW135" s="525"/>
      <c r="BX135" s="526"/>
      <c r="BY135" s="526"/>
      <c r="BZ135" s="526"/>
      <c r="CA135" s="526"/>
      <c r="CB135" s="526"/>
      <c r="CC135" s="526"/>
      <c r="CD135" s="526"/>
      <c r="CE135" s="526"/>
      <c r="CF135" s="526"/>
      <c r="CG135" s="526"/>
      <c r="CH135" s="526"/>
      <c r="CI135" s="526"/>
      <c r="CJ135" s="526"/>
      <c r="CK135" s="526"/>
      <c r="CL135" s="526"/>
      <c r="CM135" s="526"/>
      <c r="CN135" s="526"/>
      <c r="CO135" s="526"/>
      <c r="CP135" s="526"/>
      <c r="CQ135" s="526"/>
      <c r="CR135" s="526"/>
      <c r="CS135" s="526"/>
      <c r="CT135" s="527"/>
      <c r="CU135" s="525"/>
      <c r="CV135" s="526"/>
      <c r="CW135" s="526"/>
      <c r="CX135" s="526"/>
      <c r="CY135" s="526"/>
      <c r="CZ135" s="526"/>
      <c r="DA135" s="526"/>
      <c r="DB135" s="526"/>
      <c r="DC135" s="526"/>
      <c r="DD135" s="526"/>
      <c r="DE135" s="526"/>
      <c r="DF135" s="526"/>
      <c r="DG135" s="526"/>
      <c r="DH135" s="526"/>
      <c r="DI135" s="526"/>
      <c r="DJ135" s="526"/>
      <c r="DK135" s="526"/>
      <c r="DL135" s="526"/>
      <c r="DM135" s="526"/>
      <c r="DN135" s="526"/>
      <c r="DO135" s="526"/>
      <c r="DP135" s="526"/>
      <c r="DQ135" s="526"/>
      <c r="DR135" s="527"/>
      <c r="DS135" s="525"/>
      <c r="DT135" s="526"/>
      <c r="DU135" s="526"/>
      <c r="DV135" s="526"/>
      <c r="DW135" s="526"/>
      <c r="DX135" s="526"/>
      <c r="DY135" s="526"/>
      <c r="DZ135" s="526"/>
      <c r="EA135" s="526"/>
      <c r="EB135" s="526"/>
      <c r="EC135" s="526"/>
      <c r="ED135" s="526"/>
      <c r="EE135" s="537"/>
      <c r="EF135" s="537"/>
      <c r="EG135" s="537"/>
      <c r="EH135" s="537"/>
      <c r="EI135" s="537"/>
      <c r="EJ135" s="537"/>
      <c r="EK135" s="526"/>
      <c r="EL135" s="526"/>
      <c r="EM135" s="526"/>
      <c r="EN135" s="526"/>
      <c r="EO135" s="526"/>
      <c r="EP135" s="535"/>
    </row>
    <row r="136" spans="1:146" ht="44.25" customHeight="1" x14ac:dyDescent="0.15">
      <c r="A136" s="624" t="s">
        <v>732</v>
      </c>
      <c r="B136" s="385" t="s">
        <v>718</v>
      </c>
      <c r="C136" s="525"/>
      <c r="D136" s="526"/>
      <c r="E136" s="526"/>
      <c r="F136" s="526"/>
      <c r="G136" s="526"/>
      <c r="H136" s="526"/>
      <c r="I136" s="526"/>
      <c r="J136" s="526"/>
      <c r="K136" s="526"/>
      <c r="L136" s="526"/>
      <c r="M136" s="526"/>
      <c r="N136" s="526"/>
      <c r="O136" s="526"/>
      <c r="P136" s="526"/>
      <c r="Q136" s="526"/>
      <c r="R136" s="526"/>
      <c r="S136" s="526"/>
      <c r="T136" s="526"/>
      <c r="U136" s="526"/>
      <c r="V136" s="526"/>
      <c r="W136" s="526"/>
      <c r="X136" s="526"/>
      <c r="Y136" s="526"/>
      <c r="Z136" s="527"/>
      <c r="AA136" s="525"/>
      <c r="AB136" s="526"/>
      <c r="AC136" s="526"/>
      <c r="AD136" s="526"/>
      <c r="AE136" s="526"/>
      <c r="AF136" s="526"/>
      <c r="AG136" s="526"/>
      <c r="AH136" s="526"/>
      <c r="AI136" s="526"/>
      <c r="AJ136" s="526"/>
      <c r="AK136" s="526"/>
      <c r="AL136" s="526"/>
      <c r="AM136" s="526"/>
      <c r="AN136" s="526"/>
      <c r="AO136" s="526"/>
      <c r="AP136" s="526"/>
      <c r="AQ136" s="526"/>
      <c r="AR136" s="526"/>
      <c r="AS136" s="526"/>
      <c r="AT136" s="526"/>
      <c r="AU136" s="526"/>
      <c r="AV136" s="526"/>
      <c r="AW136" s="526"/>
      <c r="AX136" s="527"/>
      <c r="AY136" s="525"/>
      <c r="AZ136" s="526"/>
      <c r="BA136" s="526"/>
      <c r="BB136" s="526"/>
      <c r="BC136" s="526"/>
      <c r="BD136" s="526"/>
      <c r="BE136" s="526"/>
      <c r="BF136" s="526"/>
      <c r="BG136" s="526"/>
      <c r="BH136" s="526"/>
      <c r="BI136" s="526"/>
      <c r="BJ136" s="526"/>
      <c r="BK136" s="526"/>
      <c r="BL136" s="526"/>
      <c r="BM136" s="526"/>
      <c r="BN136" s="526"/>
      <c r="BO136" s="526"/>
      <c r="BP136" s="526"/>
      <c r="BQ136" s="526"/>
      <c r="BR136" s="526"/>
      <c r="BS136" s="526"/>
      <c r="BT136" s="526"/>
      <c r="BU136" s="526"/>
      <c r="BV136" s="535"/>
      <c r="BW136" s="525"/>
      <c r="BX136" s="526"/>
      <c r="BY136" s="526"/>
      <c r="BZ136" s="526"/>
      <c r="CA136" s="526"/>
      <c r="CB136" s="526"/>
      <c r="CC136" s="526"/>
      <c r="CD136" s="526"/>
      <c r="CE136" s="526"/>
      <c r="CF136" s="526"/>
      <c r="CG136" s="526"/>
      <c r="CH136" s="526"/>
      <c r="CI136" s="526"/>
      <c r="CJ136" s="526"/>
      <c r="CK136" s="526"/>
      <c r="CL136" s="526"/>
      <c r="CM136" s="526"/>
      <c r="CN136" s="526"/>
      <c r="CO136" s="526"/>
      <c r="CP136" s="526"/>
      <c r="CQ136" s="526"/>
      <c r="CR136" s="526"/>
      <c r="CS136" s="526"/>
      <c r="CT136" s="527"/>
      <c r="CU136" s="525"/>
      <c r="CV136" s="526"/>
      <c r="CW136" s="526"/>
      <c r="CX136" s="526"/>
      <c r="CY136" s="526"/>
      <c r="CZ136" s="526"/>
      <c r="DA136" s="526"/>
      <c r="DB136" s="526"/>
      <c r="DC136" s="526"/>
      <c r="DD136" s="526"/>
      <c r="DE136" s="526"/>
      <c r="DF136" s="526"/>
      <c r="DG136" s="526"/>
      <c r="DH136" s="526"/>
      <c r="DI136" s="526"/>
      <c r="DJ136" s="526"/>
      <c r="DK136" s="526"/>
      <c r="DL136" s="526"/>
      <c r="DM136" s="526"/>
      <c r="DN136" s="526"/>
      <c r="DO136" s="526"/>
      <c r="DP136" s="526"/>
      <c r="DQ136" s="526"/>
      <c r="DR136" s="527"/>
      <c r="DS136" s="525"/>
      <c r="DT136" s="526"/>
      <c r="DU136" s="526"/>
      <c r="DV136" s="526"/>
      <c r="DW136" s="526"/>
      <c r="DX136" s="526"/>
      <c r="DY136" s="526"/>
      <c r="DZ136" s="526"/>
      <c r="EA136" s="526"/>
      <c r="EB136" s="526"/>
      <c r="EC136" s="526"/>
      <c r="ED136" s="526"/>
      <c r="EE136" s="526"/>
      <c r="EF136" s="526"/>
      <c r="EG136" s="526"/>
      <c r="EH136" s="526"/>
      <c r="EI136" s="526"/>
      <c r="EJ136" s="526"/>
      <c r="EK136" s="537"/>
      <c r="EL136" s="537"/>
      <c r="EM136" s="537"/>
      <c r="EN136" s="537"/>
      <c r="EO136" s="537"/>
      <c r="EP136" s="567"/>
    </row>
    <row r="137" spans="1:146" ht="150.75" customHeight="1" thickBot="1" x14ac:dyDescent="0.2">
      <c r="A137" s="624" t="s">
        <v>741</v>
      </c>
      <c r="B137" s="385" t="s">
        <v>740</v>
      </c>
      <c r="C137" s="508"/>
      <c r="D137" s="509"/>
      <c r="E137" s="509"/>
      <c r="F137" s="509"/>
      <c r="G137" s="509"/>
      <c r="H137" s="509"/>
      <c r="I137" s="509"/>
      <c r="J137" s="509"/>
      <c r="K137" s="509"/>
      <c r="L137" s="509"/>
      <c r="M137" s="509"/>
      <c r="N137" s="509"/>
      <c r="O137" s="509"/>
      <c r="P137" s="509"/>
      <c r="Q137" s="509"/>
      <c r="R137" s="509"/>
      <c r="S137" s="509"/>
      <c r="T137" s="509"/>
      <c r="U137" s="509"/>
      <c r="V137" s="509"/>
      <c r="W137" s="509"/>
      <c r="X137" s="509"/>
      <c r="Y137" s="509"/>
      <c r="Z137" s="515"/>
      <c r="AA137" s="508"/>
      <c r="AB137" s="509"/>
      <c r="AC137" s="509"/>
      <c r="AD137" s="509"/>
      <c r="AE137" s="509"/>
      <c r="AF137" s="509"/>
      <c r="AG137" s="509"/>
      <c r="AH137" s="509"/>
      <c r="AI137" s="509"/>
      <c r="AJ137" s="509"/>
      <c r="AK137" s="509"/>
      <c r="AL137" s="509"/>
      <c r="AM137" s="509"/>
      <c r="AN137" s="509"/>
      <c r="AO137" s="509"/>
      <c r="AP137" s="509"/>
      <c r="AQ137" s="509"/>
      <c r="AR137" s="509"/>
      <c r="AS137" s="509"/>
      <c r="AT137" s="509"/>
      <c r="AU137" s="509"/>
      <c r="AV137" s="509"/>
      <c r="AW137" s="509"/>
      <c r="AX137" s="515"/>
      <c r="AY137" s="508"/>
      <c r="AZ137" s="509"/>
      <c r="BA137" s="509"/>
      <c r="BB137" s="509"/>
      <c r="BC137" s="509"/>
      <c r="BD137" s="509"/>
      <c r="BE137" s="509"/>
      <c r="BF137" s="509"/>
      <c r="BG137" s="509"/>
      <c r="BH137" s="509"/>
      <c r="BI137" s="509"/>
      <c r="BJ137" s="509"/>
      <c r="BK137" s="509"/>
      <c r="BL137" s="509"/>
      <c r="BM137" s="509"/>
      <c r="BN137" s="509"/>
      <c r="BO137" s="509"/>
      <c r="BP137" s="509"/>
      <c r="BQ137" s="509"/>
      <c r="BR137" s="509"/>
      <c r="BS137" s="509"/>
      <c r="BT137" s="509"/>
      <c r="BU137" s="509"/>
      <c r="BV137" s="515"/>
      <c r="BW137" s="508"/>
      <c r="BX137" s="509"/>
      <c r="BY137" s="509"/>
      <c r="BZ137" s="509"/>
      <c r="CA137" s="509"/>
      <c r="CB137" s="509"/>
      <c r="CC137" s="509"/>
      <c r="CD137" s="509"/>
      <c r="CE137" s="509"/>
      <c r="CF137" s="509"/>
      <c r="CG137" s="509"/>
      <c r="CH137" s="509"/>
      <c r="CI137" s="509"/>
      <c r="CJ137" s="509"/>
      <c r="CK137" s="509"/>
      <c r="CL137" s="509"/>
      <c r="CM137" s="509"/>
      <c r="CN137" s="509"/>
      <c r="CO137" s="509"/>
      <c r="CP137" s="509"/>
      <c r="CQ137" s="509"/>
      <c r="CR137" s="509"/>
      <c r="CS137" s="509"/>
      <c r="CT137" s="515"/>
      <c r="CU137" s="508"/>
      <c r="CV137" s="509"/>
      <c r="CW137" s="509"/>
      <c r="CX137" s="509"/>
      <c r="CY137" s="509"/>
      <c r="CZ137" s="509"/>
      <c r="DA137" s="509"/>
      <c r="DB137" s="509"/>
      <c r="DC137" s="509"/>
      <c r="DD137" s="509"/>
      <c r="DE137" s="509"/>
      <c r="DF137" s="509"/>
      <c r="DG137" s="509"/>
      <c r="DH137" s="509"/>
      <c r="DI137" s="509"/>
      <c r="DJ137" s="509"/>
      <c r="DK137" s="509"/>
      <c r="DL137" s="509"/>
      <c r="DM137" s="509"/>
      <c r="DN137" s="509"/>
      <c r="DO137" s="509"/>
      <c r="DP137" s="509"/>
      <c r="DQ137" s="509"/>
      <c r="DR137" s="515"/>
      <c r="DS137" s="508"/>
      <c r="DT137" s="509"/>
      <c r="DU137" s="509"/>
      <c r="DV137" s="509"/>
      <c r="DW137" s="509"/>
      <c r="DX137" s="509"/>
      <c r="DY137" s="509"/>
      <c r="DZ137" s="509"/>
      <c r="EA137" s="509"/>
      <c r="EB137" s="509"/>
      <c r="EC137" s="509"/>
      <c r="ED137" s="509"/>
      <c r="EE137" s="509"/>
      <c r="EF137" s="509"/>
      <c r="EG137" s="509"/>
      <c r="EH137" s="509"/>
      <c r="EI137" s="509"/>
      <c r="EJ137" s="509"/>
      <c r="EK137" s="509"/>
      <c r="EL137" s="538"/>
      <c r="EM137" s="538"/>
      <c r="EN137" s="538"/>
      <c r="EO137" s="538"/>
      <c r="EP137" s="623"/>
    </row>
    <row r="138" spans="1:146" s="12" customFormat="1" ht="21.75" customHeight="1" thickBot="1" x14ac:dyDescent="0.2">
      <c r="A138" s="488">
        <v>12</v>
      </c>
      <c r="B138" s="1058" t="s">
        <v>645</v>
      </c>
      <c r="C138" s="1058"/>
      <c r="D138" s="1058"/>
      <c r="E138" s="1058"/>
      <c r="F138" s="1058"/>
      <c r="G138" s="1058"/>
      <c r="H138" s="1058"/>
      <c r="I138" s="1058"/>
      <c r="J138" s="1058"/>
      <c r="K138" s="1058"/>
      <c r="L138" s="1058"/>
      <c r="M138" s="1058"/>
      <c r="N138" s="1058"/>
      <c r="O138" s="1058"/>
      <c r="P138" s="1058"/>
      <c r="Q138" s="1058"/>
      <c r="R138" s="1058"/>
      <c r="S138" s="1058"/>
      <c r="T138" s="1058"/>
      <c r="U138" s="1058"/>
      <c r="V138" s="1058"/>
      <c r="W138" s="1058"/>
      <c r="X138" s="1058"/>
      <c r="Y138" s="1058"/>
      <c r="Z138" s="1058"/>
      <c r="AA138" s="1058"/>
      <c r="AB138" s="1058"/>
      <c r="AC138" s="1058"/>
      <c r="AD138" s="1058"/>
      <c r="AE138" s="1058"/>
      <c r="AF138" s="1058"/>
      <c r="AG138" s="1058"/>
      <c r="AH138" s="1058"/>
      <c r="AI138" s="1058"/>
      <c r="AJ138" s="1058"/>
      <c r="AK138" s="1058"/>
      <c r="AL138" s="1058"/>
      <c r="AM138" s="1058"/>
      <c r="AN138" s="1058"/>
      <c r="AO138" s="1058"/>
      <c r="AP138" s="1058"/>
      <c r="AQ138" s="1058"/>
      <c r="AR138" s="1058"/>
      <c r="AS138" s="1058"/>
      <c r="AT138" s="1058"/>
      <c r="AU138" s="1058"/>
      <c r="AV138" s="1058"/>
      <c r="AW138" s="1058"/>
      <c r="AX138" s="1058"/>
      <c r="AY138" s="1058"/>
      <c r="AZ138" s="1058"/>
      <c r="BA138" s="1058"/>
      <c r="BB138" s="1058"/>
      <c r="BC138" s="1058"/>
      <c r="BD138" s="1058"/>
      <c r="BE138" s="1058"/>
      <c r="BF138" s="1058"/>
      <c r="BG138" s="1058"/>
      <c r="BH138" s="1058"/>
      <c r="BI138" s="1058"/>
      <c r="BJ138" s="1058"/>
      <c r="BK138" s="1058"/>
      <c r="BL138" s="1058"/>
      <c r="BM138" s="1058"/>
      <c r="BN138" s="1058"/>
      <c r="BO138" s="1058"/>
      <c r="BP138" s="1058"/>
      <c r="BQ138" s="1058"/>
      <c r="BR138" s="1058"/>
      <c r="BS138" s="1058"/>
      <c r="BT138" s="1058"/>
      <c r="BU138" s="1058"/>
      <c r="BV138" s="1058"/>
      <c r="BW138" s="1058"/>
      <c r="BX138" s="1058"/>
      <c r="BY138" s="1058"/>
      <c r="BZ138" s="1058"/>
      <c r="CA138" s="1058"/>
      <c r="CB138" s="1058"/>
      <c r="CC138" s="1058"/>
      <c r="CD138" s="1058"/>
      <c r="CE138" s="1058"/>
      <c r="CF138" s="1058"/>
      <c r="CG138" s="1058"/>
      <c r="CH138" s="1058"/>
      <c r="CI138" s="1058"/>
      <c r="CJ138" s="1058"/>
      <c r="CK138" s="1058"/>
      <c r="CL138" s="1058"/>
      <c r="CM138" s="1058"/>
      <c r="CN138" s="1058"/>
      <c r="CO138" s="1058"/>
      <c r="CP138" s="1058"/>
      <c r="CQ138" s="1058"/>
      <c r="CR138" s="1058"/>
      <c r="CS138" s="1058"/>
      <c r="CT138" s="1058"/>
      <c r="CU138" s="1058"/>
      <c r="CV138" s="1058"/>
      <c r="CW138" s="1058"/>
      <c r="CX138" s="1058"/>
      <c r="CY138" s="1058"/>
      <c r="CZ138" s="1058"/>
      <c r="DA138" s="1058"/>
      <c r="DB138" s="1058"/>
      <c r="DC138" s="1058"/>
      <c r="DD138" s="1058"/>
      <c r="DE138" s="1058"/>
      <c r="DF138" s="1058"/>
      <c r="DG138" s="1058"/>
      <c r="DH138" s="1058"/>
      <c r="DI138" s="1058"/>
      <c r="DJ138" s="1058"/>
      <c r="DK138" s="1058"/>
      <c r="DL138" s="1058"/>
      <c r="DM138" s="1058"/>
      <c r="DN138" s="1058"/>
      <c r="DO138" s="1058"/>
      <c r="DP138" s="1058"/>
      <c r="DQ138" s="1058"/>
      <c r="DR138" s="1058"/>
      <c r="DS138" s="1058"/>
      <c r="DT138" s="1058"/>
      <c r="DU138" s="1058"/>
      <c r="DV138" s="1058"/>
      <c r="DW138" s="1058"/>
      <c r="DX138" s="1058"/>
      <c r="DY138" s="1058"/>
      <c r="DZ138" s="1058"/>
      <c r="EA138" s="1058"/>
      <c r="EB138" s="1058"/>
      <c r="EC138" s="1058"/>
      <c r="ED138" s="1058"/>
      <c r="EE138" s="1058"/>
      <c r="EF138" s="1058"/>
      <c r="EG138" s="1058"/>
      <c r="EH138" s="1058"/>
      <c r="EI138" s="1058"/>
      <c r="EJ138" s="1058"/>
      <c r="EK138" s="1058"/>
      <c r="EL138" s="1058"/>
      <c r="EM138" s="1058"/>
      <c r="EN138" s="1058"/>
      <c r="EO138" s="1058"/>
      <c r="EP138" s="1059"/>
    </row>
    <row r="139" spans="1:146" ht="15" customHeight="1" x14ac:dyDescent="0.15">
      <c r="A139" s="1060" t="s">
        <v>0</v>
      </c>
      <c r="B139" s="1061" t="s">
        <v>743</v>
      </c>
      <c r="C139" s="1052" t="s">
        <v>744</v>
      </c>
      <c r="D139" s="1053"/>
      <c r="E139" s="1053"/>
      <c r="F139" s="1053"/>
      <c r="G139" s="1053"/>
      <c r="H139" s="1053"/>
      <c r="I139" s="1053"/>
      <c r="J139" s="1053"/>
      <c r="K139" s="1053"/>
      <c r="L139" s="1053"/>
      <c r="M139" s="1053"/>
      <c r="N139" s="1053"/>
      <c r="O139" s="1053"/>
      <c r="P139" s="1053"/>
      <c r="Q139" s="1053"/>
      <c r="R139" s="1053"/>
      <c r="S139" s="1053"/>
      <c r="T139" s="1053"/>
      <c r="U139" s="1053"/>
      <c r="V139" s="1053"/>
      <c r="W139" s="1053"/>
      <c r="X139" s="1053"/>
      <c r="Y139" s="1053"/>
      <c r="Z139" s="1054"/>
      <c r="AA139" s="1052" t="s">
        <v>745</v>
      </c>
      <c r="AB139" s="1053"/>
      <c r="AC139" s="1053"/>
      <c r="AD139" s="1053"/>
      <c r="AE139" s="1053"/>
      <c r="AF139" s="1053"/>
      <c r="AG139" s="1053"/>
      <c r="AH139" s="1053"/>
      <c r="AI139" s="1053"/>
      <c r="AJ139" s="1053"/>
      <c r="AK139" s="1053"/>
      <c r="AL139" s="1053"/>
      <c r="AM139" s="1053"/>
      <c r="AN139" s="1053"/>
      <c r="AO139" s="1053"/>
      <c r="AP139" s="1053"/>
      <c r="AQ139" s="1053"/>
      <c r="AR139" s="1053"/>
      <c r="AS139" s="1053"/>
      <c r="AT139" s="1053"/>
      <c r="AU139" s="1053"/>
      <c r="AV139" s="1053"/>
      <c r="AW139" s="1053"/>
      <c r="AX139" s="1054"/>
      <c r="AY139" s="1052" t="s">
        <v>746</v>
      </c>
      <c r="AZ139" s="1053"/>
      <c r="BA139" s="1053"/>
      <c r="BB139" s="1053"/>
      <c r="BC139" s="1053"/>
      <c r="BD139" s="1053"/>
      <c r="BE139" s="1053"/>
      <c r="BF139" s="1053"/>
      <c r="BG139" s="1053"/>
      <c r="BH139" s="1053"/>
      <c r="BI139" s="1053"/>
      <c r="BJ139" s="1053"/>
      <c r="BK139" s="1053"/>
      <c r="BL139" s="1053"/>
      <c r="BM139" s="1053"/>
      <c r="BN139" s="1053"/>
      <c r="BO139" s="1053"/>
      <c r="BP139" s="1053"/>
      <c r="BQ139" s="1053"/>
      <c r="BR139" s="1053"/>
      <c r="BS139" s="1053"/>
      <c r="BT139" s="1053"/>
      <c r="BU139" s="1053"/>
      <c r="BV139" s="1054"/>
      <c r="BW139" s="1052" t="s">
        <v>747</v>
      </c>
      <c r="BX139" s="1053"/>
      <c r="BY139" s="1053"/>
      <c r="BZ139" s="1053"/>
      <c r="CA139" s="1053"/>
      <c r="CB139" s="1053"/>
      <c r="CC139" s="1053"/>
      <c r="CD139" s="1053"/>
      <c r="CE139" s="1053"/>
      <c r="CF139" s="1053"/>
      <c r="CG139" s="1053"/>
      <c r="CH139" s="1053"/>
      <c r="CI139" s="1053"/>
      <c r="CJ139" s="1053"/>
      <c r="CK139" s="1053"/>
      <c r="CL139" s="1053"/>
      <c r="CM139" s="1053"/>
      <c r="CN139" s="1053"/>
      <c r="CO139" s="1053"/>
      <c r="CP139" s="1053"/>
      <c r="CQ139" s="1053"/>
      <c r="CR139" s="1053"/>
      <c r="CS139" s="1053"/>
      <c r="CT139" s="1054"/>
      <c r="CU139" s="1052" t="s">
        <v>748</v>
      </c>
      <c r="CV139" s="1053"/>
      <c r="CW139" s="1053"/>
      <c r="CX139" s="1053"/>
      <c r="CY139" s="1053"/>
      <c r="CZ139" s="1053"/>
      <c r="DA139" s="1053"/>
      <c r="DB139" s="1053"/>
      <c r="DC139" s="1053"/>
      <c r="DD139" s="1053"/>
      <c r="DE139" s="1053"/>
      <c r="DF139" s="1053"/>
      <c r="DG139" s="1053"/>
      <c r="DH139" s="1053"/>
      <c r="DI139" s="1053"/>
      <c r="DJ139" s="1053"/>
      <c r="DK139" s="1053"/>
      <c r="DL139" s="1053"/>
      <c r="DM139" s="1053"/>
      <c r="DN139" s="1053"/>
      <c r="DO139" s="1053"/>
      <c r="DP139" s="1053"/>
      <c r="DQ139" s="1053"/>
      <c r="DR139" s="1054"/>
      <c r="DS139" s="1052" t="s">
        <v>749</v>
      </c>
      <c r="DT139" s="1053"/>
      <c r="DU139" s="1053"/>
      <c r="DV139" s="1053"/>
      <c r="DW139" s="1053"/>
      <c r="DX139" s="1053"/>
      <c r="DY139" s="1053"/>
      <c r="DZ139" s="1053"/>
      <c r="EA139" s="1053"/>
      <c r="EB139" s="1053"/>
      <c r="EC139" s="1053"/>
      <c r="ED139" s="1053"/>
      <c r="EE139" s="1053"/>
      <c r="EF139" s="1053"/>
      <c r="EG139" s="1053"/>
      <c r="EH139" s="1053"/>
      <c r="EI139" s="1053"/>
      <c r="EJ139" s="1053"/>
      <c r="EK139" s="1053"/>
      <c r="EL139" s="1053"/>
      <c r="EM139" s="1053"/>
      <c r="EN139" s="1053"/>
      <c r="EO139" s="1053"/>
      <c r="EP139" s="1054"/>
    </row>
    <row r="140" spans="1:146" ht="14.25" customHeight="1" x14ac:dyDescent="0.15">
      <c r="A140" s="1060"/>
      <c r="B140" s="1061"/>
      <c r="C140" s="1057" t="s">
        <v>750</v>
      </c>
      <c r="D140" s="1055"/>
      <c r="E140" s="1055"/>
      <c r="F140" s="1055"/>
      <c r="G140" s="1055"/>
      <c r="H140" s="1055"/>
      <c r="I140" s="1055" t="s">
        <v>751</v>
      </c>
      <c r="J140" s="1055"/>
      <c r="K140" s="1055"/>
      <c r="L140" s="1055"/>
      <c r="M140" s="1055"/>
      <c r="N140" s="1055"/>
      <c r="O140" s="1055" t="s">
        <v>752</v>
      </c>
      <c r="P140" s="1055"/>
      <c r="Q140" s="1055"/>
      <c r="R140" s="1055"/>
      <c r="S140" s="1055"/>
      <c r="T140" s="1055"/>
      <c r="U140" s="1055" t="s">
        <v>753</v>
      </c>
      <c r="V140" s="1055"/>
      <c r="W140" s="1055"/>
      <c r="X140" s="1055"/>
      <c r="Y140" s="1055"/>
      <c r="Z140" s="1056"/>
      <c r="AA140" s="1057" t="s">
        <v>754</v>
      </c>
      <c r="AB140" s="1055"/>
      <c r="AC140" s="1055"/>
      <c r="AD140" s="1055"/>
      <c r="AE140" s="1055"/>
      <c r="AF140" s="1055"/>
      <c r="AG140" s="1055" t="s">
        <v>751</v>
      </c>
      <c r="AH140" s="1055"/>
      <c r="AI140" s="1055"/>
      <c r="AJ140" s="1055"/>
      <c r="AK140" s="1055"/>
      <c r="AL140" s="1055"/>
      <c r="AM140" s="1055" t="s">
        <v>752</v>
      </c>
      <c r="AN140" s="1055"/>
      <c r="AO140" s="1055"/>
      <c r="AP140" s="1055"/>
      <c r="AQ140" s="1055"/>
      <c r="AR140" s="1055"/>
      <c r="AS140" s="1055" t="s">
        <v>753</v>
      </c>
      <c r="AT140" s="1055"/>
      <c r="AU140" s="1055"/>
      <c r="AV140" s="1055"/>
      <c r="AW140" s="1055"/>
      <c r="AX140" s="1056"/>
      <c r="AY140" s="1057" t="s">
        <v>754</v>
      </c>
      <c r="AZ140" s="1055"/>
      <c r="BA140" s="1055"/>
      <c r="BB140" s="1055"/>
      <c r="BC140" s="1055"/>
      <c r="BD140" s="1055"/>
      <c r="BE140" s="1055" t="s">
        <v>751</v>
      </c>
      <c r="BF140" s="1055"/>
      <c r="BG140" s="1055"/>
      <c r="BH140" s="1055"/>
      <c r="BI140" s="1055"/>
      <c r="BJ140" s="1055"/>
      <c r="BK140" s="1055" t="s">
        <v>752</v>
      </c>
      <c r="BL140" s="1055"/>
      <c r="BM140" s="1055"/>
      <c r="BN140" s="1055"/>
      <c r="BO140" s="1055"/>
      <c r="BP140" s="1055"/>
      <c r="BQ140" s="1055" t="s">
        <v>753</v>
      </c>
      <c r="BR140" s="1055"/>
      <c r="BS140" s="1055"/>
      <c r="BT140" s="1055"/>
      <c r="BU140" s="1055"/>
      <c r="BV140" s="1056"/>
      <c r="BW140" s="1057" t="s">
        <v>750</v>
      </c>
      <c r="BX140" s="1055"/>
      <c r="BY140" s="1055"/>
      <c r="BZ140" s="1055"/>
      <c r="CA140" s="1055"/>
      <c r="CB140" s="1055"/>
      <c r="CC140" s="1055" t="s">
        <v>751</v>
      </c>
      <c r="CD140" s="1055"/>
      <c r="CE140" s="1055"/>
      <c r="CF140" s="1055"/>
      <c r="CG140" s="1055"/>
      <c r="CH140" s="1055"/>
      <c r="CI140" s="1055" t="s">
        <v>752</v>
      </c>
      <c r="CJ140" s="1055"/>
      <c r="CK140" s="1055"/>
      <c r="CL140" s="1055"/>
      <c r="CM140" s="1055"/>
      <c r="CN140" s="1055"/>
      <c r="CO140" s="1055" t="s">
        <v>753</v>
      </c>
      <c r="CP140" s="1055"/>
      <c r="CQ140" s="1055"/>
      <c r="CR140" s="1055"/>
      <c r="CS140" s="1055"/>
      <c r="CT140" s="1056"/>
      <c r="CU140" s="1057" t="s">
        <v>754</v>
      </c>
      <c r="CV140" s="1055"/>
      <c r="CW140" s="1055"/>
      <c r="CX140" s="1055"/>
      <c r="CY140" s="1055"/>
      <c r="CZ140" s="1055"/>
      <c r="DA140" s="1055" t="s">
        <v>751</v>
      </c>
      <c r="DB140" s="1055"/>
      <c r="DC140" s="1055"/>
      <c r="DD140" s="1055"/>
      <c r="DE140" s="1055"/>
      <c r="DF140" s="1055"/>
      <c r="DG140" s="1055" t="s">
        <v>752</v>
      </c>
      <c r="DH140" s="1055"/>
      <c r="DI140" s="1055"/>
      <c r="DJ140" s="1055"/>
      <c r="DK140" s="1055"/>
      <c r="DL140" s="1055"/>
      <c r="DM140" s="1055" t="s">
        <v>753</v>
      </c>
      <c r="DN140" s="1055"/>
      <c r="DO140" s="1055"/>
      <c r="DP140" s="1055"/>
      <c r="DQ140" s="1055"/>
      <c r="DR140" s="1056"/>
      <c r="DS140" s="1057" t="s">
        <v>754</v>
      </c>
      <c r="DT140" s="1055"/>
      <c r="DU140" s="1055"/>
      <c r="DV140" s="1055"/>
      <c r="DW140" s="1055"/>
      <c r="DX140" s="1055"/>
      <c r="DY140" s="1055" t="s">
        <v>751</v>
      </c>
      <c r="DZ140" s="1055"/>
      <c r="EA140" s="1055"/>
      <c r="EB140" s="1055"/>
      <c r="EC140" s="1055"/>
      <c r="ED140" s="1055"/>
      <c r="EE140" s="1055" t="s">
        <v>752</v>
      </c>
      <c r="EF140" s="1055"/>
      <c r="EG140" s="1055"/>
      <c r="EH140" s="1055"/>
      <c r="EI140" s="1055"/>
      <c r="EJ140" s="1055"/>
      <c r="EK140" s="1055" t="s">
        <v>753</v>
      </c>
      <c r="EL140" s="1055"/>
      <c r="EM140" s="1055"/>
      <c r="EN140" s="1055"/>
      <c r="EO140" s="1055"/>
      <c r="EP140" s="1056"/>
    </row>
    <row r="141" spans="1:146" ht="24.75" customHeight="1" thickBot="1" x14ac:dyDescent="0.2">
      <c r="A141" s="1060"/>
      <c r="B141" s="1061"/>
      <c r="C141" s="1049" t="s">
        <v>755</v>
      </c>
      <c r="D141" s="1047"/>
      <c r="E141" s="1047"/>
      <c r="F141" s="1047"/>
      <c r="G141" s="1047"/>
      <c r="H141" s="1047"/>
      <c r="I141" s="1047" t="s">
        <v>755</v>
      </c>
      <c r="J141" s="1047"/>
      <c r="K141" s="1047"/>
      <c r="L141" s="1047"/>
      <c r="M141" s="1047"/>
      <c r="N141" s="1047"/>
      <c r="O141" s="1047" t="s">
        <v>755</v>
      </c>
      <c r="P141" s="1047"/>
      <c r="Q141" s="1047"/>
      <c r="R141" s="1047"/>
      <c r="S141" s="1047"/>
      <c r="T141" s="1047"/>
      <c r="U141" s="1047" t="s">
        <v>755</v>
      </c>
      <c r="V141" s="1047"/>
      <c r="W141" s="1047"/>
      <c r="X141" s="1047"/>
      <c r="Y141" s="1047"/>
      <c r="Z141" s="1048"/>
      <c r="AA141" s="1049" t="s">
        <v>755</v>
      </c>
      <c r="AB141" s="1047"/>
      <c r="AC141" s="1047"/>
      <c r="AD141" s="1047"/>
      <c r="AE141" s="1047"/>
      <c r="AF141" s="1047"/>
      <c r="AG141" s="1047" t="s">
        <v>755</v>
      </c>
      <c r="AH141" s="1047"/>
      <c r="AI141" s="1047"/>
      <c r="AJ141" s="1047"/>
      <c r="AK141" s="1047"/>
      <c r="AL141" s="1047"/>
      <c r="AM141" s="1047" t="s">
        <v>755</v>
      </c>
      <c r="AN141" s="1047"/>
      <c r="AO141" s="1047"/>
      <c r="AP141" s="1047"/>
      <c r="AQ141" s="1047"/>
      <c r="AR141" s="1047"/>
      <c r="AS141" s="1047" t="s">
        <v>755</v>
      </c>
      <c r="AT141" s="1047"/>
      <c r="AU141" s="1047"/>
      <c r="AV141" s="1047"/>
      <c r="AW141" s="1047"/>
      <c r="AX141" s="1048"/>
      <c r="AY141" s="1049" t="s">
        <v>755</v>
      </c>
      <c r="AZ141" s="1047"/>
      <c r="BA141" s="1047"/>
      <c r="BB141" s="1047"/>
      <c r="BC141" s="1047"/>
      <c r="BD141" s="1047"/>
      <c r="BE141" s="1047" t="s">
        <v>755</v>
      </c>
      <c r="BF141" s="1047"/>
      <c r="BG141" s="1047"/>
      <c r="BH141" s="1047"/>
      <c r="BI141" s="1047"/>
      <c r="BJ141" s="1047"/>
      <c r="BK141" s="1047" t="s">
        <v>755</v>
      </c>
      <c r="BL141" s="1047"/>
      <c r="BM141" s="1047"/>
      <c r="BN141" s="1047"/>
      <c r="BO141" s="1047"/>
      <c r="BP141" s="1047"/>
      <c r="BQ141" s="1047" t="s">
        <v>755</v>
      </c>
      <c r="BR141" s="1047"/>
      <c r="BS141" s="1047"/>
      <c r="BT141" s="1047"/>
      <c r="BU141" s="1047"/>
      <c r="BV141" s="1048"/>
      <c r="BW141" s="1049" t="s">
        <v>755</v>
      </c>
      <c r="BX141" s="1047"/>
      <c r="BY141" s="1047"/>
      <c r="BZ141" s="1047"/>
      <c r="CA141" s="1047"/>
      <c r="CB141" s="1047"/>
      <c r="CC141" s="1047" t="s">
        <v>755</v>
      </c>
      <c r="CD141" s="1047"/>
      <c r="CE141" s="1047"/>
      <c r="CF141" s="1047"/>
      <c r="CG141" s="1047"/>
      <c r="CH141" s="1047"/>
      <c r="CI141" s="1047" t="s">
        <v>755</v>
      </c>
      <c r="CJ141" s="1047"/>
      <c r="CK141" s="1047"/>
      <c r="CL141" s="1047"/>
      <c r="CM141" s="1047"/>
      <c r="CN141" s="1047"/>
      <c r="CO141" s="1047" t="s">
        <v>755</v>
      </c>
      <c r="CP141" s="1047"/>
      <c r="CQ141" s="1047"/>
      <c r="CR141" s="1047"/>
      <c r="CS141" s="1047"/>
      <c r="CT141" s="1048"/>
      <c r="CU141" s="1049" t="s">
        <v>755</v>
      </c>
      <c r="CV141" s="1047"/>
      <c r="CW141" s="1047"/>
      <c r="CX141" s="1047"/>
      <c r="CY141" s="1047"/>
      <c r="CZ141" s="1047"/>
      <c r="DA141" s="1047" t="s">
        <v>755</v>
      </c>
      <c r="DB141" s="1047"/>
      <c r="DC141" s="1047"/>
      <c r="DD141" s="1047"/>
      <c r="DE141" s="1047"/>
      <c r="DF141" s="1047"/>
      <c r="DG141" s="1047" t="s">
        <v>755</v>
      </c>
      <c r="DH141" s="1047"/>
      <c r="DI141" s="1047"/>
      <c r="DJ141" s="1047"/>
      <c r="DK141" s="1047"/>
      <c r="DL141" s="1047"/>
      <c r="DM141" s="1047" t="s">
        <v>755</v>
      </c>
      <c r="DN141" s="1047"/>
      <c r="DO141" s="1047"/>
      <c r="DP141" s="1047"/>
      <c r="DQ141" s="1047"/>
      <c r="DR141" s="1048"/>
      <c r="DS141" s="1049" t="s">
        <v>755</v>
      </c>
      <c r="DT141" s="1047"/>
      <c r="DU141" s="1047"/>
      <c r="DV141" s="1047"/>
      <c r="DW141" s="1047"/>
      <c r="DX141" s="1047"/>
      <c r="DY141" s="1047" t="s">
        <v>755</v>
      </c>
      <c r="DZ141" s="1047"/>
      <c r="EA141" s="1047"/>
      <c r="EB141" s="1047"/>
      <c r="EC141" s="1047"/>
      <c r="ED141" s="1047"/>
      <c r="EE141" s="1047" t="s">
        <v>755</v>
      </c>
      <c r="EF141" s="1047"/>
      <c r="EG141" s="1047"/>
      <c r="EH141" s="1047"/>
      <c r="EI141" s="1047"/>
      <c r="EJ141" s="1047"/>
      <c r="EK141" s="1047" t="s">
        <v>755</v>
      </c>
      <c r="EL141" s="1047"/>
      <c r="EM141" s="1047"/>
      <c r="EN141" s="1047"/>
      <c r="EO141" s="1047"/>
      <c r="EP141" s="1048"/>
    </row>
    <row r="142" spans="1:146" ht="33.75" customHeight="1" thickBot="1" x14ac:dyDescent="0.2">
      <c r="A142" s="624" t="s">
        <v>723</v>
      </c>
      <c r="B142" s="385" t="s">
        <v>647</v>
      </c>
      <c r="C142" s="489"/>
      <c r="D142" s="490"/>
      <c r="E142" s="490"/>
      <c r="F142" s="490"/>
      <c r="G142" s="490"/>
      <c r="H142" s="490"/>
      <c r="I142" s="490"/>
      <c r="J142" s="490"/>
      <c r="K142" s="490"/>
      <c r="L142" s="490"/>
      <c r="M142" s="490"/>
      <c r="N142" s="490"/>
      <c r="O142" s="490"/>
      <c r="P142" s="490"/>
      <c r="Q142" s="490"/>
      <c r="R142" s="490"/>
      <c r="S142" s="490"/>
      <c r="T142" s="490"/>
      <c r="U142" s="490"/>
      <c r="V142" s="490"/>
      <c r="W142" s="490"/>
      <c r="X142" s="490"/>
      <c r="Y142" s="490"/>
      <c r="Z142" s="516"/>
      <c r="AA142" s="489"/>
      <c r="AB142" s="490"/>
      <c r="AC142" s="490"/>
      <c r="AD142" s="490"/>
      <c r="AE142" s="490"/>
      <c r="AF142" s="490"/>
      <c r="AG142" s="490"/>
      <c r="AH142" s="490"/>
      <c r="AI142" s="490"/>
      <c r="AJ142" s="490"/>
      <c r="AK142" s="490"/>
      <c r="AL142" s="490"/>
      <c r="AM142" s="490"/>
      <c r="AN142" s="490"/>
      <c r="AO142" s="490"/>
      <c r="AP142" s="490"/>
      <c r="AQ142" s="490"/>
      <c r="AR142" s="490"/>
      <c r="AS142" s="490"/>
      <c r="AT142" s="490"/>
      <c r="AU142" s="490"/>
      <c r="AV142" s="490"/>
      <c r="AW142" s="490"/>
      <c r="AX142" s="516"/>
      <c r="AY142" s="517"/>
      <c r="AZ142" s="490"/>
      <c r="BA142" s="490"/>
      <c r="BB142" s="490"/>
      <c r="BC142" s="490"/>
      <c r="BD142" s="490"/>
      <c r="BE142" s="490"/>
      <c r="BF142" s="490"/>
      <c r="BG142" s="490"/>
      <c r="BH142" s="490"/>
      <c r="BI142" s="490"/>
      <c r="BJ142" s="490"/>
      <c r="BK142" s="490"/>
      <c r="BL142" s="490"/>
      <c r="BM142" s="490"/>
      <c r="BN142" s="490"/>
      <c r="BO142" s="490"/>
      <c r="BP142" s="490"/>
      <c r="BQ142" s="490"/>
      <c r="BR142" s="490"/>
      <c r="BS142" s="490"/>
      <c r="BT142" s="490"/>
      <c r="BU142" s="490"/>
      <c r="BV142" s="507"/>
      <c r="BW142" s="489"/>
      <c r="BX142" s="490"/>
      <c r="BY142" s="490"/>
      <c r="BZ142" s="490"/>
      <c r="CA142" s="490"/>
      <c r="CB142" s="490"/>
      <c r="CC142" s="490"/>
      <c r="CD142" s="490"/>
      <c r="CE142" s="490"/>
      <c r="CF142" s="490"/>
      <c r="CG142" s="490"/>
      <c r="CH142" s="490"/>
      <c r="CI142" s="490"/>
      <c r="CJ142" s="490"/>
      <c r="CK142" s="490"/>
      <c r="CL142" s="490"/>
      <c r="CM142" s="490"/>
      <c r="CN142" s="490"/>
      <c r="CO142" s="490"/>
      <c r="CP142" s="490"/>
      <c r="CQ142" s="490"/>
      <c r="CR142" s="490"/>
      <c r="CS142" s="490"/>
      <c r="CT142" s="516"/>
      <c r="CU142" s="502"/>
      <c r="CV142" s="503"/>
      <c r="CW142" s="503"/>
      <c r="CX142" s="503"/>
      <c r="CY142" s="503"/>
      <c r="CZ142" s="503"/>
      <c r="DA142" s="503"/>
      <c r="DB142" s="503"/>
      <c r="DC142" s="503"/>
      <c r="DD142" s="503"/>
      <c r="DE142" s="503"/>
      <c r="DF142" s="503"/>
      <c r="DG142" s="503"/>
      <c r="DH142" s="503"/>
      <c r="DI142" s="503"/>
      <c r="DJ142" s="503"/>
      <c r="DK142" s="503"/>
      <c r="DL142" s="503"/>
      <c r="DM142" s="503"/>
      <c r="DN142" s="503"/>
      <c r="DO142" s="503"/>
      <c r="DP142" s="503"/>
      <c r="DQ142" s="503"/>
      <c r="DR142" s="504"/>
      <c r="DS142" s="505"/>
      <c r="DT142" s="506"/>
      <c r="DU142" s="506"/>
      <c r="DV142" s="506"/>
      <c r="DW142" s="506"/>
      <c r="DX142" s="506"/>
      <c r="DY142" s="506"/>
      <c r="DZ142" s="506"/>
      <c r="EA142" s="506"/>
      <c r="EB142" s="506"/>
      <c r="EC142" s="506"/>
      <c r="ED142" s="506"/>
      <c r="EE142" s="490"/>
      <c r="EF142" s="490"/>
      <c r="EG142" s="490"/>
      <c r="EH142" s="490"/>
      <c r="EI142" s="490"/>
      <c r="EJ142" s="490"/>
      <c r="EK142" s="490"/>
      <c r="EL142" s="490"/>
      <c r="EM142" s="490"/>
      <c r="EN142" s="490"/>
      <c r="EO142" s="490"/>
      <c r="EP142" s="507"/>
    </row>
    <row r="143" spans="1:146" ht="23.25" customHeight="1" x14ac:dyDescent="0.15">
      <c r="A143" s="624" t="s">
        <v>724</v>
      </c>
      <c r="B143" s="385" t="s">
        <v>649</v>
      </c>
      <c r="C143" s="525"/>
      <c r="D143" s="526"/>
      <c r="E143" s="526"/>
      <c r="F143" s="526"/>
      <c r="G143" s="526"/>
      <c r="H143" s="526"/>
      <c r="I143" s="526"/>
      <c r="J143" s="526"/>
      <c r="K143" s="526"/>
      <c r="L143" s="526"/>
      <c r="M143" s="526"/>
      <c r="N143" s="526"/>
      <c r="O143" s="526"/>
      <c r="P143" s="526"/>
      <c r="Q143" s="526"/>
      <c r="R143" s="526"/>
      <c r="S143" s="526"/>
      <c r="T143" s="526"/>
      <c r="U143" s="526"/>
      <c r="V143" s="526"/>
      <c r="W143" s="526"/>
      <c r="X143" s="526"/>
      <c r="Y143" s="526"/>
      <c r="Z143" s="527"/>
      <c r="AA143" s="525"/>
      <c r="AB143" s="526"/>
      <c r="AC143" s="526"/>
      <c r="AD143" s="526"/>
      <c r="AE143" s="526"/>
      <c r="AF143" s="526"/>
      <c r="AG143" s="526"/>
      <c r="AH143" s="526"/>
      <c r="AI143" s="526"/>
      <c r="AJ143" s="526"/>
      <c r="AK143" s="526"/>
      <c r="AL143" s="526"/>
      <c r="AM143" s="526"/>
      <c r="AN143" s="526"/>
      <c r="AO143" s="526"/>
      <c r="AP143" s="526"/>
      <c r="AQ143" s="526"/>
      <c r="AR143" s="526"/>
      <c r="AS143" s="526"/>
      <c r="AT143" s="526"/>
      <c r="AU143" s="526"/>
      <c r="AV143" s="526"/>
      <c r="AW143" s="526"/>
      <c r="AX143" s="527"/>
      <c r="AY143" s="525"/>
      <c r="AZ143" s="526"/>
      <c r="BA143" s="526"/>
      <c r="BB143" s="526"/>
      <c r="BC143" s="526"/>
      <c r="BD143" s="526"/>
      <c r="BE143" s="526"/>
      <c r="BF143" s="526"/>
      <c r="BG143" s="526"/>
      <c r="BH143" s="526"/>
      <c r="BI143" s="526"/>
      <c r="BJ143" s="526"/>
      <c r="BK143" s="526"/>
      <c r="BL143" s="526"/>
      <c r="BM143" s="526"/>
      <c r="BN143" s="526"/>
      <c r="BO143" s="526"/>
      <c r="BP143" s="526"/>
      <c r="BQ143" s="526"/>
      <c r="BR143" s="526"/>
      <c r="BS143" s="526"/>
      <c r="BT143" s="526"/>
      <c r="BU143" s="526"/>
      <c r="BV143" s="535"/>
      <c r="BW143" s="525"/>
      <c r="BX143" s="526"/>
      <c r="BY143" s="526"/>
      <c r="BZ143" s="526"/>
      <c r="CA143" s="526"/>
      <c r="CB143" s="526"/>
      <c r="CC143" s="526"/>
      <c r="CD143" s="526"/>
      <c r="CE143" s="526"/>
      <c r="CF143" s="526"/>
      <c r="CG143" s="526"/>
      <c r="CH143" s="526"/>
      <c r="CI143" s="526"/>
      <c r="CJ143" s="526"/>
      <c r="CK143" s="526"/>
      <c r="CL143" s="526"/>
      <c r="CM143" s="526"/>
      <c r="CN143" s="526"/>
      <c r="CO143" s="526"/>
      <c r="CP143" s="526"/>
      <c r="CQ143" s="526"/>
      <c r="CR143" s="526"/>
      <c r="CS143" s="526"/>
      <c r="CT143" s="527"/>
      <c r="CU143" s="525"/>
      <c r="CV143" s="526"/>
      <c r="CW143" s="526"/>
      <c r="CX143" s="526"/>
      <c r="CY143" s="526"/>
      <c r="CZ143" s="526"/>
      <c r="DA143" s="526"/>
      <c r="DB143" s="526"/>
      <c r="DC143" s="526"/>
      <c r="DD143" s="526"/>
      <c r="DE143" s="526"/>
      <c r="DF143" s="526"/>
      <c r="DG143" s="526"/>
      <c r="DH143" s="526"/>
      <c r="DI143" s="526"/>
      <c r="DJ143" s="526"/>
      <c r="DK143" s="526"/>
      <c r="DL143" s="526"/>
      <c r="DM143" s="526"/>
      <c r="DN143" s="526"/>
      <c r="DO143" s="526"/>
      <c r="DP143" s="526"/>
      <c r="DQ143" s="526"/>
      <c r="DR143" s="527"/>
      <c r="DS143" s="525"/>
      <c r="DT143" s="526"/>
      <c r="DU143" s="526"/>
      <c r="DV143" s="526"/>
      <c r="DW143" s="526"/>
      <c r="DX143" s="526"/>
      <c r="DY143" s="526"/>
      <c r="DZ143" s="526"/>
      <c r="EA143" s="526"/>
      <c r="EB143" s="526"/>
      <c r="EC143" s="526"/>
      <c r="ED143" s="526"/>
      <c r="EE143" s="537"/>
      <c r="EF143" s="537"/>
      <c r="EG143" s="537"/>
      <c r="EH143" s="537"/>
      <c r="EI143" s="537"/>
      <c r="EJ143" s="537"/>
      <c r="EK143" s="526"/>
      <c r="EL143" s="526"/>
      <c r="EM143" s="526"/>
      <c r="EN143" s="526"/>
      <c r="EO143" s="526"/>
      <c r="EP143" s="535"/>
    </row>
    <row r="144" spans="1:146" ht="23.25" customHeight="1" thickBot="1" x14ac:dyDescent="0.2">
      <c r="A144" s="624" t="s">
        <v>725</v>
      </c>
      <c r="B144" s="385" t="s">
        <v>651</v>
      </c>
      <c r="C144" s="508"/>
      <c r="D144" s="509"/>
      <c r="E144" s="509"/>
      <c r="F144" s="509"/>
      <c r="G144" s="509"/>
      <c r="H144" s="509"/>
      <c r="I144" s="509"/>
      <c r="J144" s="509"/>
      <c r="K144" s="509"/>
      <c r="L144" s="509"/>
      <c r="M144" s="509"/>
      <c r="N144" s="509"/>
      <c r="O144" s="509"/>
      <c r="P144" s="509"/>
      <c r="Q144" s="509"/>
      <c r="R144" s="509"/>
      <c r="S144" s="509"/>
      <c r="T144" s="509"/>
      <c r="U144" s="509"/>
      <c r="V144" s="509"/>
      <c r="W144" s="509"/>
      <c r="X144" s="509"/>
      <c r="Y144" s="509"/>
      <c r="Z144" s="515"/>
      <c r="AA144" s="508"/>
      <c r="AB144" s="509"/>
      <c r="AC144" s="509"/>
      <c r="AD144" s="509"/>
      <c r="AE144" s="509"/>
      <c r="AF144" s="509"/>
      <c r="AG144" s="509"/>
      <c r="AH144" s="509"/>
      <c r="AI144" s="509"/>
      <c r="AJ144" s="509"/>
      <c r="AK144" s="509"/>
      <c r="AL144" s="509"/>
      <c r="AM144" s="509"/>
      <c r="AN144" s="509"/>
      <c r="AO144" s="509"/>
      <c r="AP144" s="509"/>
      <c r="AQ144" s="509"/>
      <c r="AR144" s="509"/>
      <c r="AS144" s="509"/>
      <c r="AT144" s="509"/>
      <c r="AU144" s="509"/>
      <c r="AV144" s="509"/>
      <c r="AW144" s="509"/>
      <c r="AX144" s="515"/>
      <c r="AY144" s="508"/>
      <c r="AZ144" s="509"/>
      <c r="BA144" s="509"/>
      <c r="BB144" s="509"/>
      <c r="BC144" s="509"/>
      <c r="BD144" s="509"/>
      <c r="BE144" s="509"/>
      <c r="BF144" s="509"/>
      <c r="BG144" s="509"/>
      <c r="BH144" s="509"/>
      <c r="BI144" s="509"/>
      <c r="BJ144" s="509"/>
      <c r="BK144" s="509"/>
      <c r="BL144" s="509"/>
      <c r="BM144" s="509"/>
      <c r="BN144" s="509"/>
      <c r="BO144" s="509"/>
      <c r="BP144" s="509"/>
      <c r="BQ144" s="509"/>
      <c r="BR144" s="509"/>
      <c r="BS144" s="509"/>
      <c r="BT144" s="509"/>
      <c r="BU144" s="509"/>
      <c r="BV144" s="515"/>
      <c r="BW144" s="508"/>
      <c r="BX144" s="509"/>
      <c r="BY144" s="509"/>
      <c r="BZ144" s="509"/>
      <c r="CA144" s="509"/>
      <c r="CB144" s="509"/>
      <c r="CC144" s="509"/>
      <c r="CD144" s="509"/>
      <c r="CE144" s="509"/>
      <c r="CF144" s="509"/>
      <c r="CG144" s="509"/>
      <c r="CH144" s="509"/>
      <c r="CI144" s="509"/>
      <c r="CJ144" s="509"/>
      <c r="CK144" s="509"/>
      <c r="CL144" s="509"/>
      <c r="CM144" s="509"/>
      <c r="CN144" s="509"/>
      <c r="CO144" s="509"/>
      <c r="CP144" s="509"/>
      <c r="CQ144" s="509"/>
      <c r="CR144" s="509"/>
      <c r="CS144" s="509"/>
      <c r="CT144" s="515"/>
      <c r="CU144" s="508"/>
      <c r="CV144" s="509"/>
      <c r="CW144" s="509"/>
      <c r="CX144" s="509"/>
      <c r="CY144" s="509"/>
      <c r="CZ144" s="509"/>
      <c r="DA144" s="509"/>
      <c r="DB144" s="509"/>
      <c r="DC144" s="509"/>
      <c r="DD144" s="509"/>
      <c r="DE144" s="509"/>
      <c r="DF144" s="509"/>
      <c r="DG144" s="509"/>
      <c r="DH144" s="509"/>
      <c r="DI144" s="509"/>
      <c r="DJ144" s="509"/>
      <c r="DK144" s="509"/>
      <c r="DL144" s="509"/>
      <c r="DM144" s="509"/>
      <c r="DN144" s="509"/>
      <c r="DO144" s="509"/>
      <c r="DP144" s="509"/>
      <c r="DQ144" s="509"/>
      <c r="DR144" s="515"/>
      <c r="DS144" s="508"/>
      <c r="DT144" s="509"/>
      <c r="DU144" s="509"/>
      <c r="DV144" s="509"/>
      <c r="DW144" s="509"/>
      <c r="DX144" s="509"/>
      <c r="DY144" s="509"/>
      <c r="DZ144" s="509"/>
      <c r="EA144" s="509"/>
      <c r="EB144" s="509"/>
      <c r="EC144" s="509"/>
      <c r="ED144" s="509"/>
      <c r="EE144" s="538"/>
      <c r="EF144" s="538"/>
      <c r="EG144" s="538"/>
      <c r="EH144" s="538"/>
      <c r="EI144" s="538"/>
      <c r="EJ144" s="538"/>
      <c r="EK144" s="509"/>
      <c r="EL144" s="509"/>
      <c r="EM144" s="509"/>
      <c r="EN144" s="509"/>
      <c r="EO144" s="509"/>
      <c r="EP144" s="515"/>
    </row>
    <row r="145" spans="1:146" ht="14" thickBot="1" x14ac:dyDescent="0.2">
      <c r="A145" s="1083"/>
      <c r="B145" s="1084"/>
      <c r="C145" s="1084"/>
      <c r="D145" s="1084"/>
      <c r="E145" s="1084"/>
      <c r="F145" s="1084"/>
      <c r="G145" s="1084"/>
      <c r="H145" s="1084"/>
      <c r="I145" s="1084"/>
      <c r="J145" s="1084"/>
      <c r="K145" s="1084"/>
      <c r="L145" s="1084"/>
      <c r="M145" s="1084"/>
      <c r="N145" s="1084"/>
      <c r="O145" s="1084"/>
      <c r="P145" s="1084"/>
      <c r="Q145" s="1084"/>
      <c r="R145" s="1084"/>
      <c r="S145" s="1084"/>
      <c r="T145" s="1084"/>
      <c r="U145" s="1084"/>
      <c r="V145" s="1084"/>
      <c r="W145" s="1084"/>
      <c r="X145" s="1084"/>
      <c r="Y145" s="1084"/>
      <c r="Z145" s="1084"/>
      <c r="AA145" s="1084"/>
      <c r="AB145" s="1084"/>
      <c r="AC145" s="1084"/>
      <c r="AD145" s="1084"/>
      <c r="AE145" s="1084"/>
      <c r="AF145" s="1084"/>
      <c r="AG145" s="1084"/>
      <c r="AH145" s="1084"/>
      <c r="AI145" s="1084"/>
      <c r="AJ145" s="1084"/>
      <c r="AK145" s="1084"/>
      <c r="AL145" s="1084"/>
      <c r="AM145" s="1084"/>
      <c r="AN145" s="1084"/>
      <c r="AO145" s="1084"/>
      <c r="AP145" s="1084"/>
      <c r="AQ145" s="1084"/>
      <c r="AR145" s="1084"/>
      <c r="AS145" s="1084"/>
      <c r="AT145" s="1084"/>
      <c r="AU145" s="1084"/>
      <c r="AV145" s="1084"/>
      <c r="AW145" s="1084"/>
      <c r="AX145" s="1084"/>
      <c r="AY145" s="1084"/>
      <c r="AZ145" s="1084"/>
      <c r="BA145" s="1084"/>
      <c r="BB145" s="1084"/>
      <c r="BC145" s="1084"/>
      <c r="BD145" s="1084"/>
      <c r="BE145" s="1084"/>
      <c r="BF145" s="1084"/>
      <c r="BG145" s="1084"/>
      <c r="BH145" s="1084"/>
      <c r="BI145" s="1084"/>
      <c r="BJ145" s="1084"/>
      <c r="BK145" s="1084"/>
      <c r="BL145" s="1084"/>
      <c r="BM145" s="1084"/>
      <c r="BN145" s="1084"/>
      <c r="BO145" s="1084"/>
      <c r="BP145" s="1084"/>
      <c r="BQ145" s="1084"/>
      <c r="BR145" s="1084"/>
      <c r="BS145" s="1084"/>
      <c r="BT145" s="1084"/>
      <c r="BU145" s="1084"/>
      <c r="BV145" s="1084"/>
      <c r="BW145" s="1084"/>
      <c r="BX145" s="1084"/>
      <c r="BY145" s="1084"/>
      <c r="BZ145" s="1084"/>
      <c r="CA145" s="1084"/>
      <c r="CB145" s="1084"/>
      <c r="CC145" s="1084"/>
      <c r="CD145" s="1084"/>
      <c r="CE145" s="1084"/>
      <c r="CF145" s="1084"/>
      <c r="CG145" s="1084"/>
      <c r="CH145" s="1084"/>
      <c r="CI145" s="1084"/>
      <c r="CJ145" s="1084"/>
      <c r="CK145" s="1084"/>
      <c r="CL145" s="1084"/>
      <c r="CM145" s="1084"/>
      <c r="CN145" s="1084"/>
      <c r="CO145" s="1084"/>
      <c r="CP145" s="1084"/>
      <c r="CQ145" s="1084"/>
      <c r="CR145" s="1084"/>
      <c r="CS145" s="1084"/>
      <c r="CT145" s="1084"/>
      <c r="CU145" s="1084"/>
      <c r="CV145" s="1084"/>
      <c r="CW145" s="1084"/>
      <c r="CX145" s="1084"/>
      <c r="CY145" s="1084"/>
      <c r="CZ145" s="1084"/>
      <c r="DA145" s="1084"/>
      <c r="DB145" s="1084"/>
      <c r="DC145" s="1084"/>
      <c r="DD145" s="1084"/>
      <c r="DE145" s="1084"/>
      <c r="DF145" s="1084"/>
      <c r="DG145" s="1084"/>
      <c r="DH145" s="1084"/>
      <c r="DI145" s="1084"/>
      <c r="DJ145" s="1084"/>
      <c r="DK145" s="1084"/>
      <c r="DL145" s="1084"/>
      <c r="DM145" s="1084"/>
      <c r="DN145" s="1084"/>
      <c r="DO145" s="1084"/>
      <c r="DP145" s="1084"/>
      <c r="DQ145" s="1084"/>
      <c r="DR145" s="1084"/>
      <c r="DS145" s="1084"/>
      <c r="DT145" s="1084"/>
      <c r="DU145" s="1084"/>
      <c r="DV145" s="1084"/>
      <c r="DW145" s="1084"/>
      <c r="DX145" s="1084"/>
      <c r="DY145" s="1084"/>
      <c r="DZ145" s="1084"/>
      <c r="EA145" s="1084"/>
      <c r="EB145" s="1084"/>
      <c r="EC145" s="1084"/>
      <c r="ED145" s="1084"/>
      <c r="EE145" s="1084"/>
      <c r="EF145" s="1084"/>
      <c r="EG145" s="1084"/>
      <c r="EH145" s="1084"/>
      <c r="EI145" s="1084"/>
      <c r="EJ145" s="1084"/>
      <c r="EK145" s="1084"/>
      <c r="EL145" s="1084"/>
      <c r="EM145" s="1084"/>
      <c r="EN145" s="1084"/>
      <c r="EO145" s="1084"/>
      <c r="EP145" s="1085"/>
    </row>
    <row r="146" spans="1:146" ht="14" thickBot="1" x14ac:dyDescent="0.2">
      <c r="B146" s="539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  <c r="AC146" s="76"/>
      <c r="AD146" s="76"/>
      <c r="AE146" s="76"/>
      <c r="AF146" s="76"/>
      <c r="AG146" s="76"/>
      <c r="AH146" s="76"/>
      <c r="AI146" s="76"/>
      <c r="AJ146" s="76"/>
      <c r="AK146" s="76"/>
      <c r="AL146" s="76"/>
      <c r="AM146" s="76"/>
      <c r="AN146" s="76"/>
      <c r="AO146" s="76"/>
      <c r="AP146" s="76"/>
      <c r="AQ146" s="76"/>
      <c r="AR146" s="76"/>
      <c r="AS146" s="76"/>
      <c r="AT146" s="76"/>
      <c r="AU146" s="76"/>
      <c r="AV146" s="76"/>
      <c r="AW146" s="76"/>
      <c r="AX146" s="76"/>
      <c r="AY146" s="76"/>
      <c r="AZ146" s="76"/>
      <c r="BA146" s="76"/>
      <c r="BB146" s="76"/>
      <c r="BC146" s="76"/>
      <c r="BD146" s="76"/>
      <c r="BE146" s="76"/>
      <c r="BF146" s="76"/>
      <c r="BG146" s="76"/>
      <c r="BH146" s="76"/>
      <c r="BI146" s="76"/>
      <c r="BJ146" s="76"/>
      <c r="BK146" s="76"/>
      <c r="BL146" s="76"/>
      <c r="BM146" s="76"/>
      <c r="BN146" s="76"/>
      <c r="BO146" s="76"/>
      <c r="BP146" s="76"/>
      <c r="BQ146" s="76"/>
      <c r="BR146" s="76"/>
      <c r="BS146" s="76"/>
      <c r="BT146" s="76"/>
      <c r="BU146" s="76"/>
      <c r="BV146" s="76"/>
      <c r="BW146" s="76"/>
      <c r="BX146" s="76"/>
      <c r="BY146" s="76"/>
      <c r="BZ146" s="76"/>
      <c r="CA146" s="76"/>
      <c r="CB146" s="76"/>
      <c r="CC146" s="76"/>
      <c r="CD146" s="76"/>
      <c r="CE146" s="76"/>
      <c r="CF146" s="76"/>
      <c r="CG146" s="76"/>
      <c r="CH146" s="76"/>
      <c r="CI146" s="76"/>
      <c r="CJ146" s="76"/>
      <c r="CK146" s="76"/>
      <c r="CL146" s="76"/>
      <c r="CM146" s="76"/>
      <c r="CN146" s="76"/>
      <c r="CO146" s="76"/>
      <c r="CP146" s="76"/>
      <c r="CQ146" s="76"/>
      <c r="CR146" s="76"/>
      <c r="CS146" s="76"/>
      <c r="CT146" s="76"/>
      <c r="CU146" s="76"/>
      <c r="CV146" s="76"/>
      <c r="CW146" s="76"/>
      <c r="CX146" s="76"/>
      <c r="CY146" s="76"/>
      <c r="CZ146" s="76"/>
      <c r="DA146" s="76"/>
      <c r="DB146" s="76"/>
      <c r="DC146" s="76"/>
      <c r="DD146" s="76"/>
      <c r="DE146" s="76"/>
      <c r="DF146" s="76"/>
      <c r="DG146" s="76"/>
      <c r="DH146" s="76"/>
      <c r="DI146" s="76"/>
      <c r="DJ146" s="76"/>
      <c r="DK146" s="76"/>
      <c r="DL146" s="76"/>
      <c r="DM146" s="76"/>
      <c r="DN146" s="76"/>
      <c r="DO146" s="76"/>
      <c r="DP146" s="76"/>
      <c r="DQ146" s="76"/>
      <c r="DR146" s="76"/>
      <c r="DS146" s="76"/>
      <c r="DT146" s="76"/>
      <c r="DU146" s="76"/>
      <c r="DV146" s="76"/>
      <c r="DW146" s="76"/>
      <c r="DX146" s="76"/>
      <c r="DY146" s="76"/>
      <c r="DZ146" s="76"/>
      <c r="EA146" s="76"/>
      <c r="EB146" s="76"/>
      <c r="EC146" s="76"/>
      <c r="ED146" s="76"/>
      <c r="EE146" s="76"/>
      <c r="EF146" s="76"/>
      <c r="EG146" s="76"/>
      <c r="EH146" s="76"/>
      <c r="EI146" s="76"/>
      <c r="EJ146" s="76"/>
      <c r="EK146" s="76"/>
      <c r="EL146" s="76"/>
      <c r="EM146" s="76"/>
      <c r="EN146" s="76"/>
      <c r="EO146" s="76"/>
      <c r="EP146" s="76"/>
    </row>
    <row r="147" spans="1:146" ht="14" thickBot="1" x14ac:dyDescent="0.2">
      <c r="B147" s="539"/>
      <c r="C147" s="1052" t="s">
        <v>744</v>
      </c>
      <c r="D147" s="1053"/>
      <c r="E147" s="1053"/>
      <c r="F147" s="1053"/>
      <c r="G147" s="1053"/>
      <c r="H147" s="1053"/>
      <c r="I147" s="1053"/>
      <c r="J147" s="1053"/>
      <c r="K147" s="1053"/>
      <c r="L147" s="1053"/>
      <c r="M147" s="1053"/>
      <c r="N147" s="1053"/>
      <c r="O147" s="1053"/>
      <c r="P147" s="1053"/>
      <c r="Q147" s="1053"/>
      <c r="R147" s="1053"/>
      <c r="S147" s="1053"/>
      <c r="T147" s="1053"/>
      <c r="U147" s="1053"/>
      <c r="V147" s="1053"/>
      <c r="W147" s="1053"/>
      <c r="X147" s="1053"/>
      <c r="Y147" s="1053"/>
      <c r="Z147" s="1054"/>
      <c r="AA147" s="1052" t="s">
        <v>745</v>
      </c>
      <c r="AB147" s="1053"/>
      <c r="AC147" s="1053"/>
      <c r="AD147" s="1053"/>
      <c r="AE147" s="1053"/>
      <c r="AF147" s="1053"/>
      <c r="AG147" s="1053"/>
      <c r="AH147" s="1053"/>
      <c r="AI147" s="1053"/>
      <c r="AJ147" s="1053"/>
      <c r="AK147" s="1053"/>
      <c r="AL147" s="1053"/>
      <c r="AM147" s="1053"/>
      <c r="AN147" s="1053"/>
      <c r="AO147" s="1053"/>
      <c r="AP147" s="1053"/>
      <c r="AQ147" s="1053"/>
      <c r="AR147" s="1053"/>
      <c r="AS147" s="1053"/>
      <c r="AT147" s="1053"/>
      <c r="AU147" s="1053"/>
      <c r="AV147" s="1053"/>
      <c r="AW147" s="1053"/>
      <c r="AX147" s="1054"/>
      <c r="AY147" s="1052" t="s">
        <v>746</v>
      </c>
      <c r="AZ147" s="1053"/>
      <c r="BA147" s="1053"/>
      <c r="BB147" s="1053"/>
      <c r="BC147" s="1053"/>
      <c r="BD147" s="1053"/>
      <c r="BE147" s="1053"/>
      <c r="BF147" s="1053"/>
      <c r="BG147" s="1053"/>
      <c r="BH147" s="1053"/>
      <c r="BI147" s="1053"/>
      <c r="BJ147" s="1053"/>
      <c r="BK147" s="1053"/>
      <c r="BL147" s="1053"/>
      <c r="BM147" s="1053"/>
      <c r="BN147" s="1053"/>
      <c r="BO147" s="1053"/>
      <c r="BP147" s="1053"/>
      <c r="BQ147" s="1053"/>
      <c r="BR147" s="1053"/>
      <c r="BS147" s="1053"/>
      <c r="BT147" s="1053"/>
      <c r="BU147" s="1053"/>
      <c r="BV147" s="1054"/>
      <c r="BW147" s="1052" t="s">
        <v>747</v>
      </c>
      <c r="BX147" s="1053"/>
      <c r="BY147" s="1053"/>
      <c r="BZ147" s="1053"/>
      <c r="CA147" s="1053"/>
      <c r="CB147" s="1053"/>
      <c r="CC147" s="1053"/>
      <c r="CD147" s="1053"/>
      <c r="CE147" s="1053"/>
      <c r="CF147" s="1053"/>
      <c r="CG147" s="1053"/>
      <c r="CH147" s="1053"/>
      <c r="CI147" s="1053"/>
      <c r="CJ147" s="1053"/>
      <c r="CK147" s="1053"/>
      <c r="CL147" s="1053"/>
      <c r="CM147" s="1053"/>
      <c r="CN147" s="1053"/>
      <c r="CO147" s="1053"/>
      <c r="CP147" s="1053"/>
      <c r="CQ147" s="1053"/>
      <c r="CR147" s="1053"/>
      <c r="CS147" s="1053"/>
      <c r="CT147" s="1054"/>
      <c r="CU147" s="1052" t="s">
        <v>748</v>
      </c>
      <c r="CV147" s="1053"/>
      <c r="CW147" s="1053"/>
      <c r="CX147" s="1053"/>
      <c r="CY147" s="1053"/>
      <c r="CZ147" s="1053"/>
      <c r="DA147" s="1053"/>
      <c r="DB147" s="1053"/>
      <c r="DC147" s="1053"/>
      <c r="DD147" s="1053"/>
      <c r="DE147" s="1053"/>
      <c r="DF147" s="1053"/>
      <c r="DG147" s="1053"/>
      <c r="DH147" s="1053"/>
      <c r="DI147" s="1053"/>
      <c r="DJ147" s="1053"/>
      <c r="DK147" s="1053"/>
      <c r="DL147" s="1053"/>
      <c r="DM147" s="1053"/>
      <c r="DN147" s="1053"/>
      <c r="DO147" s="1053"/>
      <c r="DP147" s="1053"/>
      <c r="DQ147" s="1053"/>
      <c r="DR147" s="1054"/>
      <c r="DS147" s="1052" t="s">
        <v>749</v>
      </c>
      <c r="DT147" s="1053"/>
      <c r="DU147" s="1053"/>
      <c r="DV147" s="1053"/>
      <c r="DW147" s="1053"/>
      <c r="DX147" s="1053"/>
      <c r="DY147" s="1053"/>
      <c r="DZ147" s="1053"/>
      <c r="EA147" s="1053"/>
      <c r="EB147" s="1053"/>
      <c r="EC147" s="1053"/>
      <c r="ED147" s="1053"/>
      <c r="EE147" s="1053"/>
      <c r="EF147" s="1053"/>
      <c r="EG147" s="1053"/>
      <c r="EH147" s="1053"/>
      <c r="EI147" s="1053"/>
      <c r="EJ147" s="1053"/>
      <c r="EK147" s="1053"/>
      <c r="EL147" s="1053"/>
      <c r="EM147" s="1053"/>
      <c r="EN147" s="1053"/>
      <c r="EO147" s="1053"/>
      <c r="EP147" s="1054"/>
    </row>
    <row r="148" spans="1:146" ht="18" customHeight="1" x14ac:dyDescent="0.15">
      <c r="A148" s="540"/>
      <c r="B148" s="541" t="s">
        <v>756</v>
      </c>
      <c r="C148" s="542"/>
      <c r="D148" s="491"/>
      <c r="E148" s="491"/>
      <c r="F148" s="491"/>
      <c r="G148" s="491"/>
      <c r="H148" s="491"/>
      <c r="I148" s="491"/>
      <c r="J148" s="491"/>
      <c r="K148" s="491"/>
      <c r="L148" s="491"/>
      <c r="M148" s="491"/>
      <c r="N148" s="491"/>
      <c r="O148" s="491"/>
      <c r="P148" s="491"/>
      <c r="Q148" s="491"/>
      <c r="R148" s="491"/>
      <c r="S148" s="491"/>
      <c r="T148" s="491"/>
      <c r="U148" s="491"/>
      <c r="V148" s="491"/>
      <c r="W148" s="491"/>
      <c r="X148" s="491"/>
      <c r="Y148" s="491"/>
      <c r="Z148" s="543"/>
      <c r="AA148" s="493"/>
      <c r="AB148" s="494"/>
      <c r="AC148" s="494"/>
      <c r="AD148" s="494"/>
      <c r="AE148" s="494"/>
      <c r="AF148" s="494"/>
      <c r="AG148" s="494"/>
      <c r="AH148" s="494"/>
      <c r="AI148" s="494"/>
      <c r="AJ148" s="494"/>
      <c r="AK148" s="494"/>
      <c r="AL148" s="494"/>
      <c r="AM148" s="494"/>
      <c r="AN148" s="494"/>
      <c r="AO148" s="494"/>
      <c r="AP148" s="494"/>
      <c r="AQ148" s="494"/>
      <c r="AR148" s="494"/>
      <c r="AS148" s="494"/>
      <c r="AT148" s="494"/>
      <c r="AU148" s="494"/>
      <c r="AV148" s="494"/>
      <c r="AW148" s="494"/>
      <c r="AX148" s="544"/>
      <c r="AY148" s="545"/>
      <c r="AZ148" s="518"/>
      <c r="BA148" s="518"/>
      <c r="BB148" s="518"/>
      <c r="BC148" s="518"/>
      <c r="BD148" s="518"/>
      <c r="BE148" s="518"/>
      <c r="BF148" s="518"/>
      <c r="BG148" s="518"/>
      <c r="BH148" s="518"/>
      <c r="BI148" s="518"/>
      <c r="BJ148" s="518"/>
      <c r="BK148" s="518"/>
      <c r="BL148" s="518"/>
      <c r="BM148" s="518"/>
      <c r="BN148" s="518"/>
      <c r="BO148" s="518"/>
      <c r="BP148" s="518"/>
      <c r="BQ148" s="518"/>
      <c r="BR148" s="518"/>
      <c r="BS148" s="518"/>
      <c r="BT148" s="518"/>
      <c r="BU148" s="518"/>
      <c r="BV148" s="546"/>
      <c r="BW148" s="547"/>
      <c r="BX148" s="500"/>
      <c r="BY148" s="500"/>
      <c r="BZ148" s="500"/>
      <c r="CA148" s="500"/>
      <c r="CB148" s="500"/>
      <c r="CC148" s="500"/>
      <c r="CD148" s="500"/>
      <c r="CE148" s="500"/>
      <c r="CF148" s="500"/>
      <c r="CG148" s="500"/>
      <c r="CH148" s="500"/>
      <c r="CI148" s="500"/>
      <c r="CJ148" s="500"/>
      <c r="CK148" s="500"/>
      <c r="CL148" s="500"/>
      <c r="CM148" s="500"/>
      <c r="CN148" s="500"/>
      <c r="CO148" s="500"/>
      <c r="CP148" s="500"/>
      <c r="CQ148" s="500"/>
      <c r="CR148" s="500"/>
      <c r="CS148" s="500"/>
      <c r="CT148" s="501"/>
      <c r="CU148" s="548"/>
      <c r="CV148" s="503"/>
      <c r="CW148" s="503"/>
      <c r="CX148" s="503"/>
      <c r="CY148" s="503"/>
      <c r="CZ148" s="503"/>
      <c r="DA148" s="503"/>
      <c r="DB148" s="503"/>
      <c r="DC148" s="503"/>
      <c r="DD148" s="503"/>
      <c r="DE148" s="503"/>
      <c r="DF148" s="503"/>
      <c r="DG148" s="503"/>
      <c r="DH148" s="503"/>
      <c r="DI148" s="503"/>
      <c r="DJ148" s="503"/>
      <c r="DK148" s="503"/>
      <c r="DL148" s="503"/>
      <c r="DM148" s="503"/>
      <c r="DN148" s="503"/>
      <c r="DO148" s="503"/>
      <c r="DP148" s="503"/>
      <c r="DQ148" s="503"/>
      <c r="DR148" s="504"/>
      <c r="DS148" s="505"/>
      <c r="DT148" s="506"/>
      <c r="DU148" s="506"/>
      <c r="DV148" s="506"/>
      <c r="DW148" s="506"/>
      <c r="DX148" s="506"/>
      <c r="DY148" s="506"/>
      <c r="DZ148" s="506"/>
      <c r="EA148" s="506"/>
      <c r="EB148" s="506"/>
      <c r="EC148" s="506"/>
      <c r="ED148" s="506"/>
      <c r="EE148" s="506"/>
      <c r="EF148" s="506"/>
      <c r="EG148" s="506"/>
      <c r="EH148" s="506"/>
      <c r="EI148" s="506"/>
      <c r="EJ148" s="506"/>
      <c r="EK148" s="506"/>
      <c r="EL148" s="506"/>
      <c r="EM148" s="506"/>
      <c r="EN148" s="506"/>
      <c r="EO148" s="549"/>
      <c r="EP148" s="626"/>
    </row>
    <row r="149" spans="1:146" ht="18" customHeight="1" x14ac:dyDescent="0.15">
      <c r="A149" s="540"/>
      <c r="B149" s="550" t="s">
        <v>757</v>
      </c>
      <c r="C149" s="551"/>
      <c r="D149" s="552"/>
      <c r="E149" s="552"/>
      <c r="F149" s="552"/>
      <c r="G149" s="552"/>
      <c r="H149" s="552"/>
      <c r="I149" s="552"/>
      <c r="J149" s="552"/>
      <c r="K149" s="552"/>
      <c r="L149" s="552"/>
      <c r="M149" s="552"/>
      <c r="N149" s="552"/>
      <c r="O149" s="552"/>
      <c r="P149" s="552"/>
      <c r="Q149" s="552"/>
      <c r="R149" s="552"/>
      <c r="S149" s="552"/>
      <c r="T149" s="552"/>
      <c r="U149" s="552"/>
      <c r="V149" s="552"/>
      <c r="W149" s="552"/>
      <c r="X149" s="552"/>
      <c r="Y149" s="552"/>
      <c r="Z149" s="553"/>
      <c r="AA149" s="554"/>
      <c r="AB149" s="555"/>
      <c r="AC149" s="555"/>
      <c r="AD149" s="555"/>
      <c r="AE149" s="555"/>
      <c r="AF149" s="555"/>
      <c r="AG149" s="555"/>
      <c r="AH149" s="555"/>
      <c r="AI149" s="555"/>
      <c r="AJ149" s="555"/>
      <c r="AK149" s="555"/>
      <c r="AL149" s="555"/>
      <c r="AM149" s="555"/>
      <c r="AN149" s="555"/>
      <c r="AO149" s="555"/>
      <c r="AP149" s="555"/>
      <c r="AQ149" s="555"/>
      <c r="AR149" s="555"/>
      <c r="AS149" s="555"/>
      <c r="AT149" s="555"/>
      <c r="AU149" s="555"/>
      <c r="AV149" s="555"/>
      <c r="AW149" s="555"/>
      <c r="AX149" s="556"/>
      <c r="AY149" s="557"/>
      <c r="AZ149" s="558"/>
      <c r="BA149" s="558"/>
      <c r="BB149" s="558"/>
      <c r="BC149" s="558"/>
      <c r="BD149" s="558"/>
      <c r="BE149" s="558"/>
      <c r="BF149" s="558"/>
      <c r="BG149" s="558"/>
      <c r="BH149" s="558"/>
      <c r="BI149" s="558"/>
      <c r="BJ149" s="558"/>
      <c r="BK149" s="558"/>
      <c r="BL149" s="558"/>
      <c r="BM149" s="558"/>
      <c r="BN149" s="558"/>
      <c r="BO149" s="558"/>
      <c r="BP149" s="558"/>
      <c r="BQ149" s="558"/>
      <c r="BR149" s="558"/>
      <c r="BS149" s="558"/>
      <c r="BT149" s="558"/>
      <c r="BU149" s="558"/>
      <c r="BV149" s="528"/>
      <c r="BW149" s="559"/>
      <c r="BX149" s="560"/>
      <c r="BY149" s="560"/>
      <c r="BZ149" s="560"/>
      <c r="CA149" s="560"/>
      <c r="CB149" s="560"/>
      <c r="CC149" s="560"/>
      <c r="CD149" s="560"/>
      <c r="CE149" s="560"/>
      <c r="CF149" s="560"/>
      <c r="CG149" s="560"/>
      <c r="CH149" s="560"/>
      <c r="CI149" s="560"/>
      <c r="CJ149" s="560"/>
      <c r="CK149" s="560"/>
      <c r="CL149" s="560"/>
      <c r="CM149" s="560"/>
      <c r="CN149" s="560"/>
      <c r="CO149" s="560"/>
      <c r="CP149" s="560"/>
      <c r="CQ149" s="560"/>
      <c r="CR149" s="560"/>
      <c r="CS149" s="560"/>
      <c r="CT149" s="561"/>
      <c r="CU149" s="562"/>
      <c r="CV149" s="563"/>
      <c r="CW149" s="563"/>
      <c r="CX149" s="563"/>
      <c r="CY149" s="563"/>
      <c r="CZ149" s="563"/>
      <c r="DA149" s="563"/>
      <c r="DB149" s="563"/>
      <c r="DC149" s="563"/>
      <c r="DD149" s="563"/>
      <c r="DE149" s="563"/>
      <c r="DF149" s="563"/>
      <c r="DG149" s="563"/>
      <c r="DH149" s="563"/>
      <c r="DI149" s="563"/>
      <c r="DJ149" s="563"/>
      <c r="DK149" s="563"/>
      <c r="DL149" s="563"/>
      <c r="DM149" s="563"/>
      <c r="DN149" s="563"/>
      <c r="DO149" s="563"/>
      <c r="DP149" s="563"/>
      <c r="DQ149" s="563"/>
      <c r="DR149" s="564"/>
      <c r="DS149" s="565"/>
      <c r="DT149" s="566"/>
      <c r="DU149" s="566"/>
      <c r="DV149" s="566"/>
      <c r="DW149" s="566"/>
      <c r="DX149" s="566"/>
      <c r="DY149" s="566"/>
      <c r="DZ149" s="566"/>
      <c r="EA149" s="566"/>
      <c r="EB149" s="566"/>
      <c r="EC149" s="566"/>
      <c r="ED149" s="566"/>
      <c r="EE149" s="566"/>
      <c r="EF149" s="566"/>
      <c r="EG149" s="566"/>
      <c r="EH149" s="566"/>
      <c r="EI149" s="566"/>
      <c r="EJ149" s="566"/>
      <c r="EK149" s="566"/>
      <c r="EL149" s="566"/>
      <c r="EM149" s="566"/>
      <c r="EN149" s="566"/>
      <c r="EO149" s="567"/>
      <c r="EP149" s="627"/>
    </row>
    <row r="150" spans="1:146" ht="18" customHeight="1" x14ac:dyDescent="0.15">
      <c r="A150" s="540"/>
      <c r="B150" s="550" t="s">
        <v>208</v>
      </c>
      <c r="C150" s="551"/>
      <c r="D150" s="552"/>
      <c r="E150" s="552"/>
      <c r="F150" s="552"/>
      <c r="G150" s="552"/>
      <c r="H150" s="552"/>
      <c r="I150" s="552"/>
      <c r="J150" s="552"/>
      <c r="K150" s="552"/>
      <c r="L150" s="552"/>
      <c r="M150" s="552"/>
      <c r="N150" s="552"/>
      <c r="O150" s="552"/>
      <c r="P150" s="552"/>
      <c r="Q150" s="552"/>
      <c r="R150" s="552"/>
      <c r="S150" s="552"/>
      <c r="T150" s="552"/>
      <c r="U150" s="552"/>
      <c r="V150" s="552"/>
      <c r="W150" s="552"/>
      <c r="X150" s="552"/>
      <c r="Y150" s="552"/>
      <c r="Z150" s="553"/>
      <c r="AA150" s="554"/>
      <c r="AB150" s="555"/>
      <c r="AC150" s="555"/>
      <c r="AD150" s="555"/>
      <c r="AE150" s="555"/>
      <c r="AF150" s="555"/>
      <c r="AG150" s="555"/>
      <c r="AH150" s="555"/>
      <c r="AI150" s="555"/>
      <c r="AJ150" s="555"/>
      <c r="AK150" s="555"/>
      <c r="AL150" s="555"/>
      <c r="AM150" s="555"/>
      <c r="AN150" s="555"/>
      <c r="AO150" s="555"/>
      <c r="AP150" s="555"/>
      <c r="AQ150" s="555"/>
      <c r="AR150" s="555"/>
      <c r="AS150" s="555"/>
      <c r="AT150" s="555"/>
      <c r="AU150" s="555"/>
      <c r="AV150" s="555"/>
      <c r="AW150" s="555"/>
      <c r="AX150" s="556"/>
      <c r="AY150" s="557"/>
      <c r="AZ150" s="558"/>
      <c r="BA150" s="558"/>
      <c r="BB150" s="558"/>
      <c r="BC150" s="558"/>
      <c r="BD150" s="558"/>
      <c r="BE150" s="558"/>
      <c r="BF150" s="558"/>
      <c r="BG150" s="558"/>
      <c r="BH150" s="558"/>
      <c r="BI150" s="558"/>
      <c r="BJ150" s="558"/>
      <c r="BK150" s="558"/>
      <c r="BL150" s="558"/>
      <c r="BM150" s="558"/>
      <c r="BN150" s="558"/>
      <c r="BO150" s="558"/>
      <c r="BP150" s="558"/>
      <c r="BQ150" s="558"/>
      <c r="BR150" s="558"/>
      <c r="BS150" s="558"/>
      <c r="BT150" s="558"/>
      <c r="BU150" s="558"/>
      <c r="BV150" s="528"/>
      <c r="BW150" s="559"/>
      <c r="BX150" s="560"/>
      <c r="BY150" s="560"/>
      <c r="BZ150" s="560"/>
      <c r="CA150" s="560"/>
      <c r="CB150" s="560"/>
      <c r="CC150" s="560"/>
      <c r="CD150" s="560"/>
      <c r="CE150" s="560"/>
      <c r="CF150" s="560"/>
      <c r="CG150" s="560"/>
      <c r="CH150" s="560"/>
      <c r="CI150" s="560"/>
      <c r="CJ150" s="560"/>
      <c r="CK150" s="560"/>
      <c r="CL150" s="560"/>
      <c r="CM150" s="560"/>
      <c r="CN150" s="560"/>
      <c r="CO150" s="560"/>
      <c r="CP150" s="560"/>
      <c r="CQ150" s="560"/>
      <c r="CR150" s="560"/>
      <c r="CS150" s="560"/>
      <c r="CT150" s="561"/>
      <c r="CU150" s="562"/>
      <c r="CV150" s="563"/>
      <c r="CW150" s="563"/>
      <c r="CX150" s="563"/>
      <c r="CY150" s="563"/>
      <c r="CZ150" s="563"/>
      <c r="DA150" s="563"/>
      <c r="DB150" s="563"/>
      <c r="DC150" s="563"/>
      <c r="DD150" s="563"/>
      <c r="DE150" s="563"/>
      <c r="DF150" s="563"/>
      <c r="DG150" s="563"/>
      <c r="DH150" s="563"/>
      <c r="DI150" s="563"/>
      <c r="DJ150" s="563"/>
      <c r="DK150" s="563"/>
      <c r="DL150" s="563"/>
      <c r="DM150" s="563"/>
      <c r="DN150" s="563"/>
      <c r="DO150" s="563"/>
      <c r="DP150" s="563"/>
      <c r="DQ150" s="563"/>
      <c r="DR150" s="564"/>
      <c r="DS150" s="565"/>
      <c r="DT150" s="566"/>
      <c r="DU150" s="566"/>
      <c r="DV150" s="566"/>
      <c r="DW150" s="566"/>
      <c r="DX150" s="566"/>
      <c r="DY150" s="566"/>
      <c r="DZ150" s="566"/>
      <c r="EA150" s="566"/>
      <c r="EB150" s="566"/>
      <c r="EC150" s="566"/>
      <c r="ED150" s="566"/>
      <c r="EE150" s="566"/>
      <c r="EF150" s="566"/>
      <c r="EG150" s="566"/>
      <c r="EH150" s="566"/>
      <c r="EI150" s="566"/>
      <c r="EJ150" s="566"/>
      <c r="EK150" s="566"/>
      <c r="EL150" s="566"/>
      <c r="EM150" s="566"/>
      <c r="EN150" s="566"/>
      <c r="EO150" s="567"/>
      <c r="EP150" s="627"/>
    </row>
    <row r="151" spans="1:146" ht="28.5" customHeight="1" x14ac:dyDescent="0.15">
      <c r="A151" s="540"/>
      <c r="B151" s="550" t="s">
        <v>739</v>
      </c>
      <c r="C151" s="551"/>
      <c r="D151" s="552"/>
      <c r="E151" s="552"/>
      <c r="F151" s="552"/>
      <c r="G151" s="552"/>
      <c r="H151" s="552"/>
      <c r="I151" s="552"/>
      <c r="J151" s="552"/>
      <c r="K151" s="552"/>
      <c r="L151" s="552"/>
      <c r="M151" s="552"/>
      <c r="N151" s="552"/>
      <c r="O151" s="552"/>
      <c r="P151" s="552"/>
      <c r="Q151" s="552"/>
      <c r="R151" s="552"/>
      <c r="S151" s="552"/>
      <c r="T151" s="552"/>
      <c r="U151" s="552"/>
      <c r="V151" s="552"/>
      <c r="W151" s="552"/>
      <c r="X151" s="552"/>
      <c r="Y151" s="552"/>
      <c r="Z151" s="553"/>
      <c r="AA151" s="554"/>
      <c r="AB151" s="555"/>
      <c r="AC151" s="555"/>
      <c r="AD151" s="555"/>
      <c r="AE151" s="555"/>
      <c r="AF151" s="555"/>
      <c r="AG151" s="555"/>
      <c r="AH151" s="555"/>
      <c r="AI151" s="555"/>
      <c r="AJ151" s="555"/>
      <c r="AK151" s="555"/>
      <c r="AL151" s="555"/>
      <c r="AM151" s="555"/>
      <c r="AN151" s="555"/>
      <c r="AO151" s="555"/>
      <c r="AP151" s="555"/>
      <c r="AQ151" s="555"/>
      <c r="AR151" s="555"/>
      <c r="AS151" s="555"/>
      <c r="AT151" s="555"/>
      <c r="AU151" s="555"/>
      <c r="AV151" s="555"/>
      <c r="AW151" s="555"/>
      <c r="AX151" s="556"/>
      <c r="AY151" s="557"/>
      <c r="AZ151" s="558"/>
      <c r="BA151" s="558"/>
      <c r="BB151" s="558"/>
      <c r="BC151" s="558"/>
      <c r="BD151" s="558"/>
      <c r="BE151" s="558"/>
      <c r="BF151" s="558"/>
      <c r="BG151" s="558"/>
      <c r="BH151" s="558"/>
      <c r="BI151" s="558"/>
      <c r="BJ151" s="558"/>
      <c r="BK151" s="558"/>
      <c r="BL151" s="558"/>
      <c r="BM151" s="558"/>
      <c r="BN151" s="558"/>
      <c r="BO151" s="558"/>
      <c r="BP151" s="558"/>
      <c r="BQ151" s="558"/>
      <c r="BR151" s="558"/>
      <c r="BS151" s="558"/>
      <c r="BT151" s="558"/>
      <c r="BU151" s="558"/>
      <c r="BV151" s="528"/>
      <c r="BW151" s="559"/>
      <c r="BX151" s="560"/>
      <c r="BY151" s="560"/>
      <c r="BZ151" s="560"/>
      <c r="CA151" s="560"/>
      <c r="CB151" s="560"/>
      <c r="CC151" s="560"/>
      <c r="CD151" s="560"/>
      <c r="CE151" s="560"/>
      <c r="CF151" s="560"/>
      <c r="CG151" s="560"/>
      <c r="CH151" s="560"/>
      <c r="CI151" s="560"/>
      <c r="CJ151" s="560"/>
      <c r="CK151" s="560"/>
      <c r="CL151" s="560"/>
      <c r="CM151" s="560"/>
      <c r="CN151" s="560"/>
      <c r="CO151" s="560"/>
      <c r="CP151" s="560"/>
      <c r="CQ151" s="560"/>
      <c r="CR151" s="560"/>
      <c r="CS151" s="560"/>
      <c r="CT151" s="561"/>
      <c r="CU151" s="562"/>
      <c r="CV151" s="563"/>
      <c r="CW151" s="563"/>
      <c r="CX151" s="563"/>
      <c r="CY151" s="563"/>
      <c r="CZ151" s="563"/>
      <c r="DA151" s="563"/>
      <c r="DB151" s="563"/>
      <c r="DC151" s="563"/>
      <c r="DD151" s="563"/>
      <c r="DE151" s="563"/>
      <c r="DF151" s="563"/>
      <c r="DG151" s="563"/>
      <c r="DH151" s="563"/>
      <c r="DI151" s="563"/>
      <c r="DJ151" s="563"/>
      <c r="DK151" s="563"/>
      <c r="DL151" s="563"/>
      <c r="DM151" s="563"/>
      <c r="DN151" s="563"/>
      <c r="DO151" s="563"/>
      <c r="DP151" s="563"/>
      <c r="DQ151" s="563"/>
      <c r="DR151" s="564"/>
      <c r="DS151" s="565"/>
      <c r="DT151" s="566"/>
      <c r="DU151" s="566"/>
      <c r="DV151" s="566"/>
      <c r="DW151" s="566"/>
      <c r="DX151" s="566"/>
      <c r="DY151" s="566"/>
      <c r="DZ151" s="566"/>
      <c r="EA151" s="566"/>
      <c r="EB151" s="566"/>
      <c r="EC151" s="566"/>
      <c r="ED151" s="566"/>
      <c r="EE151" s="566"/>
      <c r="EF151" s="566"/>
      <c r="EG151" s="566"/>
      <c r="EH151" s="566"/>
      <c r="EI151" s="566"/>
      <c r="EJ151" s="566"/>
      <c r="EK151" s="566"/>
      <c r="EL151" s="566"/>
      <c r="EM151" s="566"/>
      <c r="EN151" s="566"/>
      <c r="EO151" s="567"/>
      <c r="EP151" s="627"/>
    </row>
    <row r="152" spans="1:146" ht="18" customHeight="1" thickBot="1" x14ac:dyDescent="0.2">
      <c r="A152" s="540"/>
      <c r="B152" s="568" t="s">
        <v>564</v>
      </c>
      <c r="C152" s="608"/>
      <c r="D152" s="609"/>
      <c r="E152" s="609"/>
      <c r="F152" s="609"/>
      <c r="G152" s="609"/>
      <c r="H152" s="609"/>
      <c r="I152" s="609"/>
      <c r="J152" s="609"/>
      <c r="K152" s="609"/>
      <c r="L152" s="609"/>
      <c r="M152" s="609"/>
      <c r="N152" s="609"/>
      <c r="O152" s="609"/>
      <c r="P152" s="609"/>
      <c r="Q152" s="609"/>
      <c r="R152" s="609"/>
      <c r="S152" s="609"/>
      <c r="T152" s="609"/>
      <c r="U152" s="609"/>
      <c r="V152" s="609"/>
      <c r="W152" s="609"/>
      <c r="X152" s="609"/>
      <c r="Y152" s="609"/>
      <c r="Z152" s="610"/>
      <c r="AA152" s="608"/>
      <c r="AB152" s="609"/>
      <c r="AC152" s="609"/>
      <c r="AD152" s="609"/>
      <c r="AE152" s="609"/>
      <c r="AF152" s="609"/>
      <c r="AG152" s="609"/>
      <c r="AH152" s="609"/>
      <c r="AI152" s="609"/>
      <c r="AJ152" s="609"/>
      <c r="AK152" s="609"/>
      <c r="AL152" s="609"/>
      <c r="AM152" s="609"/>
      <c r="AN152" s="609"/>
      <c r="AO152" s="609"/>
      <c r="AP152" s="609"/>
      <c r="AQ152" s="609"/>
      <c r="AR152" s="609"/>
      <c r="AS152" s="609"/>
      <c r="AT152" s="609"/>
      <c r="AU152" s="609"/>
      <c r="AV152" s="609"/>
      <c r="AW152" s="609"/>
      <c r="AX152" s="610"/>
      <c r="AY152" s="608"/>
      <c r="AZ152" s="609"/>
      <c r="BA152" s="609"/>
      <c r="BB152" s="609"/>
      <c r="BC152" s="609"/>
      <c r="BD152" s="609"/>
      <c r="BE152" s="609"/>
      <c r="BF152" s="609"/>
      <c r="BG152" s="609"/>
      <c r="BH152" s="609"/>
      <c r="BI152" s="609"/>
      <c r="BJ152" s="609"/>
      <c r="BK152" s="609"/>
      <c r="BL152" s="609"/>
      <c r="BM152" s="609"/>
      <c r="BN152" s="609"/>
      <c r="BO152" s="609"/>
      <c r="BP152" s="609"/>
      <c r="BQ152" s="609"/>
      <c r="BR152" s="609"/>
      <c r="BS152" s="609"/>
      <c r="BT152" s="609"/>
      <c r="BU152" s="609"/>
      <c r="BV152" s="514"/>
      <c r="BW152" s="611"/>
      <c r="BX152" s="609"/>
      <c r="BY152" s="609"/>
      <c r="BZ152" s="609"/>
      <c r="CA152" s="609"/>
      <c r="CB152" s="609"/>
      <c r="CC152" s="609"/>
      <c r="CD152" s="609"/>
      <c r="CE152" s="609"/>
      <c r="CF152" s="609"/>
      <c r="CG152" s="609"/>
      <c r="CH152" s="609"/>
      <c r="CI152" s="609"/>
      <c r="CJ152" s="609"/>
      <c r="CK152" s="609"/>
      <c r="CL152" s="609"/>
      <c r="CM152" s="609"/>
      <c r="CN152" s="609"/>
      <c r="CO152" s="609"/>
      <c r="CP152" s="609"/>
      <c r="CQ152" s="609"/>
      <c r="CR152" s="609"/>
      <c r="CS152" s="609"/>
      <c r="CT152" s="514"/>
      <c r="CU152" s="611"/>
      <c r="CV152" s="609"/>
      <c r="CW152" s="609"/>
      <c r="CX152" s="609"/>
      <c r="CY152" s="609"/>
      <c r="CZ152" s="609"/>
      <c r="DA152" s="609"/>
      <c r="DB152" s="609"/>
      <c r="DC152" s="609"/>
      <c r="DD152" s="609"/>
      <c r="DE152" s="609"/>
      <c r="DF152" s="609"/>
      <c r="DG152" s="609"/>
      <c r="DH152" s="609"/>
      <c r="DI152" s="609"/>
      <c r="DJ152" s="609"/>
      <c r="DK152" s="609"/>
      <c r="DL152" s="609"/>
      <c r="DM152" s="609"/>
      <c r="DN152" s="609"/>
      <c r="DO152" s="609"/>
      <c r="DP152" s="609"/>
      <c r="DQ152" s="609"/>
      <c r="DR152" s="514"/>
      <c r="DS152" s="611"/>
      <c r="DT152" s="609"/>
      <c r="DU152" s="609"/>
      <c r="DV152" s="609"/>
      <c r="DW152" s="609"/>
      <c r="DX152" s="609"/>
      <c r="DY152" s="609"/>
      <c r="DZ152" s="609"/>
      <c r="EA152" s="609"/>
      <c r="EB152" s="609"/>
      <c r="EC152" s="609"/>
      <c r="ED152" s="609"/>
      <c r="EE152" s="569"/>
      <c r="EF152" s="569"/>
      <c r="EG152" s="569"/>
      <c r="EH152" s="569"/>
      <c r="EI152" s="569"/>
      <c r="EJ152" s="569"/>
      <c r="EK152" s="569"/>
      <c r="EL152" s="569"/>
      <c r="EM152" s="569"/>
      <c r="EN152" s="569"/>
      <c r="EO152" s="570"/>
      <c r="EP152" s="628"/>
    </row>
    <row r="153" spans="1:146" ht="14" thickBot="1" x14ac:dyDescent="0.2"/>
    <row r="154" spans="1:146" ht="14" thickBot="1" x14ac:dyDescent="0.2">
      <c r="B154" s="539"/>
      <c r="C154" s="1052" t="s">
        <v>744</v>
      </c>
      <c r="D154" s="1053"/>
      <c r="E154" s="1053"/>
      <c r="F154" s="1053"/>
      <c r="G154" s="1053"/>
      <c r="H154" s="1053"/>
      <c r="I154" s="1053"/>
      <c r="J154" s="1053"/>
      <c r="K154" s="1053"/>
      <c r="L154" s="1053"/>
      <c r="M154" s="1053"/>
      <c r="N154" s="1053"/>
      <c r="O154" s="1053"/>
      <c r="P154" s="1053"/>
      <c r="Q154" s="1053"/>
      <c r="R154" s="1053"/>
      <c r="S154" s="1053"/>
      <c r="T154" s="1053"/>
      <c r="U154" s="1053"/>
      <c r="V154" s="1053"/>
      <c r="W154" s="1053"/>
      <c r="X154" s="1053"/>
      <c r="Y154" s="1053"/>
      <c r="Z154" s="1054"/>
      <c r="AA154" s="1052" t="s">
        <v>745</v>
      </c>
      <c r="AB154" s="1053"/>
      <c r="AC154" s="1053"/>
      <c r="AD154" s="1053"/>
      <c r="AE154" s="1053"/>
      <c r="AF154" s="1053"/>
      <c r="AG154" s="1053"/>
      <c r="AH154" s="1053"/>
      <c r="AI154" s="1053"/>
      <c r="AJ154" s="1053"/>
      <c r="AK154" s="1053"/>
      <c r="AL154" s="1053"/>
      <c r="AM154" s="1053"/>
      <c r="AN154" s="1053"/>
      <c r="AO154" s="1053"/>
      <c r="AP154" s="1053"/>
      <c r="AQ154" s="1053"/>
      <c r="AR154" s="1053"/>
      <c r="AS154" s="1053"/>
      <c r="AT154" s="1053"/>
      <c r="AU154" s="1053"/>
      <c r="AV154" s="1053"/>
      <c r="AW154" s="1053"/>
      <c r="AX154" s="1054"/>
      <c r="AY154" s="1052" t="s">
        <v>746</v>
      </c>
      <c r="AZ154" s="1053"/>
      <c r="BA154" s="1053"/>
      <c r="BB154" s="1053"/>
      <c r="BC154" s="1053"/>
      <c r="BD154" s="1053"/>
      <c r="BE154" s="1053"/>
      <c r="BF154" s="1053"/>
      <c r="BG154" s="1053"/>
      <c r="BH154" s="1053"/>
      <c r="BI154" s="1053"/>
      <c r="BJ154" s="1053"/>
      <c r="BK154" s="1053"/>
      <c r="BL154" s="1053"/>
      <c r="BM154" s="1053"/>
      <c r="BN154" s="1053"/>
      <c r="BO154" s="1053"/>
      <c r="BP154" s="1053"/>
      <c r="BQ154" s="1053"/>
      <c r="BR154" s="1053"/>
      <c r="BS154" s="1053"/>
      <c r="BT154" s="1053"/>
      <c r="BU154" s="1053"/>
      <c r="BV154" s="1054"/>
      <c r="BW154" s="1052" t="s">
        <v>747</v>
      </c>
      <c r="BX154" s="1053"/>
      <c r="BY154" s="1053"/>
      <c r="BZ154" s="1053"/>
      <c r="CA154" s="1053"/>
      <c r="CB154" s="1053"/>
      <c r="CC154" s="1053"/>
      <c r="CD154" s="1053"/>
      <c r="CE154" s="1053"/>
      <c r="CF154" s="1053"/>
      <c r="CG154" s="1053"/>
      <c r="CH154" s="1053"/>
      <c r="CI154" s="1053"/>
      <c r="CJ154" s="1053"/>
      <c r="CK154" s="1053"/>
      <c r="CL154" s="1053"/>
      <c r="CM154" s="1053"/>
      <c r="CN154" s="1053"/>
      <c r="CO154" s="1053"/>
      <c r="CP154" s="1053"/>
      <c r="CQ154" s="1053"/>
      <c r="CR154" s="1053"/>
      <c r="CS154" s="1053"/>
      <c r="CT154" s="1054"/>
      <c r="CU154" s="1052" t="s">
        <v>748</v>
      </c>
      <c r="CV154" s="1053"/>
      <c r="CW154" s="1053"/>
      <c r="CX154" s="1053"/>
      <c r="CY154" s="1053"/>
      <c r="CZ154" s="1053"/>
      <c r="DA154" s="1053"/>
      <c r="DB154" s="1053"/>
      <c r="DC154" s="1053"/>
      <c r="DD154" s="1053"/>
      <c r="DE154" s="1053"/>
      <c r="DF154" s="1053"/>
      <c r="DG154" s="1053"/>
      <c r="DH154" s="1053"/>
      <c r="DI154" s="1053"/>
      <c r="DJ154" s="1053"/>
      <c r="DK154" s="1053"/>
      <c r="DL154" s="1053"/>
      <c r="DM154" s="1053"/>
      <c r="DN154" s="1053"/>
      <c r="DO154" s="1053"/>
      <c r="DP154" s="1053"/>
      <c r="DQ154" s="1053"/>
      <c r="DR154" s="1054"/>
      <c r="DS154" s="1052" t="s">
        <v>749</v>
      </c>
      <c r="DT154" s="1053"/>
      <c r="DU154" s="1053"/>
      <c r="DV154" s="1053"/>
      <c r="DW154" s="1053"/>
      <c r="DX154" s="1053"/>
      <c r="DY154" s="1053"/>
      <c r="DZ154" s="1053"/>
      <c r="EA154" s="1053"/>
      <c r="EB154" s="1053"/>
      <c r="EC154" s="1053"/>
      <c r="ED154" s="1053"/>
      <c r="EE154" s="1053"/>
      <c r="EF154" s="1053"/>
      <c r="EG154" s="1053"/>
      <c r="EH154" s="1053"/>
      <c r="EI154" s="1053"/>
      <c r="EJ154" s="1053"/>
      <c r="EK154" s="1053"/>
      <c r="EL154" s="1053"/>
      <c r="EM154" s="1053"/>
      <c r="EN154" s="1053"/>
      <c r="EO154" s="1053"/>
      <c r="EP154" s="1054"/>
    </row>
    <row r="155" spans="1:146" ht="24.75" customHeight="1" thickBot="1" x14ac:dyDescent="0.2">
      <c r="A155" s="540"/>
      <c r="B155" s="590" t="s">
        <v>766</v>
      </c>
      <c r="C155" s="591"/>
      <c r="D155" s="592"/>
      <c r="E155" s="592"/>
      <c r="F155" s="592"/>
      <c r="G155" s="592"/>
      <c r="H155" s="592"/>
      <c r="I155" s="592"/>
      <c r="J155" s="592"/>
      <c r="K155" s="592"/>
      <c r="L155" s="592"/>
      <c r="M155" s="592"/>
      <c r="N155" s="592"/>
      <c r="O155" s="592"/>
      <c r="P155" s="592"/>
      <c r="Q155" s="592"/>
      <c r="R155" s="592"/>
      <c r="S155" s="592"/>
      <c r="T155" s="592"/>
      <c r="U155" s="592"/>
      <c r="V155" s="592"/>
      <c r="W155" s="592"/>
      <c r="X155" s="592"/>
      <c r="Y155" s="592"/>
      <c r="Z155" s="593"/>
      <c r="AA155" s="594"/>
      <c r="AB155" s="595"/>
      <c r="AC155" s="595"/>
      <c r="AD155" s="595"/>
      <c r="AE155" s="595"/>
      <c r="AF155" s="595"/>
      <c r="AG155" s="595"/>
      <c r="AH155" s="595"/>
      <c r="AI155" s="595"/>
      <c r="AJ155" s="595"/>
      <c r="AK155" s="595"/>
      <c r="AL155" s="595"/>
      <c r="AM155" s="595"/>
      <c r="AN155" s="595"/>
      <c r="AO155" s="595"/>
      <c r="AP155" s="595"/>
      <c r="AQ155" s="595"/>
      <c r="AR155" s="595"/>
      <c r="AS155" s="595"/>
      <c r="AT155" s="595"/>
      <c r="AU155" s="595"/>
      <c r="AV155" s="595"/>
      <c r="AW155" s="595"/>
      <c r="AX155" s="596"/>
      <c r="AY155" s="597"/>
      <c r="AZ155" s="598"/>
      <c r="BA155" s="598"/>
      <c r="BB155" s="598"/>
      <c r="BC155" s="598"/>
      <c r="BD155" s="598"/>
      <c r="BE155" s="598"/>
      <c r="BF155" s="598"/>
      <c r="BG155" s="598"/>
      <c r="BH155" s="598"/>
      <c r="BI155" s="598"/>
      <c r="BJ155" s="598"/>
      <c r="BK155" s="598"/>
      <c r="BL155" s="598"/>
      <c r="BM155" s="598"/>
      <c r="BN155" s="598"/>
      <c r="BO155" s="598"/>
      <c r="BP155" s="598"/>
      <c r="BQ155" s="598"/>
      <c r="BR155" s="598"/>
      <c r="BS155" s="598"/>
      <c r="BT155" s="598"/>
      <c r="BU155" s="598"/>
      <c r="BV155" s="519"/>
      <c r="BW155" s="599"/>
      <c r="BX155" s="600"/>
      <c r="BY155" s="600"/>
      <c r="BZ155" s="600"/>
      <c r="CA155" s="600"/>
      <c r="CB155" s="600"/>
      <c r="CC155" s="600"/>
      <c r="CD155" s="600"/>
      <c r="CE155" s="600"/>
      <c r="CF155" s="600"/>
      <c r="CG155" s="600"/>
      <c r="CH155" s="600"/>
      <c r="CI155" s="600"/>
      <c r="CJ155" s="600"/>
      <c r="CK155" s="600"/>
      <c r="CL155" s="600"/>
      <c r="CM155" s="600"/>
      <c r="CN155" s="600"/>
      <c r="CO155" s="600"/>
      <c r="CP155" s="600"/>
      <c r="CQ155" s="600"/>
      <c r="CR155" s="600"/>
      <c r="CS155" s="600"/>
      <c r="CT155" s="601"/>
      <c r="CU155" s="602"/>
      <c r="CV155" s="603"/>
      <c r="CW155" s="603"/>
      <c r="CX155" s="603"/>
      <c r="CY155" s="603"/>
      <c r="CZ155" s="603"/>
      <c r="DA155" s="603"/>
      <c r="DB155" s="603"/>
      <c r="DC155" s="603"/>
      <c r="DD155" s="603"/>
      <c r="DE155" s="603"/>
      <c r="DF155" s="603"/>
      <c r="DG155" s="603"/>
      <c r="DH155" s="603"/>
      <c r="DI155" s="603"/>
      <c r="DJ155" s="603"/>
      <c r="DK155" s="603"/>
      <c r="DL155" s="603"/>
      <c r="DM155" s="603"/>
      <c r="DN155" s="603"/>
      <c r="DO155" s="603"/>
      <c r="DP155" s="603"/>
      <c r="DQ155" s="603"/>
      <c r="DR155" s="604"/>
      <c r="DS155" s="605"/>
      <c r="DT155" s="606"/>
      <c r="DU155" s="606"/>
      <c r="DV155" s="606"/>
      <c r="DW155" s="606"/>
      <c r="DX155" s="606"/>
      <c r="DY155" s="606"/>
      <c r="DZ155" s="606"/>
      <c r="EA155" s="606"/>
      <c r="EB155" s="606"/>
      <c r="EC155" s="606"/>
      <c r="ED155" s="606"/>
      <c r="EE155" s="606"/>
      <c r="EF155" s="606"/>
      <c r="EG155" s="606"/>
      <c r="EH155" s="606"/>
      <c r="EI155" s="606"/>
      <c r="EJ155" s="606"/>
      <c r="EK155" s="606"/>
      <c r="EL155" s="606"/>
      <c r="EM155" s="606"/>
      <c r="EN155" s="606"/>
      <c r="EO155" s="606"/>
      <c r="EP155" s="607"/>
    </row>
    <row r="160" spans="1:146" x14ac:dyDescent="0.15">
      <c r="B160"/>
    </row>
    <row r="161" spans="1:146" ht="13.5" customHeight="1" x14ac:dyDescent="0.15">
      <c r="B161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  <c r="CC161" s="12"/>
      <c r="CD161" s="12"/>
      <c r="CE161" s="12"/>
      <c r="CF161" s="12"/>
      <c r="CG161" s="12"/>
      <c r="CH161" s="12"/>
      <c r="CI161" s="12"/>
      <c r="CJ161" s="12"/>
      <c r="CK161" s="12"/>
      <c r="CL161" s="12"/>
      <c r="CM161" s="12"/>
      <c r="CN161" s="12"/>
      <c r="CO161" s="12"/>
      <c r="CP161" s="12"/>
      <c r="CQ161" s="12"/>
      <c r="CR161" s="12"/>
      <c r="CS161" s="12"/>
      <c r="CT161" s="12"/>
      <c r="CU161" s="12"/>
      <c r="CV161" s="12"/>
      <c r="CW161" s="12"/>
      <c r="CX161" s="12"/>
      <c r="CY161" s="12"/>
      <c r="CZ161" s="12"/>
      <c r="DA161" s="12"/>
      <c r="DB161" s="12"/>
      <c r="DC161" s="12"/>
      <c r="DD161" s="12"/>
      <c r="DE161" s="12"/>
      <c r="DF161" s="12"/>
      <c r="DG161" s="12"/>
      <c r="DH161" s="12"/>
      <c r="DI161" s="12"/>
      <c r="DJ161" s="12"/>
      <c r="DK161" s="12"/>
      <c r="DL161" s="12"/>
      <c r="DM161" s="12"/>
      <c r="DN161" s="12"/>
      <c r="DO161" s="12"/>
      <c r="DP161" s="12"/>
      <c r="DQ161" s="12"/>
      <c r="DR161" s="12"/>
      <c r="DS161" s="12"/>
      <c r="DT161" s="12"/>
      <c r="DU161" s="12"/>
      <c r="DV161" s="12"/>
      <c r="DW161" s="12"/>
      <c r="DX161" s="12"/>
      <c r="DY161" s="12"/>
      <c r="DZ161" s="12"/>
      <c r="EA161" s="12"/>
      <c r="EB161" s="12"/>
      <c r="EC161" s="12"/>
      <c r="ED161" s="12"/>
      <c r="EE161" s="12"/>
      <c r="EF161" s="12"/>
      <c r="EG161" s="12"/>
      <c r="EH161" s="12"/>
      <c r="EI161" s="12"/>
      <c r="EJ161" s="12"/>
      <c r="EK161" s="12"/>
      <c r="EL161" s="12"/>
      <c r="EM161" s="12"/>
      <c r="EN161" s="12"/>
      <c r="EO161" s="12"/>
      <c r="EP161" s="12"/>
    </row>
    <row r="162" spans="1:146" ht="13.5" customHeight="1" x14ac:dyDescent="0.15">
      <c r="B16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  <c r="CC162" s="12"/>
      <c r="CD162" s="12"/>
      <c r="CE162" s="12"/>
      <c r="CF162" s="12"/>
      <c r="CG162" s="12"/>
      <c r="CH162" s="12"/>
      <c r="CI162" s="12"/>
      <c r="CJ162" s="12"/>
      <c r="CK162" s="12"/>
      <c r="CL162" s="12"/>
      <c r="CM162" s="12"/>
      <c r="CN162" s="12"/>
      <c r="CO162" s="12"/>
      <c r="CP162" s="12"/>
      <c r="CQ162" s="12"/>
      <c r="CR162" s="12"/>
      <c r="CS162" s="12"/>
      <c r="CT162" s="12"/>
      <c r="CU162" s="12"/>
      <c r="CV162" s="12"/>
      <c r="CW162" s="12"/>
      <c r="CX162" s="12"/>
      <c r="CY162" s="12"/>
      <c r="CZ162" s="12"/>
      <c r="DA162" s="12"/>
      <c r="DB162" s="12"/>
      <c r="DC162" s="12"/>
      <c r="DD162" s="12"/>
      <c r="DE162" s="12"/>
      <c r="DF162" s="12"/>
      <c r="DG162" s="12"/>
      <c r="DH162" s="12"/>
      <c r="DI162" s="12"/>
      <c r="DJ162" s="12"/>
      <c r="DK162" s="12"/>
      <c r="DL162" s="12"/>
      <c r="DM162" s="12"/>
      <c r="DN162" s="12"/>
      <c r="DO162" s="12"/>
      <c r="DP162" s="12"/>
      <c r="DQ162" s="12"/>
      <c r="DR162" s="12"/>
      <c r="DS162" s="12"/>
      <c r="DT162" s="12"/>
      <c r="DU162" s="12"/>
      <c r="DV162" s="12"/>
      <c r="DW162" s="12"/>
      <c r="DX162" s="12"/>
      <c r="DY162" s="12"/>
      <c r="DZ162" s="12"/>
      <c r="EA162" s="12"/>
      <c r="EB162" s="12"/>
      <c r="EC162" s="12"/>
      <c r="ED162" s="12"/>
      <c r="EE162" s="12"/>
      <c r="EF162" s="12"/>
      <c r="EG162" s="12"/>
      <c r="EH162" s="12"/>
      <c r="EI162" s="12"/>
      <c r="EJ162" s="12"/>
      <c r="EK162" s="12"/>
      <c r="EL162" s="12"/>
      <c r="EM162" s="12"/>
      <c r="EN162" s="12"/>
      <c r="EO162" s="12"/>
      <c r="EP162" s="12"/>
    </row>
    <row r="163" spans="1:146" s="572" customFormat="1" ht="19.5" customHeight="1" x14ac:dyDescent="0.2">
      <c r="A163" s="539"/>
      <c r="B163" s="102" t="s">
        <v>644</v>
      </c>
      <c r="C163" s="571"/>
      <c r="D163" s="571"/>
      <c r="E163" s="571"/>
      <c r="F163" s="571"/>
      <c r="G163" s="571"/>
      <c r="H163" s="571"/>
      <c r="I163" s="571"/>
      <c r="J163" s="571"/>
      <c r="K163" s="571"/>
      <c r="L163" s="571"/>
      <c r="M163" s="571"/>
      <c r="N163" s="571"/>
      <c r="O163" s="571"/>
      <c r="P163" s="571"/>
      <c r="Q163" s="571"/>
      <c r="R163" s="571"/>
      <c r="S163" s="571"/>
      <c r="T163" s="571"/>
      <c r="U163" s="571"/>
      <c r="V163" s="571"/>
      <c r="W163" s="571"/>
      <c r="X163" s="571"/>
      <c r="Y163" s="571"/>
      <c r="Z163" s="571"/>
      <c r="AA163" s="102"/>
      <c r="AB163" s="571"/>
      <c r="AC163" s="571"/>
      <c r="AD163" s="571"/>
      <c r="AE163" s="571"/>
      <c r="AF163" s="571"/>
      <c r="AG163" s="571"/>
      <c r="AH163" s="571"/>
      <c r="AI163" s="571"/>
      <c r="AJ163" s="571"/>
      <c r="AK163" s="571"/>
      <c r="AL163" s="571"/>
      <c r="AM163" s="571"/>
      <c r="AN163" s="571"/>
      <c r="AO163" s="571"/>
      <c r="AP163" s="571"/>
      <c r="AQ163" s="571"/>
      <c r="AR163" s="571"/>
      <c r="AS163" s="571"/>
      <c r="AT163" s="571"/>
      <c r="AU163" s="571"/>
      <c r="AV163" s="571"/>
      <c r="AW163" s="571"/>
      <c r="AX163" s="571"/>
      <c r="AY163" s="571"/>
      <c r="AZ163" s="571"/>
      <c r="BA163" s="571"/>
      <c r="BB163" s="571"/>
      <c r="BC163" s="571"/>
      <c r="BD163" s="571"/>
      <c r="BE163" s="571"/>
      <c r="BF163" s="571"/>
      <c r="BG163" s="571"/>
      <c r="BH163" s="571"/>
      <c r="BI163" s="571"/>
      <c r="BJ163" s="571"/>
      <c r="BK163" s="571"/>
      <c r="BL163" s="571"/>
      <c r="BM163" s="571"/>
      <c r="BN163" s="571"/>
      <c r="BO163" s="571"/>
      <c r="BP163" s="571"/>
      <c r="BQ163" s="571"/>
      <c r="BR163" s="571"/>
      <c r="BS163" s="571"/>
      <c r="BT163" s="571"/>
      <c r="BU163" s="571"/>
      <c r="BV163" s="571"/>
      <c r="BW163" s="571"/>
      <c r="BX163" s="571"/>
      <c r="BY163" s="571"/>
      <c r="BZ163" s="571"/>
      <c r="CA163" s="571"/>
      <c r="CB163" s="571"/>
      <c r="CC163" s="571"/>
      <c r="CD163" s="571"/>
      <c r="CE163" s="571"/>
      <c r="CF163" s="571"/>
      <c r="CG163" s="571"/>
      <c r="CH163" s="571"/>
      <c r="CI163" s="571"/>
      <c r="CJ163" s="571"/>
      <c r="CK163" s="571"/>
      <c r="CL163" s="571"/>
      <c r="CM163" s="571"/>
      <c r="CN163" s="571"/>
      <c r="CO163" s="571"/>
      <c r="CP163" s="571"/>
      <c r="CQ163" s="571"/>
      <c r="CR163" s="571"/>
      <c r="CS163" s="571"/>
      <c r="CT163" s="571"/>
      <c r="CU163" s="102"/>
      <c r="CV163" s="571"/>
      <c r="CW163" s="571"/>
      <c r="CX163" s="571"/>
      <c r="CY163" s="571"/>
      <c r="CZ163" s="571"/>
      <c r="DA163" s="571"/>
      <c r="DB163" s="571"/>
      <c r="DC163" s="571"/>
      <c r="DD163" s="571"/>
      <c r="DE163" s="571"/>
      <c r="DF163" s="571"/>
      <c r="DG163" s="571"/>
      <c r="DH163" s="571"/>
      <c r="DI163" s="571"/>
      <c r="DJ163" s="571"/>
      <c r="DK163" s="571"/>
      <c r="DL163" s="571"/>
      <c r="DM163" s="571"/>
      <c r="DN163" s="571"/>
      <c r="DO163" s="571"/>
      <c r="DP163" s="571"/>
      <c r="DQ163" s="571"/>
      <c r="DR163" s="571"/>
      <c r="DS163" s="571"/>
      <c r="DT163" s="571"/>
      <c r="DU163" s="571"/>
      <c r="DV163" s="571"/>
      <c r="DW163" s="571"/>
      <c r="DX163" s="571"/>
      <c r="DY163" s="571"/>
      <c r="DZ163" s="571"/>
      <c r="EA163" s="571"/>
      <c r="EB163" s="571"/>
      <c r="EC163" s="571"/>
      <c r="ED163" s="571"/>
      <c r="EE163" s="571"/>
      <c r="EF163" s="571"/>
      <c r="EG163" s="571"/>
      <c r="EH163" s="571"/>
      <c r="EI163" s="571"/>
      <c r="EJ163" s="571"/>
      <c r="EK163" s="571"/>
      <c r="EL163" s="571"/>
      <c r="EM163" s="571"/>
      <c r="EN163" s="571"/>
      <c r="EO163" s="571"/>
      <c r="EP163" s="571"/>
    </row>
    <row r="164" spans="1:146" s="572" customFormat="1" ht="18" customHeight="1" x14ac:dyDescent="0.2">
      <c r="A164" s="539"/>
      <c r="B164" s="83" t="s">
        <v>531</v>
      </c>
      <c r="C164" s="571"/>
      <c r="D164" s="571"/>
      <c r="E164" s="571"/>
      <c r="F164" s="571"/>
      <c r="G164" s="571"/>
      <c r="H164" s="571"/>
      <c r="I164" s="571"/>
      <c r="J164" s="571"/>
      <c r="K164" s="571"/>
      <c r="L164" s="571"/>
      <c r="M164" s="571"/>
      <c r="N164" s="571"/>
      <c r="O164" s="571"/>
      <c r="P164" s="571"/>
      <c r="Q164" s="571"/>
      <c r="R164" s="571"/>
      <c r="S164" s="571"/>
      <c r="T164" s="571"/>
      <c r="U164" s="571"/>
      <c r="V164" s="571"/>
      <c r="W164" s="571"/>
      <c r="X164" s="571"/>
      <c r="Y164" s="571"/>
      <c r="Z164" s="571"/>
      <c r="AA164" s="83"/>
      <c r="AB164" s="571"/>
      <c r="AC164" s="571"/>
      <c r="AD164" s="571"/>
      <c r="AE164" s="571"/>
      <c r="AF164" s="571"/>
      <c r="AG164" s="571"/>
      <c r="AH164" s="571"/>
      <c r="AI164" s="571"/>
      <c r="AJ164" s="571"/>
      <c r="AK164" s="571"/>
      <c r="AL164" s="571"/>
      <c r="AM164" s="571"/>
      <c r="AN164" s="571"/>
      <c r="AO164" s="571"/>
      <c r="AP164" s="571"/>
      <c r="AQ164" s="571"/>
      <c r="AR164" s="571"/>
      <c r="AS164" s="571"/>
      <c r="AT164" s="571"/>
      <c r="AU164" s="571"/>
      <c r="AV164" s="571"/>
      <c r="AW164" s="571"/>
      <c r="AX164" s="571"/>
      <c r="AY164" s="571"/>
      <c r="AZ164" s="571"/>
      <c r="BA164" s="571"/>
      <c r="BB164" s="571"/>
      <c r="BC164" s="571"/>
      <c r="BD164" s="571"/>
      <c r="BE164" s="571"/>
      <c r="BF164" s="571"/>
      <c r="BG164" s="571"/>
      <c r="BH164" s="571"/>
      <c r="BI164" s="571"/>
      <c r="BJ164" s="571"/>
      <c r="BK164" s="571"/>
      <c r="BL164" s="571"/>
      <c r="BM164" s="571"/>
      <c r="BN164" s="571"/>
      <c r="BO164" s="571"/>
      <c r="BP164" s="571"/>
      <c r="BQ164" s="571"/>
      <c r="BR164" s="571"/>
      <c r="BS164" s="571"/>
      <c r="BT164" s="571"/>
      <c r="BU164" s="571"/>
      <c r="BV164" s="571"/>
      <c r="BW164" s="571"/>
      <c r="BX164" s="571"/>
      <c r="BY164" s="571"/>
      <c r="BZ164" s="571"/>
      <c r="CA164" s="571"/>
      <c r="CB164" s="571"/>
      <c r="CC164" s="571"/>
      <c r="CD164" s="571"/>
      <c r="CE164" s="571"/>
      <c r="CF164" s="571"/>
      <c r="CG164" s="571"/>
      <c r="CH164" s="571"/>
      <c r="CI164" s="571"/>
      <c r="CJ164" s="571"/>
      <c r="CK164" s="571"/>
      <c r="CL164" s="571"/>
      <c r="CM164" s="571"/>
      <c r="CN164" s="571"/>
      <c r="CO164" s="571"/>
      <c r="CP164" s="571"/>
      <c r="CQ164" s="571"/>
      <c r="CR164" s="571"/>
      <c r="CS164" s="571"/>
      <c r="CT164" s="571"/>
      <c r="CU164" s="83"/>
      <c r="CV164" s="571"/>
      <c r="CW164" s="571"/>
      <c r="CX164" s="571"/>
      <c r="CY164" s="571"/>
      <c r="CZ164" s="571"/>
      <c r="DA164" s="571"/>
      <c r="DB164" s="571"/>
      <c r="DC164" s="571"/>
      <c r="DD164" s="571"/>
      <c r="DE164" s="571"/>
      <c r="DF164" s="571"/>
      <c r="DG164" s="571"/>
      <c r="DH164" s="571"/>
      <c r="DI164" s="571"/>
      <c r="DJ164" s="571"/>
      <c r="DK164" s="571"/>
      <c r="DL164" s="571"/>
      <c r="DM164" s="571"/>
      <c r="DN164" s="571"/>
      <c r="DO164" s="571"/>
      <c r="DP164" s="571"/>
      <c r="DQ164" s="571"/>
      <c r="DR164" s="571"/>
      <c r="DS164" s="571"/>
      <c r="DT164" s="571"/>
      <c r="DU164" s="571"/>
      <c r="DV164" s="571"/>
      <c r="DW164" s="571"/>
      <c r="DX164" s="571"/>
      <c r="DY164" s="571"/>
      <c r="DZ164" s="571"/>
      <c r="EA164" s="571"/>
      <c r="EB164" s="571"/>
      <c r="EC164" s="571"/>
      <c r="ED164" s="571"/>
      <c r="EE164" s="571"/>
      <c r="EF164" s="571"/>
      <c r="EG164" s="571"/>
      <c r="EH164" s="571"/>
      <c r="EI164" s="571"/>
      <c r="EJ164" s="571"/>
      <c r="EK164" s="571"/>
      <c r="EL164" s="571"/>
      <c r="EM164" s="571"/>
      <c r="EN164" s="571"/>
      <c r="EO164" s="571"/>
      <c r="EP164" s="571"/>
    </row>
    <row r="165" spans="1:146" s="572" customFormat="1" ht="18" customHeight="1" x14ac:dyDescent="0.2">
      <c r="A165" s="539"/>
      <c r="B165" s="573"/>
    </row>
    <row r="166" spans="1:146" ht="14" x14ac:dyDescent="0.15">
      <c r="B166" s="573"/>
    </row>
    <row r="167" spans="1:146" ht="14" x14ac:dyDescent="0.15">
      <c r="B167" s="573"/>
    </row>
    <row r="168" spans="1:146" ht="14" x14ac:dyDescent="0.15">
      <c r="B168" s="573"/>
    </row>
  </sheetData>
  <mergeCells count="705">
    <mergeCell ref="A145:EP145"/>
    <mergeCell ref="C147:Z147"/>
    <mergeCell ref="AA147:AX147"/>
    <mergeCell ref="AY147:BV147"/>
    <mergeCell ref="BW147:CT147"/>
    <mergeCell ref="CU147:DR147"/>
    <mergeCell ref="DS147:EP147"/>
    <mergeCell ref="CO141:CT141"/>
    <mergeCell ref="CU141:CZ141"/>
    <mergeCell ref="DA141:DF141"/>
    <mergeCell ref="DG141:DL141"/>
    <mergeCell ref="DM141:DR141"/>
    <mergeCell ref="DS141:DX141"/>
    <mergeCell ref="BE141:BJ141"/>
    <mergeCell ref="BK141:BP141"/>
    <mergeCell ref="BQ141:BV141"/>
    <mergeCell ref="BW141:CB141"/>
    <mergeCell ref="CC141:CH141"/>
    <mergeCell ref="CI141:CN141"/>
    <mergeCell ref="A139:A141"/>
    <mergeCell ref="B139:B141"/>
    <mergeCell ref="BQ140:BV140"/>
    <mergeCell ref="BW140:CB140"/>
    <mergeCell ref="CC140:CH140"/>
    <mergeCell ref="CI140:CN140"/>
    <mergeCell ref="CO140:CT140"/>
    <mergeCell ref="CU140:CZ140"/>
    <mergeCell ref="DY141:ED141"/>
    <mergeCell ref="EE141:EJ141"/>
    <mergeCell ref="EK141:EP141"/>
    <mergeCell ref="C141:H141"/>
    <mergeCell ref="I141:N141"/>
    <mergeCell ref="O141:T141"/>
    <mergeCell ref="U141:Z141"/>
    <mergeCell ref="AA141:AF141"/>
    <mergeCell ref="AG141:AL141"/>
    <mergeCell ref="AM141:AR141"/>
    <mergeCell ref="AS141:AX141"/>
    <mergeCell ref="AY141:BD141"/>
    <mergeCell ref="BW139:CT139"/>
    <mergeCell ref="CU139:DR139"/>
    <mergeCell ref="DS139:EP139"/>
    <mergeCell ref="C140:H140"/>
    <mergeCell ref="I140:N140"/>
    <mergeCell ref="O140:T140"/>
    <mergeCell ref="U140:Z140"/>
    <mergeCell ref="AA140:AF140"/>
    <mergeCell ref="AG140:AL140"/>
    <mergeCell ref="AM140:AR140"/>
    <mergeCell ref="C139:Z139"/>
    <mergeCell ref="AA139:AX139"/>
    <mergeCell ref="AY139:BV139"/>
    <mergeCell ref="AS140:AX140"/>
    <mergeCell ref="AY140:BD140"/>
    <mergeCell ref="BE140:BJ140"/>
    <mergeCell ref="BK140:BP140"/>
    <mergeCell ref="EK140:EP140"/>
    <mergeCell ref="DA140:DF140"/>
    <mergeCell ref="DG140:DL140"/>
    <mergeCell ref="DM140:DR140"/>
    <mergeCell ref="DS140:DX140"/>
    <mergeCell ref="DY140:ED140"/>
    <mergeCell ref="EE140:EJ140"/>
    <mergeCell ref="DY50:ED50"/>
    <mergeCell ref="EE50:EJ50"/>
    <mergeCell ref="EK50:EP50"/>
    <mergeCell ref="B138:EP138"/>
    <mergeCell ref="CC50:CH50"/>
    <mergeCell ref="CI50:CN50"/>
    <mergeCell ref="CO50:CT50"/>
    <mergeCell ref="CU50:CZ50"/>
    <mergeCell ref="DA50:DF50"/>
    <mergeCell ref="DG50:DL50"/>
    <mergeCell ref="AS50:AX50"/>
    <mergeCell ref="AY50:BD50"/>
    <mergeCell ref="BE50:BJ50"/>
    <mergeCell ref="BK50:BP50"/>
    <mergeCell ref="BQ50:BV50"/>
    <mergeCell ref="BW50:CB50"/>
    <mergeCell ref="BE129:BJ129"/>
    <mergeCell ref="BK129:BP129"/>
    <mergeCell ref="BQ129:BV129"/>
    <mergeCell ref="BW129:CB129"/>
    <mergeCell ref="CC129:CH129"/>
    <mergeCell ref="CI129:CN129"/>
    <mergeCell ref="O50:T50"/>
    <mergeCell ref="U50:Z50"/>
    <mergeCell ref="DM49:DR49"/>
    <mergeCell ref="DS49:DX49"/>
    <mergeCell ref="BE49:BJ49"/>
    <mergeCell ref="BK49:BP49"/>
    <mergeCell ref="BQ49:BV49"/>
    <mergeCell ref="BW49:CB49"/>
    <mergeCell ref="CC49:CH49"/>
    <mergeCell ref="CI49:CN49"/>
    <mergeCell ref="DM50:DR50"/>
    <mergeCell ref="DS50:DX50"/>
    <mergeCell ref="AA50:AF50"/>
    <mergeCell ref="AG50:AL50"/>
    <mergeCell ref="AM50:AR50"/>
    <mergeCell ref="CO49:CT49"/>
    <mergeCell ref="CU49:CZ49"/>
    <mergeCell ref="DA49:DF49"/>
    <mergeCell ref="DG49:DL49"/>
    <mergeCell ref="A46:EP46"/>
    <mergeCell ref="B47:EP47"/>
    <mergeCell ref="A48:A50"/>
    <mergeCell ref="B48:B50"/>
    <mergeCell ref="C48:Z48"/>
    <mergeCell ref="AA48:AX48"/>
    <mergeCell ref="AY48:BV48"/>
    <mergeCell ref="BW48:CT48"/>
    <mergeCell ref="CU48:DR48"/>
    <mergeCell ref="DS48:EP48"/>
    <mergeCell ref="C49:H49"/>
    <mergeCell ref="I49:N49"/>
    <mergeCell ref="O49:T49"/>
    <mergeCell ref="U49:Z49"/>
    <mergeCell ref="AA49:AF49"/>
    <mergeCell ref="AG49:AL49"/>
    <mergeCell ref="AM49:AR49"/>
    <mergeCell ref="AS49:AX49"/>
    <mergeCell ref="AY49:BD49"/>
    <mergeCell ref="DY49:ED49"/>
    <mergeCell ref="EE49:EJ49"/>
    <mergeCell ref="EK49:EP49"/>
    <mergeCell ref="C50:H50"/>
    <mergeCell ref="I50:N50"/>
    <mergeCell ref="DG28:DL28"/>
    <mergeCell ref="DM28:DR28"/>
    <mergeCell ref="DS28:DX28"/>
    <mergeCell ref="DY28:ED28"/>
    <mergeCell ref="EE28:EJ28"/>
    <mergeCell ref="EK28:EP28"/>
    <mergeCell ref="BW28:CB28"/>
    <mergeCell ref="CC28:CH28"/>
    <mergeCell ref="CI28:CN28"/>
    <mergeCell ref="CO28:CT28"/>
    <mergeCell ref="CU28:CZ28"/>
    <mergeCell ref="DA28:DF28"/>
    <mergeCell ref="AM28:AR28"/>
    <mergeCell ref="AS28:AX28"/>
    <mergeCell ref="AY28:BD28"/>
    <mergeCell ref="BE28:BJ28"/>
    <mergeCell ref="BK28:BP28"/>
    <mergeCell ref="BQ28:BV28"/>
    <mergeCell ref="C28:H28"/>
    <mergeCell ref="I28:N28"/>
    <mergeCell ref="O28:T28"/>
    <mergeCell ref="U28:Z28"/>
    <mergeCell ref="AA28:AF28"/>
    <mergeCell ref="AG28:AL28"/>
    <mergeCell ref="DY27:ED27"/>
    <mergeCell ref="EE27:EJ27"/>
    <mergeCell ref="O27:T27"/>
    <mergeCell ref="U27:Z27"/>
    <mergeCell ref="AA27:AF27"/>
    <mergeCell ref="AG27:AL27"/>
    <mergeCell ref="DG27:DL27"/>
    <mergeCell ref="DM27:DR27"/>
    <mergeCell ref="DS27:DX27"/>
    <mergeCell ref="EK27:EP27"/>
    <mergeCell ref="BW27:CB27"/>
    <mergeCell ref="CC27:CH27"/>
    <mergeCell ref="CI27:CN27"/>
    <mergeCell ref="CO27:CT27"/>
    <mergeCell ref="CU27:CZ27"/>
    <mergeCell ref="DA27:DF27"/>
    <mergeCell ref="B25:EP25"/>
    <mergeCell ref="A26:A28"/>
    <mergeCell ref="B26:B28"/>
    <mergeCell ref="C26:Z26"/>
    <mergeCell ref="AA26:AX26"/>
    <mergeCell ref="AY26:BV26"/>
    <mergeCell ref="BW26:CT26"/>
    <mergeCell ref="CU26:DR26"/>
    <mergeCell ref="DS26:EP26"/>
    <mergeCell ref="AM27:AR27"/>
    <mergeCell ref="AS27:AX27"/>
    <mergeCell ref="AY27:BD27"/>
    <mergeCell ref="BE27:BJ27"/>
    <mergeCell ref="BK27:BP27"/>
    <mergeCell ref="BQ27:BV27"/>
    <mergeCell ref="C27:H27"/>
    <mergeCell ref="I27:N27"/>
    <mergeCell ref="DG19:DL19"/>
    <mergeCell ref="DM19:DR19"/>
    <mergeCell ref="DS19:DX19"/>
    <mergeCell ref="DY19:ED19"/>
    <mergeCell ref="EE19:EJ19"/>
    <mergeCell ref="EK19:EP19"/>
    <mergeCell ref="BW19:CB19"/>
    <mergeCell ref="CC19:CH19"/>
    <mergeCell ref="CI19:CN19"/>
    <mergeCell ref="CO19:CT19"/>
    <mergeCell ref="CU19:CZ19"/>
    <mergeCell ref="DA19:DF19"/>
    <mergeCell ref="AM19:AR19"/>
    <mergeCell ref="AS19:AX19"/>
    <mergeCell ref="AY19:BD19"/>
    <mergeCell ref="BE19:BJ19"/>
    <mergeCell ref="BK19:BP19"/>
    <mergeCell ref="BQ19:BV19"/>
    <mergeCell ref="C19:H19"/>
    <mergeCell ref="I19:N19"/>
    <mergeCell ref="O19:T19"/>
    <mergeCell ref="U19:Z19"/>
    <mergeCell ref="AA19:AF19"/>
    <mergeCell ref="AG19:AL19"/>
    <mergeCell ref="DS18:DX18"/>
    <mergeCell ref="DY18:ED18"/>
    <mergeCell ref="EE18:EJ18"/>
    <mergeCell ref="EK18:EP18"/>
    <mergeCell ref="BW18:CB18"/>
    <mergeCell ref="CC18:CH18"/>
    <mergeCell ref="CI18:CN18"/>
    <mergeCell ref="CO18:CT18"/>
    <mergeCell ref="CU18:CZ18"/>
    <mergeCell ref="DA18:DF18"/>
    <mergeCell ref="AM18:AR18"/>
    <mergeCell ref="AS18:AX18"/>
    <mergeCell ref="AY18:BD18"/>
    <mergeCell ref="BE18:BJ18"/>
    <mergeCell ref="BK18:BP18"/>
    <mergeCell ref="BQ18:BV18"/>
    <mergeCell ref="AY17:BV17"/>
    <mergeCell ref="BW17:CT17"/>
    <mergeCell ref="CU17:DR17"/>
    <mergeCell ref="DG18:DL18"/>
    <mergeCell ref="DM18:DR18"/>
    <mergeCell ref="DS17:EP17"/>
    <mergeCell ref="C18:H18"/>
    <mergeCell ref="I18:N18"/>
    <mergeCell ref="O18:T18"/>
    <mergeCell ref="U18:Z18"/>
    <mergeCell ref="AA18:AF18"/>
    <mergeCell ref="AG18:AL18"/>
    <mergeCell ref="DY9:ED9"/>
    <mergeCell ref="EE9:EJ9"/>
    <mergeCell ref="EK9:EP9"/>
    <mergeCell ref="A15:EP15"/>
    <mergeCell ref="B16:EP16"/>
    <mergeCell ref="A17:A19"/>
    <mergeCell ref="B17:B19"/>
    <mergeCell ref="C17:Z17"/>
    <mergeCell ref="AA17:AX17"/>
    <mergeCell ref="CO9:CT9"/>
    <mergeCell ref="CU9:CZ9"/>
    <mergeCell ref="DA9:DF9"/>
    <mergeCell ref="DG9:DL9"/>
    <mergeCell ref="DM9:DR9"/>
    <mergeCell ref="DS9:DX9"/>
    <mergeCell ref="BE9:BJ9"/>
    <mergeCell ref="BK9:BP9"/>
    <mergeCell ref="BW9:CB9"/>
    <mergeCell ref="CC9:CH9"/>
    <mergeCell ref="CI9:CN9"/>
    <mergeCell ref="EK8:EP8"/>
    <mergeCell ref="C9:H9"/>
    <mergeCell ref="I9:N9"/>
    <mergeCell ref="O9:T9"/>
    <mergeCell ref="U9:Z9"/>
    <mergeCell ref="AA9:AF9"/>
    <mergeCell ref="AG9:AL9"/>
    <mergeCell ref="AM9:AR9"/>
    <mergeCell ref="AS9:AX9"/>
    <mergeCell ref="AY9:BD9"/>
    <mergeCell ref="DA8:DF8"/>
    <mergeCell ref="DG8:DL8"/>
    <mergeCell ref="DM8:DR8"/>
    <mergeCell ref="DS8:DX8"/>
    <mergeCell ref="DY8:ED8"/>
    <mergeCell ref="EE8:EJ8"/>
    <mergeCell ref="BQ8:BV8"/>
    <mergeCell ref="BW8:CB8"/>
    <mergeCell ref="CC8:CH8"/>
    <mergeCell ref="CI8:CN8"/>
    <mergeCell ref="CO8:CT8"/>
    <mergeCell ref="CU8:CZ8"/>
    <mergeCell ref="BW7:CT7"/>
    <mergeCell ref="CU7:DR7"/>
    <mergeCell ref="DS7:EP7"/>
    <mergeCell ref="C8:H8"/>
    <mergeCell ref="I8:N8"/>
    <mergeCell ref="O8:T8"/>
    <mergeCell ref="U8:Z8"/>
    <mergeCell ref="AA8:AF8"/>
    <mergeCell ref="AG8:AL8"/>
    <mergeCell ref="AM8:AR8"/>
    <mergeCell ref="A7:A9"/>
    <mergeCell ref="B7:B9"/>
    <mergeCell ref="C7:Z7"/>
    <mergeCell ref="AA7:AX7"/>
    <mergeCell ref="AY7:BV7"/>
    <mergeCell ref="AS8:AX8"/>
    <mergeCell ref="AY8:BD8"/>
    <mergeCell ref="BE8:BJ8"/>
    <mergeCell ref="BK8:BP8"/>
    <mergeCell ref="BQ9:BV9"/>
    <mergeCell ref="A1:EP1"/>
    <mergeCell ref="A2:EP2"/>
    <mergeCell ref="A3:EP3"/>
    <mergeCell ref="A4:EP4"/>
    <mergeCell ref="A5:EP5"/>
    <mergeCell ref="B6:EP6"/>
    <mergeCell ref="B127:EP127"/>
    <mergeCell ref="A128:A130"/>
    <mergeCell ref="B128:B130"/>
    <mergeCell ref="C128:Z128"/>
    <mergeCell ref="AA128:AX128"/>
    <mergeCell ref="AY128:BV128"/>
    <mergeCell ref="BW128:CT128"/>
    <mergeCell ref="CU128:DR128"/>
    <mergeCell ref="DS128:EP128"/>
    <mergeCell ref="C129:H129"/>
    <mergeCell ref="I129:N129"/>
    <mergeCell ref="O129:T129"/>
    <mergeCell ref="U129:Z129"/>
    <mergeCell ref="AA129:AF129"/>
    <mergeCell ref="AG129:AL129"/>
    <mergeCell ref="AM129:AR129"/>
    <mergeCell ref="AS129:AX129"/>
    <mergeCell ref="AY129:BD129"/>
    <mergeCell ref="CO129:CT129"/>
    <mergeCell ref="CU129:CZ129"/>
    <mergeCell ref="DA129:DF129"/>
    <mergeCell ref="DG129:DL129"/>
    <mergeCell ref="DM129:DR129"/>
    <mergeCell ref="DS129:DX129"/>
    <mergeCell ref="DY129:ED129"/>
    <mergeCell ref="EE129:EJ129"/>
    <mergeCell ref="EK129:EP129"/>
    <mergeCell ref="C130:H130"/>
    <mergeCell ref="I130:N130"/>
    <mergeCell ref="O130:T130"/>
    <mergeCell ref="U130:Z130"/>
    <mergeCell ref="AA130:AF130"/>
    <mergeCell ref="AG130:AL130"/>
    <mergeCell ref="AM130:AR130"/>
    <mergeCell ref="AS130:AX130"/>
    <mergeCell ref="AY130:BD130"/>
    <mergeCell ref="BE130:BJ130"/>
    <mergeCell ref="BK130:BP130"/>
    <mergeCell ref="BQ130:BV130"/>
    <mergeCell ref="BW130:CB130"/>
    <mergeCell ref="CC130:CH130"/>
    <mergeCell ref="CI130:CN130"/>
    <mergeCell ref="CO130:CT130"/>
    <mergeCell ref="CU130:CZ130"/>
    <mergeCell ref="DA130:DF130"/>
    <mergeCell ref="DG130:DL130"/>
    <mergeCell ref="DM130:DR130"/>
    <mergeCell ref="DS130:DX130"/>
    <mergeCell ref="DY130:ED130"/>
    <mergeCell ref="EE130:EJ130"/>
    <mergeCell ref="EK130:EP130"/>
    <mergeCell ref="B101:EP101"/>
    <mergeCell ref="A102:A104"/>
    <mergeCell ref="B102:B104"/>
    <mergeCell ref="C102:Z102"/>
    <mergeCell ref="AA102:AX102"/>
    <mergeCell ref="AY102:BV102"/>
    <mergeCell ref="BW102:CT102"/>
    <mergeCell ref="CU102:DR102"/>
    <mergeCell ref="DS102:EP102"/>
    <mergeCell ref="C103:H103"/>
    <mergeCell ref="I103:N103"/>
    <mergeCell ref="O103:T103"/>
    <mergeCell ref="U103:Z103"/>
    <mergeCell ref="AA103:AF103"/>
    <mergeCell ref="AG103:AL103"/>
    <mergeCell ref="AM103:AR103"/>
    <mergeCell ref="AS103:AX103"/>
    <mergeCell ref="AY103:BD103"/>
    <mergeCell ref="BE103:BJ103"/>
    <mergeCell ref="BK103:BP103"/>
    <mergeCell ref="BQ103:BV103"/>
    <mergeCell ref="BW103:CB103"/>
    <mergeCell ref="CC103:CH103"/>
    <mergeCell ref="CI103:CN103"/>
    <mergeCell ref="CO103:CT103"/>
    <mergeCell ref="CU103:CZ103"/>
    <mergeCell ref="DA103:DF103"/>
    <mergeCell ref="DG103:DL103"/>
    <mergeCell ref="DM103:DR103"/>
    <mergeCell ref="DS103:DX103"/>
    <mergeCell ref="DY103:ED103"/>
    <mergeCell ref="EE103:EJ103"/>
    <mergeCell ref="EK103:EP103"/>
    <mergeCell ref="C104:H104"/>
    <mergeCell ref="I104:N104"/>
    <mergeCell ref="O104:T104"/>
    <mergeCell ref="U104:Z104"/>
    <mergeCell ref="AA104:AF104"/>
    <mergeCell ref="AG104:AL104"/>
    <mergeCell ref="AM104:AR104"/>
    <mergeCell ref="AS104:AX104"/>
    <mergeCell ref="AY104:BD104"/>
    <mergeCell ref="BE104:BJ104"/>
    <mergeCell ref="BK104:BP104"/>
    <mergeCell ref="BQ104:BV104"/>
    <mergeCell ref="BW104:CB104"/>
    <mergeCell ref="CC104:CH104"/>
    <mergeCell ref="CI104:CN104"/>
    <mergeCell ref="CO104:CT104"/>
    <mergeCell ref="CU104:CZ104"/>
    <mergeCell ref="DA104:DF104"/>
    <mergeCell ref="DG104:DL104"/>
    <mergeCell ref="DM104:DR104"/>
    <mergeCell ref="DS104:DX104"/>
    <mergeCell ref="DY104:ED104"/>
    <mergeCell ref="EE104:EJ104"/>
    <mergeCell ref="EK104:EP104"/>
    <mergeCell ref="B118:EP118"/>
    <mergeCell ref="A119:A121"/>
    <mergeCell ref="B119:B121"/>
    <mergeCell ref="C119:Z119"/>
    <mergeCell ref="AA119:AX119"/>
    <mergeCell ref="AY119:BV119"/>
    <mergeCell ref="BW119:CT119"/>
    <mergeCell ref="CU119:DR119"/>
    <mergeCell ref="DS119:EP119"/>
    <mergeCell ref="C120:H120"/>
    <mergeCell ref="I120:N120"/>
    <mergeCell ref="O120:T120"/>
    <mergeCell ref="U120:Z120"/>
    <mergeCell ref="AA120:AF120"/>
    <mergeCell ref="AG120:AL120"/>
    <mergeCell ref="AM120:AR120"/>
    <mergeCell ref="AS120:AX120"/>
    <mergeCell ref="AY120:BD120"/>
    <mergeCell ref="BE120:BJ120"/>
    <mergeCell ref="BK120:BP120"/>
    <mergeCell ref="BQ120:BV120"/>
    <mergeCell ref="BW120:CB120"/>
    <mergeCell ref="CC120:CH120"/>
    <mergeCell ref="CI120:CN120"/>
    <mergeCell ref="CO120:CT120"/>
    <mergeCell ref="CU120:CZ120"/>
    <mergeCell ref="DA120:DF120"/>
    <mergeCell ref="DG120:DL120"/>
    <mergeCell ref="DM120:DR120"/>
    <mergeCell ref="DS120:DX120"/>
    <mergeCell ref="DY120:ED120"/>
    <mergeCell ref="EE120:EJ120"/>
    <mergeCell ref="EK120:EP120"/>
    <mergeCell ref="C121:H121"/>
    <mergeCell ref="I121:N121"/>
    <mergeCell ref="O121:T121"/>
    <mergeCell ref="U121:Z121"/>
    <mergeCell ref="AA121:AF121"/>
    <mergeCell ref="AG121:AL121"/>
    <mergeCell ref="AM121:AR121"/>
    <mergeCell ref="AS121:AX121"/>
    <mergeCell ref="AY121:BD121"/>
    <mergeCell ref="BE121:BJ121"/>
    <mergeCell ref="BK121:BP121"/>
    <mergeCell ref="BQ121:BV121"/>
    <mergeCell ref="BW121:CB121"/>
    <mergeCell ref="CC121:CH121"/>
    <mergeCell ref="CI121:CN121"/>
    <mergeCell ref="CO121:CT121"/>
    <mergeCell ref="CU121:CZ121"/>
    <mergeCell ref="DA121:DF121"/>
    <mergeCell ref="DG121:DL121"/>
    <mergeCell ref="DM121:DR121"/>
    <mergeCell ref="DS121:DX121"/>
    <mergeCell ref="DY121:ED121"/>
    <mergeCell ref="EE121:EJ121"/>
    <mergeCell ref="EK121:EP121"/>
    <mergeCell ref="B55:EP55"/>
    <mergeCell ref="A56:A58"/>
    <mergeCell ref="B56:B58"/>
    <mergeCell ref="C56:Z56"/>
    <mergeCell ref="AA56:AX56"/>
    <mergeCell ref="AY56:BV56"/>
    <mergeCell ref="BW56:CT56"/>
    <mergeCell ref="CU56:DR56"/>
    <mergeCell ref="DS56:EP56"/>
    <mergeCell ref="C57:H57"/>
    <mergeCell ref="I57:N57"/>
    <mergeCell ref="O57:T57"/>
    <mergeCell ref="U57:Z57"/>
    <mergeCell ref="AA57:AF57"/>
    <mergeCell ref="AG57:AL57"/>
    <mergeCell ref="AM57:AR57"/>
    <mergeCell ref="AS57:AX57"/>
    <mergeCell ref="AY57:BD57"/>
    <mergeCell ref="BE57:BJ57"/>
    <mergeCell ref="BK57:BP57"/>
    <mergeCell ref="BQ57:BV57"/>
    <mergeCell ref="BW57:CB57"/>
    <mergeCell ref="CC57:CH57"/>
    <mergeCell ref="CI57:CN57"/>
    <mergeCell ref="CO57:CT57"/>
    <mergeCell ref="CU57:CZ57"/>
    <mergeCell ref="DA57:DF57"/>
    <mergeCell ref="DG57:DL57"/>
    <mergeCell ref="DM57:DR57"/>
    <mergeCell ref="DS57:DX57"/>
    <mergeCell ref="DY57:ED57"/>
    <mergeCell ref="EE57:EJ57"/>
    <mergeCell ref="EK57:EP57"/>
    <mergeCell ref="C58:H58"/>
    <mergeCell ref="I58:N58"/>
    <mergeCell ref="O58:T58"/>
    <mergeCell ref="U58:Z58"/>
    <mergeCell ref="AA58:AF58"/>
    <mergeCell ref="AG58:AL58"/>
    <mergeCell ref="AM58:AR58"/>
    <mergeCell ref="AS58:AX58"/>
    <mergeCell ref="AY58:BD58"/>
    <mergeCell ref="BE58:BJ58"/>
    <mergeCell ref="BK58:BP58"/>
    <mergeCell ref="BQ58:BV58"/>
    <mergeCell ref="BW58:CB58"/>
    <mergeCell ref="CC58:CH58"/>
    <mergeCell ref="CI58:CN58"/>
    <mergeCell ref="CO58:CT58"/>
    <mergeCell ref="CU58:CZ58"/>
    <mergeCell ref="DA58:DF58"/>
    <mergeCell ref="DG58:DL58"/>
    <mergeCell ref="DM58:DR58"/>
    <mergeCell ref="DS58:DX58"/>
    <mergeCell ref="DY58:ED58"/>
    <mergeCell ref="EE58:EJ58"/>
    <mergeCell ref="EK58:EP58"/>
    <mergeCell ref="B65:EP65"/>
    <mergeCell ref="A66:A68"/>
    <mergeCell ref="B66:B68"/>
    <mergeCell ref="C66:Z66"/>
    <mergeCell ref="AA66:AX66"/>
    <mergeCell ref="AY66:BV66"/>
    <mergeCell ref="BW66:CT66"/>
    <mergeCell ref="CU66:DR66"/>
    <mergeCell ref="DS66:EP66"/>
    <mergeCell ref="C67:H67"/>
    <mergeCell ref="I67:N67"/>
    <mergeCell ref="O67:T67"/>
    <mergeCell ref="U67:Z67"/>
    <mergeCell ref="AA67:AF67"/>
    <mergeCell ref="AG67:AL67"/>
    <mergeCell ref="AM67:AR67"/>
    <mergeCell ref="AS67:AX67"/>
    <mergeCell ref="AY67:BD67"/>
    <mergeCell ref="BE67:BJ67"/>
    <mergeCell ref="BK67:BP67"/>
    <mergeCell ref="BQ67:BV67"/>
    <mergeCell ref="BW67:CB67"/>
    <mergeCell ref="CC67:CH67"/>
    <mergeCell ref="CI67:CN67"/>
    <mergeCell ref="CO67:CT67"/>
    <mergeCell ref="CU67:CZ67"/>
    <mergeCell ref="DA67:DF67"/>
    <mergeCell ref="DG67:DL67"/>
    <mergeCell ref="DM67:DR67"/>
    <mergeCell ref="DS67:DX67"/>
    <mergeCell ref="DY67:ED67"/>
    <mergeCell ref="EE67:EJ67"/>
    <mergeCell ref="EK67:EP67"/>
    <mergeCell ref="C68:H68"/>
    <mergeCell ref="I68:N68"/>
    <mergeCell ref="O68:T68"/>
    <mergeCell ref="U68:Z68"/>
    <mergeCell ref="AA68:AF68"/>
    <mergeCell ref="AG68:AL68"/>
    <mergeCell ref="AM68:AR68"/>
    <mergeCell ref="AS68:AX68"/>
    <mergeCell ref="AY68:BD68"/>
    <mergeCell ref="BE68:BJ68"/>
    <mergeCell ref="BK68:BP68"/>
    <mergeCell ref="BQ68:BV68"/>
    <mergeCell ref="BW68:CB68"/>
    <mergeCell ref="CC68:CH68"/>
    <mergeCell ref="CI68:CN68"/>
    <mergeCell ref="CO68:CT68"/>
    <mergeCell ref="CU68:CZ68"/>
    <mergeCell ref="DA68:DF68"/>
    <mergeCell ref="DG68:DL68"/>
    <mergeCell ref="DM68:DR68"/>
    <mergeCell ref="DS68:DX68"/>
    <mergeCell ref="DY68:ED68"/>
    <mergeCell ref="EE68:EJ68"/>
    <mergeCell ref="EK68:EP68"/>
    <mergeCell ref="B75:EP75"/>
    <mergeCell ref="A76:A78"/>
    <mergeCell ref="B76:B78"/>
    <mergeCell ref="C76:Z76"/>
    <mergeCell ref="AA76:AX76"/>
    <mergeCell ref="AY76:BV76"/>
    <mergeCell ref="BW76:CT76"/>
    <mergeCell ref="CU76:DR76"/>
    <mergeCell ref="DS76:EP76"/>
    <mergeCell ref="C77:H77"/>
    <mergeCell ref="I77:N77"/>
    <mergeCell ref="O77:T77"/>
    <mergeCell ref="U77:Z77"/>
    <mergeCell ref="AA77:AF77"/>
    <mergeCell ref="AG77:AL77"/>
    <mergeCell ref="AM77:AR77"/>
    <mergeCell ref="AS77:AX77"/>
    <mergeCell ref="AY77:BD77"/>
    <mergeCell ref="BE77:BJ77"/>
    <mergeCell ref="BK77:BP77"/>
    <mergeCell ref="BQ77:BV77"/>
    <mergeCell ref="BW77:CB77"/>
    <mergeCell ref="CC77:CH77"/>
    <mergeCell ref="CI77:CN77"/>
    <mergeCell ref="CO77:CT77"/>
    <mergeCell ref="CU77:CZ77"/>
    <mergeCell ref="DA77:DF77"/>
    <mergeCell ref="DG77:DL77"/>
    <mergeCell ref="DM77:DR77"/>
    <mergeCell ref="DS77:DX77"/>
    <mergeCell ref="DY77:ED77"/>
    <mergeCell ref="EE77:EJ77"/>
    <mergeCell ref="EK77:EP77"/>
    <mergeCell ref="C78:H78"/>
    <mergeCell ref="I78:N78"/>
    <mergeCell ref="O78:T78"/>
    <mergeCell ref="U78:Z78"/>
    <mergeCell ref="AA78:AF78"/>
    <mergeCell ref="AG78:AL78"/>
    <mergeCell ref="AM78:AR78"/>
    <mergeCell ref="AS78:AX78"/>
    <mergeCell ref="AY78:BD78"/>
    <mergeCell ref="BE78:BJ78"/>
    <mergeCell ref="BK78:BP78"/>
    <mergeCell ref="BQ78:BV78"/>
    <mergeCell ref="BW78:CB78"/>
    <mergeCell ref="CC78:CH78"/>
    <mergeCell ref="CI78:CN78"/>
    <mergeCell ref="CO78:CT78"/>
    <mergeCell ref="CU78:CZ78"/>
    <mergeCell ref="DA78:DF78"/>
    <mergeCell ref="DG78:DL78"/>
    <mergeCell ref="DM78:DR78"/>
    <mergeCell ref="DS78:DX78"/>
    <mergeCell ref="DY78:ED78"/>
    <mergeCell ref="EE78:EJ78"/>
    <mergeCell ref="EK78:EP78"/>
    <mergeCell ref="B82:EP82"/>
    <mergeCell ref="A83:A85"/>
    <mergeCell ref="B83:B85"/>
    <mergeCell ref="C83:Z83"/>
    <mergeCell ref="AA83:AX83"/>
    <mergeCell ref="AY83:BV83"/>
    <mergeCell ref="BW83:CT83"/>
    <mergeCell ref="CU83:DR83"/>
    <mergeCell ref="DS83:EP83"/>
    <mergeCell ref="C84:H84"/>
    <mergeCell ref="I84:N84"/>
    <mergeCell ref="O84:T84"/>
    <mergeCell ref="U84:Z84"/>
    <mergeCell ref="AA84:AF84"/>
    <mergeCell ref="AG84:AL84"/>
    <mergeCell ref="AM84:AR84"/>
    <mergeCell ref="AS84:AX84"/>
    <mergeCell ref="AY84:BD84"/>
    <mergeCell ref="CI85:CN85"/>
    <mergeCell ref="CO85:CT85"/>
    <mergeCell ref="CU85:CZ85"/>
    <mergeCell ref="DA85:DF85"/>
    <mergeCell ref="BE84:BJ84"/>
    <mergeCell ref="BK84:BP84"/>
    <mergeCell ref="BQ84:BV84"/>
    <mergeCell ref="BW84:CB84"/>
    <mergeCell ref="CC84:CH84"/>
    <mergeCell ref="CI84:CN84"/>
    <mergeCell ref="CO84:CT84"/>
    <mergeCell ref="CU84:CZ84"/>
    <mergeCell ref="DA84:DF84"/>
    <mergeCell ref="AG85:AL85"/>
    <mergeCell ref="AM85:AR85"/>
    <mergeCell ref="AS85:AX85"/>
    <mergeCell ref="AY85:BD85"/>
    <mergeCell ref="BE85:BJ85"/>
    <mergeCell ref="BK85:BP85"/>
    <mergeCell ref="BQ85:BV85"/>
    <mergeCell ref="BW85:CB85"/>
    <mergeCell ref="CC85:CH85"/>
    <mergeCell ref="DG85:DL85"/>
    <mergeCell ref="DM85:DR85"/>
    <mergeCell ref="DS85:DX85"/>
    <mergeCell ref="DY85:ED85"/>
    <mergeCell ref="EE85:EJ85"/>
    <mergeCell ref="EK85:EP85"/>
    <mergeCell ref="B73:EP73"/>
    <mergeCell ref="C154:Z154"/>
    <mergeCell ref="AA154:AX154"/>
    <mergeCell ref="AY154:BV154"/>
    <mergeCell ref="BW154:CT154"/>
    <mergeCell ref="CU154:DR154"/>
    <mergeCell ref="DS154:EP154"/>
    <mergeCell ref="DG84:DL84"/>
    <mergeCell ref="DM84:DR84"/>
    <mergeCell ref="DS84:DX84"/>
    <mergeCell ref="DY84:ED84"/>
    <mergeCell ref="EE84:EJ84"/>
    <mergeCell ref="EK84:EP84"/>
    <mergeCell ref="C85:H85"/>
    <mergeCell ref="I85:N85"/>
    <mergeCell ref="O85:T85"/>
    <mergeCell ref="U85:Z85"/>
    <mergeCell ref="AA85:AF85"/>
  </mergeCells>
  <pageMargins left="0.31496062992125984" right="0.31496062992125984" top="0.74803149606299213" bottom="0.74803149606299213" header="0.31496062992125984" footer="0.31496062992125984"/>
  <pageSetup paperSize="9" scale="57" orientation="landscape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150"/>
  <sheetViews>
    <sheetView view="pageBreakPreview" topLeftCell="A118" zoomScaleNormal="115" zoomScaleSheetLayoutView="100" workbookViewId="0">
      <selection activeCell="B146" sqref="B146:B147"/>
    </sheetView>
  </sheetViews>
  <sheetFormatPr baseColWidth="10" defaultRowHeight="13" x14ac:dyDescent="0.15"/>
  <cols>
    <col min="1" max="1" width="6.1640625" style="197" customWidth="1"/>
    <col min="2" max="2" width="59.83203125" customWidth="1"/>
    <col min="3" max="3" width="19" customWidth="1"/>
    <col min="4" max="9" width="18.6640625" customWidth="1"/>
    <col min="10" max="10" width="18.1640625" bestFit="1" customWidth="1"/>
    <col min="11" max="11" width="25.5" customWidth="1"/>
  </cols>
  <sheetData>
    <row r="1" spans="1:12" ht="82.5" customHeight="1" x14ac:dyDescent="0.15">
      <c r="A1" s="1088"/>
      <c r="B1" s="1089"/>
      <c r="C1" s="1089"/>
      <c r="D1" s="1089"/>
      <c r="E1" s="1089"/>
      <c r="F1" s="1089"/>
      <c r="G1" s="1089"/>
      <c r="H1" s="1089"/>
      <c r="I1" s="1090"/>
    </row>
    <row r="2" spans="1:12" ht="19.5" customHeight="1" x14ac:dyDescent="0.15">
      <c r="A2" s="1091" t="s">
        <v>529</v>
      </c>
      <c r="B2" s="798"/>
      <c r="C2" s="798"/>
      <c r="D2" s="798"/>
      <c r="E2" s="798"/>
      <c r="F2" s="798"/>
      <c r="G2" s="798"/>
      <c r="H2" s="798"/>
      <c r="I2" s="1092"/>
    </row>
    <row r="3" spans="1:12" ht="24.75" customHeight="1" x14ac:dyDescent="0.15">
      <c r="A3" s="767" t="s">
        <v>660</v>
      </c>
      <c r="B3" s="768"/>
      <c r="C3" s="768"/>
      <c r="D3" s="768"/>
      <c r="E3" s="768"/>
      <c r="F3" s="768"/>
      <c r="G3" s="768"/>
      <c r="H3" s="768"/>
      <c r="I3" s="769"/>
    </row>
    <row r="4" spans="1:12" ht="15" customHeight="1" x14ac:dyDescent="0.15">
      <c r="A4" s="943" t="s">
        <v>758</v>
      </c>
      <c r="B4" s="1093"/>
      <c r="C4" s="1093"/>
      <c r="D4" s="1093"/>
      <c r="E4" s="1093"/>
      <c r="F4" s="1093"/>
      <c r="G4" s="1093"/>
      <c r="H4" s="1093"/>
      <c r="I4" s="944"/>
    </row>
    <row r="5" spans="1:12" ht="9.75" customHeight="1" x14ac:dyDescent="0.15">
      <c r="A5" s="1094"/>
      <c r="B5" s="1095"/>
      <c r="C5" s="1095"/>
      <c r="D5" s="1095"/>
      <c r="E5" s="1095"/>
      <c r="F5" s="1095"/>
      <c r="G5" s="1095"/>
      <c r="H5" s="1095"/>
      <c r="I5" s="1096"/>
    </row>
    <row r="6" spans="1:12" s="116" customFormat="1" ht="42" x14ac:dyDescent="0.15">
      <c r="A6" s="636" t="s">
        <v>0</v>
      </c>
      <c r="B6" s="10" t="s">
        <v>759</v>
      </c>
      <c r="C6" s="10" t="s">
        <v>760</v>
      </c>
      <c r="D6" s="338" t="s">
        <v>744</v>
      </c>
      <c r="E6" s="338" t="s">
        <v>745</v>
      </c>
      <c r="F6" s="338" t="s">
        <v>746</v>
      </c>
      <c r="G6" s="338" t="s">
        <v>747</v>
      </c>
      <c r="H6" s="338" t="s">
        <v>748</v>
      </c>
      <c r="I6" s="367" t="s">
        <v>749</v>
      </c>
    </row>
    <row r="7" spans="1:12" ht="8.25" customHeight="1" x14ac:dyDescent="0.15">
      <c r="A7" s="1079"/>
      <c r="B7" s="1080"/>
      <c r="C7" s="1080"/>
      <c r="D7" s="1080"/>
      <c r="E7" s="1080"/>
      <c r="F7" s="1080"/>
      <c r="G7" s="1080"/>
      <c r="H7" s="1080"/>
      <c r="I7" s="1097"/>
    </row>
    <row r="8" spans="1:12" s="576" customFormat="1" ht="15.75" customHeight="1" x14ac:dyDescent="0.15">
      <c r="A8" s="637">
        <v>1</v>
      </c>
      <c r="B8" s="1098" t="s">
        <v>12</v>
      </c>
      <c r="C8" s="1098"/>
      <c r="D8" s="1098"/>
      <c r="E8" s="1098"/>
      <c r="F8" s="1098"/>
      <c r="G8" s="1098"/>
      <c r="H8" s="1098"/>
      <c r="I8" s="1099"/>
      <c r="J8" s="574"/>
      <c r="K8" s="575"/>
    </row>
    <row r="9" spans="1:12" s="116" customFormat="1" ht="19.5" customHeight="1" x14ac:dyDescent="0.15">
      <c r="A9" s="624" t="s">
        <v>220</v>
      </c>
      <c r="B9" s="385" t="s">
        <v>46</v>
      </c>
      <c r="C9" s="577">
        <f>'PRESUPUESTO OBRA'!G282</f>
        <v>0</v>
      </c>
      <c r="D9" s="577">
        <f>C9*0.1</f>
        <v>0</v>
      </c>
      <c r="E9" s="578">
        <f>C9*0.2</f>
        <v>0</v>
      </c>
      <c r="F9" s="578">
        <f>C9*0.2</f>
        <v>0</v>
      </c>
      <c r="G9" s="578">
        <f>C9*0.2</f>
        <v>0</v>
      </c>
      <c r="H9" s="578">
        <f>C9*0.2</f>
        <v>0</v>
      </c>
      <c r="I9" s="633">
        <f>C9*0.1</f>
        <v>0</v>
      </c>
      <c r="J9" s="574"/>
      <c r="K9" s="579"/>
    </row>
    <row r="10" spans="1:12" s="116" customFormat="1" ht="27.75" customHeight="1" x14ac:dyDescent="0.15">
      <c r="A10" s="624" t="s">
        <v>221</v>
      </c>
      <c r="B10" s="385" t="s">
        <v>736</v>
      </c>
      <c r="C10" s="577">
        <f>'PRESUPUESTO OBRA'!G284</f>
        <v>0</v>
      </c>
      <c r="D10" s="577">
        <f>C10</f>
        <v>0</v>
      </c>
      <c r="E10" s="578"/>
      <c r="F10" s="578"/>
      <c r="G10" s="578"/>
      <c r="H10" s="578"/>
      <c r="I10" s="633"/>
      <c r="J10" s="574"/>
      <c r="K10" s="579"/>
    </row>
    <row r="11" spans="1:12" s="116" customFormat="1" ht="19.5" customHeight="1" x14ac:dyDescent="0.15">
      <c r="A11" s="624" t="s">
        <v>489</v>
      </c>
      <c r="B11" s="385" t="s">
        <v>737</v>
      </c>
      <c r="C11" s="577">
        <f>'PRESUPUESTO OBRA'!G285</f>
        <v>0</v>
      </c>
      <c r="D11" s="577"/>
      <c r="E11" s="578">
        <f>C11</f>
        <v>0</v>
      </c>
      <c r="F11" s="578"/>
      <c r="G11" s="578"/>
      <c r="H11" s="578"/>
      <c r="I11" s="633"/>
      <c r="J11" s="574"/>
      <c r="K11" s="579"/>
    </row>
    <row r="12" spans="1:12" s="116" customFormat="1" ht="27.75" customHeight="1" x14ac:dyDescent="0.15">
      <c r="A12" s="624" t="s">
        <v>492</v>
      </c>
      <c r="B12" s="385" t="s">
        <v>734</v>
      </c>
      <c r="C12" s="577">
        <f>'PRESUPUESTO OBRA'!G286</f>
        <v>0</v>
      </c>
      <c r="D12" s="577"/>
      <c r="E12" s="578">
        <f>C12</f>
        <v>0</v>
      </c>
      <c r="F12" s="578"/>
      <c r="G12" s="578"/>
      <c r="H12" s="578"/>
      <c r="I12" s="633"/>
      <c r="J12" s="574"/>
      <c r="K12" s="579"/>
    </row>
    <row r="13" spans="1:12" s="116" customFormat="1" ht="27.75" customHeight="1" x14ac:dyDescent="0.15">
      <c r="A13" s="624" t="s">
        <v>622</v>
      </c>
      <c r="B13" s="385" t="s">
        <v>494</v>
      </c>
      <c r="C13" s="577">
        <f>'PRESUPUESTO OBRA'!G287</f>
        <v>0</v>
      </c>
      <c r="D13" s="577">
        <f>C13*0.5</f>
        <v>0</v>
      </c>
      <c r="E13" s="578">
        <f>C13*0.5</f>
        <v>0</v>
      </c>
      <c r="F13" s="578"/>
      <c r="G13" s="578"/>
      <c r="H13" s="578"/>
      <c r="I13" s="633"/>
      <c r="J13" s="574"/>
      <c r="K13" s="579"/>
    </row>
    <row r="14" spans="1:12" s="197" customFormat="1" ht="18.75" customHeight="1" x14ac:dyDescent="0.15">
      <c r="A14" s="1086" t="s">
        <v>761</v>
      </c>
      <c r="B14" s="1087"/>
      <c r="C14" s="580">
        <f>SUM(C9:C13)</f>
        <v>0</v>
      </c>
      <c r="D14" s="581">
        <f t="shared" ref="D14:H14" si="0">SUM(D9:D13)</f>
        <v>0</v>
      </c>
      <c r="E14" s="581">
        <f t="shared" si="0"/>
        <v>0</v>
      </c>
      <c r="F14" s="581">
        <f t="shared" si="0"/>
        <v>0</v>
      </c>
      <c r="G14" s="581">
        <f t="shared" si="0"/>
        <v>0</v>
      </c>
      <c r="H14" s="581">
        <f t="shared" si="0"/>
        <v>0</v>
      </c>
      <c r="I14" s="638">
        <f>SUM(I9:I13)</f>
        <v>0</v>
      </c>
      <c r="J14" s="582"/>
      <c r="K14" s="582"/>
      <c r="L14" s="582"/>
    </row>
    <row r="15" spans="1:12" s="576" customFormat="1" ht="15.75" customHeight="1" x14ac:dyDescent="0.15">
      <c r="A15" s="637">
        <v>2</v>
      </c>
      <c r="B15" s="1098" t="s">
        <v>115</v>
      </c>
      <c r="C15" s="1098"/>
      <c r="D15" s="1098"/>
      <c r="E15" s="1098"/>
      <c r="F15" s="1098"/>
      <c r="G15" s="1098"/>
      <c r="H15" s="1098"/>
      <c r="I15" s="1099"/>
      <c r="J15" s="574"/>
      <c r="K15" s="575"/>
    </row>
    <row r="16" spans="1:12" s="116" customFormat="1" ht="27.75" customHeight="1" x14ac:dyDescent="0.15">
      <c r="A16" s="624" t="s">
        <v>216</v>
      </c>
      <c r="B16" s="385" t="s">
        <v>560</v>
      </c>
      <c r="C16" s="577">
        <f>'PRESUPUESTO OBRA'!G296</f>
        <v>0</v>
      </c>
      <c r="D16" s="577"/>
      <c r="E16" s="578">
        <f>C16*0.1</f>
        <v>0</v>
      </c>
      <c r="F16" s="578">
        <f>C16*0.45</f>
        <v>0</v>
      </c>
      <c r="G16" s="578">
        <f>C16*0.45</f>
        <v>0</v>
      </c>
      <c r="H16" s="578"/>
      <c r="I16" s="633"/>
      <c r="J16" s="574"/>
      <c r="K16" s="579"/>
    </row>
    <row r="17" spans="1:12" s="116" customFormat="1" ht="19.5" customHeight="1" x14ac:dyDescent="0.15">
      <c r="A17" s="624" t="s">
        <v>217</v>
      </c>
      <c r="B17" s="385" t="s">
        <v>491</v>
      </c>
      <c r="C17" s="577" t="e">
        <f>'PRESUPUESTO OBRA'!#REF!</f>
        <v>#REF!</v>
      </c>
      <c r="D17" s="577"/>
      <c r="E17" s="578"/>
      <c r="F17" s="578" t="e">
        <f>C17</f>
        <v>#REF!</v>
      </c>
      <c r="G17" s="578"/>
      <c r="H17" s="578"/>
      <c r="I17" s="633"/>
      <c r="J17" s="574"/>
      <c r="K17" s="579"/>
    </row>
    <row r="18" spans="1:12" s="116" customFormat="1" ht="27.75" customHeight="1" x14ac:dyDescent="0.15">
      <c r="A18" s="624" t="s">
        <v>218</v>
      </c>
      <c r="B18" s="385" t="s">
        <v>578</v>
      </c>
      <c r="C18" s="577" t="e">
        <f>'PRESUPUESTO OBRA'!#REF!</f>
        <v>#REF!</v>
      </c>
      <c r="D18" s="577"/>
      <c r="E18" s="578"/>
      <c r="F18" s="578" t="e">
        <f>C18*0.3</f>
        <v>#REF!</v>
      </c>
      <c r="G18" s="578" t="e">
        <f>C18*0.7</f>
        <v>#REF!</v>
      </c>
      <c r="H18" s="578"/>
      <c r="I18" s="633"/>
      <c r="J18" s="574"/>
      <c r="K18" s="579"/>
    </row>
    <row r="19" spans="1:12" s="116" customFormat="1" ht="27.75" customHeight="1" x14ac:dyDescent="0.15">
      <c r="A19" s="624" t="s">
        <v>219</v>
      </c>
      <c r="B19" s="385" t="s">
        <v>579</v>
      </c>
      <c r="C19" s="577">
        <f>'PRESUPUESTO OBRA'!G298</f>
        <v>0</v>
      </c>
      <c r="D19" s="577"/>
      <c r="E19" s="578"/>
      <c r="F19" s="578">
        <f>C19</f>
        <v>0</v>
      </c>
      <c r="G19" s="578"/>
      <c r="H19" s="578"/>
      <c r="I19" s="633"/>
      <c r="J19" s="574"/>
      <c r="K19" s="579"/>
    </row>
    <row r="20" spans="1:12" s="116" customFormat="1" ht="27.75" customHeight="1" x14ac:dyDescent="0.15">
      <c r="A20" s="624" t="s">
        <v>563</v>
      </c>
      <c r="B20" s="385" t="s">
        <v>494</v>
      </c>
      <c r="C20" s="577">
        <f>'PRESUPUESTO OBRA'!G299</f>
        <v>0</v>
      </c>
      <c r="D20" s="577"/>
      <c r="E20" s="578"/>
      <c r="F20" s="578">
        <f>C20*0.5</f>
        <v>0</v>
      </c>
      <c r="G20" s="578">
        <f>C20*0.5</f>
        <v>0</v>
      </c>
      <c r="H20" s="578"/>
      <c r="I20" s="633"/>
      <c r="J20" s="574"/>
      <c r="K20" s="579"/>
    </row>
    <row r="21" spans="1:12" s="197" customFormat="1" ht="18.75" customHeight="1" x14ac:dyDescent="0.15">
      <c r="A21" s="1086" t="s">
        <v>762</v>
      </c>
      <c r="B21" s="1087"/>
      <c r="C21" s="580" t="e">
        <f>SUM(C16:C20)</f>
        <v>#REF!</v>
      </c>
      <c r="D21" s="581">
        <f>SUM(D16:D20)</f>
        <v>0</v>
      </c>
      <c r="E21" s="581">
        <f t="shared" ref="E21:I21" si="1">SUM(E16:E20)</f>
        <v>0</v>
      </c>
      <c r="F21" s="581" t="e">
        <f t="shared" si="1"/>
        <v>#REF!</v>
      </c>
      <c r="G21" s="581" t="e">
        <f t="shared" si="1"/>
        <v>#REF!</v>
      </c>
      <c r="H21" s="581">
        <f t="shared" si="1"/>
        <v>0</v>
      </c>
      <c r="I21" s="638">
        <f t="shared" si="1"/>
        <v>0</v>
      </c>
      <c r="J21" s="582"/>
      <c r="K21" s="582"/>
      <c r="L21" s="582"/>
    </row>
    <row r="22" spans="1:12" s="576" customFormat="1" ht="15.75" customHeight="1" x14ac:dyDescent="0.15">
      <c r="A22" s="637">
        <v>3</v>
      </c>
      <c r="B22" s="1098" t="s">
        <v>18</v>
      </c>
      <c r="C22" s="1098"/>
      <c r="D22" s="1098"/>
      <c r="E22" s="1098"/>
      <c r="F22" s="1098"/>
      <c r="G22" s="1098"/>
      <c r="H22" s="1098"/>
      <c r="I22" s="1099"/>
      <c r="J22" s="574"/>
      <c r="K22" s="575"/>
    </row>
    <row r="23" spans="1:12" s="116" customFormat="1" ht="19.5" customHeight="1" x14ac:dyDescent="0.15">
      <c r="A23" s="624" t="s">
        <v>210</v>
      </c>
      <c r="B23" s="385" t="s">
        <v>568</v>
      </c>
      <c r="C23" s="577">
        <f>'PRESUPUESTO OBRA'!G303</f>
        <v>0</v>
      </c>
      <c r="D23" s="577"/>
      <c r="E23" s="578"/>
      <c r="F23" s="578">
        <f>C23</f>
        <v>0</v>
      </c>
      <c r="G23" s="578"/>
      <c r="H23" s="578"/>
      <c r="I23" s="633"/>
      <c r="J23" s="574"/>
      <c r="K23" s="579"/>
    </row>
    <row r="24" spans="1:12" s="116" customFormat="1" ht="42" customHeight="1" x14ac:dyDescent="0.15">
      <c r="A24" s="624" t="s">
        <v>211</v>
      </c>
      <c r="B24" s="385" t="s">
        <v>628</v>
      </c>
      <c r="C24" s="577" t="e">
        <f>'PRESUPUESTO OBRA'!#REF!</f>
        <v>#REF!</v>
      </c>
      <c r="D24" s="577"/>
      <c r="E24" s="578"/>
      <c r="F24" s="578" t="e">
        <f t="shared" ref="F24:F27" si="2">C24</f>
        <v>#REF!</v>
      </c>
      <c r="G24" s="578"/>
      <c r="H24" s="578"/>
      <c r="I24" s="633"/>
      <c r="J24" s="574"/>
      <c r="K24" s="579"/>
    </row>
    <row r="25" spans="1:12" s="116" customFormat="1" ht="42" customHeight="1" x14ac:dyDescent="0.15">
      <c r="A25" s="624" t="s">
        <v>212</v>
      </c>
      <c r="B25" s="385" t="s">
        <v>627</v>
      </c>
      <c r="C25" s="577" t="e">
        <f>'PRESUPUESTO OBRA'!#REF!</f>
        <v>#REF!</v>
      </c>
      <c r="D25" s="577"/>
      <c r="E25" s="578"/>
      <c r="F25" s="578" t="e">
        <f t="shared" si="2"/>
        <v>#REF!</v>
      </c>
      <c r="G25" s="578"/>
      <c r="H25" s="578"/>
      <c r="I25" s="633"/>
      <c r="J25" s="574"/>
      <c r="K25" s="579"/>
    </row>
    <row r="26" spans="1:12" s="116" customFormat="1" ht="42" customHeight="1" x14ac:dyDescent="0.15">
      <c r="A26" s="624" t="s">
        <v>213</v>
      </c>
      <c r="B26" s="385" t="s">
        <v>629</v>
      </c>
      <c r="C26" s="577" t="e">
        <f>'PRESUPUESTO OBRA'!#REF!</f>
        <v>#REF!</v>
      </c>
      <c r="D26" s="577"/>
      <c r="E26" s="578"/>
      <c r="F26" s="578" t="e">
        <f t="shared" si="2"/>
        <v>#REF!</v>
      </c>
      <c r="G26" s="578"/>
      <c r="H26" s="578"/>
      <c r="I26" s="633"/>
      <c r="J26" s="574"/>
      <c r="K26" s="579"/>
    </row>
    <row r="27" spans="1:12" s="116" customFormat="1" ht="42" customHeight="1" x14ac:dyDescent="0.15">
      <c r="A27" s="624" t="s">
        <v>214</v>
      </c>
      <c r="B27" s="385" t="s">
        <v>586</v>
      </c>
      <c r="C27" s="577" t="e">
        <f>'PRESUPUESTO OBRA'!#REF!</f>
        <v>#REF!</v>
      </c>
      <c r="D27" s="577"/>
      <c r="E27" s="578"/>
      <c r="F27" s="578" t="e">
        <f t="shared" si="2"/>
        <v>#REF!</v>
      </c>
      <c r="G27" s="578"/>
      <c r="H27" s="578"/>
      <c r="I27" s="633"/>
      <c r="J27" s="574"/>
      <c r="K27" s="579"/>
    </row>
    <row r="28" spans="1:12" s="116" customFormat="1" ht="42" customHeight="1" x14ac:dyDescent="0.15">
      <c r="A28" s="624" t="s">
        <v>601</v>
      </c>
      <c r="B28" s="385" t="s">
        <v>640</v>
      </c>
      <c r="C28" s="577" t="e">
        <f>'PRESUPUESTO OBRA'!#REF!</f>
        <v>#REF!</v>
      </c>
      <c r="D28" s="577"/>
      <c r="E28" s="578"/>
      <c r="F28" s="578" t="e">
        <f>C28*0.2</f>
        <v>#REF!</v>
      </c>
      <c r="G28" s="578" t="e">
        <f>C28*0.8</f>
        <v>#REF!</v>
      </c>
      <c r="H28" s="578"/>
      <c r="I28" s="633"/>
      <c r="J28" s="574"/>
      <c r="K28" s="579"/>
    </row>
    <row r="29" spans="1:12" s="116" customFormat="1" ht="42" customHeight="1" x14ac:dyDescent="0.15">
      <c r="A29" s="624" t="s">
        <v>215</v>
      </c>
      <c r="B29" s="385" t="s">
        <v>626</v>
      </c>
      <c r="C29" s="577" t="e">
        <f>'PRESUPUESTO OBRA'!#REF!</f>
        <v>#REF!</v>
      </c>
      <c r="D29" s="577"/>
      <c r="E29" s="578"/>
      <c r="F29" s="578"/>
      <c r="G29" s="578" t="e">
        <f>C29</f>
        <v>#REF!</v>
      </c>
      <c r="H29" s="578"/>
      <c r="I29" s="633"/>
      <c r="J29" s="574"/>
      <c r="K29" s="579"/>
    </row>
    <row r="30" spans="1:12" s="116" customFormat="1" ht="42" customHeight="1" x14ac:dyDescent="0.15">
      <c r="A30" s="624" t="s">
        <v>226</v>
      </c>
      <c r="B30" s="385" t="s">
        <v>580</v>
      </c>
      <c r="C30" s="577" t="e">
        <f>'PRESUPUESTO OBRA'!#REF!</f>
        <v>#REF!</v>
      </c>
      <c r="D30" s="577"/>
      <c r="E30" s="578"/>
      <c r="F30" s="578"/>
      <c r="G30" s="578" t="e">
        <f t="shared" ref="G30:G31" si="3">C30</f>
        <v>#REF!</v>
      </c>
      <c r="H30" s="578"/>
      <c r="I30" s="633"/>
      <c r="J30" s="574"/>
      <c r="K30" s="579"/>
    </row>
    <row r="31" spans="1:12" s="116" customFormat="1" ht="42" customHeight="1" x14ac:dyDescent="0.15">
      <c r="A31" s="624" t="s">
        <v>227</v>
      </c>
      <c r="B31" s="385" t="s">
        <v>589</v>
      </c>
      <c r="C31" s="577">
        <f>'PRESUPUESTO OBRA'!G308</f>
        <v>0</v>
      </c>
      <c r="D31" s="577"/>
      <c r="E31" s="578"/>
      <c r="F31" s="578"/>
      <c r="G31" s="578">
        <f t="shared" si="3"/>
        <v>0</v>
      </c>
      <c r="H31" s="578"/>
      <c r="I31" s="633"/>
      <c r="J31" s="574"/>
      <c r="K31" s="579"/>
    </row>
    <row r="32" spans="1:12" s="116" customFormat="1" ht="42" customHeight="1" x14ac:dyDescent="0.15">
      <c r="A32" s="624" t="s">
        <v>228</v>
      </c>
      <c r="B32" s="385" t="s">
        <v>642</v>
      </c>
      <c r="C32" s="577" t="e">
        <f>'PRESUPUESTO OBRA'!#REF!</f>
        <v>#REF!</v>
      </c>
      <c r="D32" s="577"/>
      <c r="E32" s="578"/>
      <c r="F32" s="578"/>
      <c r="G32" s="578" t="e">
        <f>C32*0.7</f>
        <v>#REF!</v>
      </c>
      <c r="H32" s="578" t="e">
        <f>C32*0.3</f>
        <v>#REF!</v>
      </c>
      <c r="I32" s="633"/>
      <c r="J32" s="574"/>
      <c r="K32" s="579"/>
    </row>
    <row r="33" spans="1:12" s="116" customFormat="1" ht="42" customHeight="1" x14ac:dyDescent="0.15">
      <c r="A33" s="624" t="s">
        <v>229</v>
      </c>
      <c r="B33" s="385" t="s">
        <v>599</v>
      </c>
      <c r="C33" s="577" t="e">
        <f>'PRESUPUESTO OBRA'!#REF!</f>
        <v>#REF!</v>
      </c>
      <c r="D33" s="577"/>
      <c r="E33" s="578"/>
      <c r="F33" s="578"/>
      <c r="G33" s="578"/>
      <c r="H33" s="578" t="e">
        <f>C33</f>
        <v>#REF!</v>
      </c>
      <c r="I33" s="633"/>
      <c r="J33" s="574"/>
      <c r="K33" s="579"/>
    </row>
    <row r="34" spans="1:12" s="116" customFormat="1" ht="42" customHeight="1" x14ac:dyDescent="0.15">
      <c r="A34" s="624" t="s">
        <v>230</v>
      </c>
      <c r="B34" s="385" t="s">
        <v>633</v>
      </c>
      <c r="C34" s="577">
        <f>'PRESUPUESTO OBRA'!G310</f>
        <v>0</v>
      </c>
      <c r="D34" s="577"/>
      <c r="E34" s="578"/>
      <c r="F34" s="578"/>
      <c r="G34" s="578"/>
      <c r="H34" s="578">
        <f>C34</f>
        <v>0</v>
      </c>
      <c r="I34" s="633"/>
      <c r="J34" s="574"/>
      <c r="K34" s="579"/>
    </row>
    <row r="35" spans="1:12" s="116" customFormat="1" ht="31.5" customHeight="1" x14ac:dyDescent="0.15">
      <c r="A35" s="624" t="s">
        <v>602</v>
      </c>
      <c r="B35" s="385" t="s">
        <v>583</v>
      </c>
      <c r="C35" s="577">
        <f>'PRESUPUESTO OBRA'!G312</f>
        <v>0</v>
      </c>
      <c r="D35" s="577"/>
      <c r="E35" s="578"/>
      <c r="F35" s="578"/>
      <c r="G35" s="578">
        <f>C35*0.5</f>
        <v>0</v>
      </c>
      <c r="H35" s="578">
        <f>C35*0.5</f>
        <v>0</v>
      </c>
      <c r="I35" s="633"/>
      <c r="J35" s="574"/>
      <c r="K35" s="579"/>
    </row>
    <row r="36" spans="1:12" s="116" customFormat="1" ht="42" customHeight="1" x14ac:dyDescent="0.15">
      <c r="A36" s="624" t="s">
        <v>631</v>
      </c>
      <c r="B36" s="385" t="s">
        <v>588</v>
      </c>
      <c r="C36" s="577" t="e">
        <f>'PRESUPUESTO OBRA'!#REF!</f>
        <v>#REF!</v>
      </c>
      <c r="D36" s="577"/>
      <c r="E36" s="578"/>
      <c r="F36" s="578"/>
      <c r="G36" s="578"/>
      <c r="H36" s="578" t="e">
        <f>C36</f>
        <v>#REF!</v>
      </c>
      <c r="I36" s="633"/>
      <c r="J36" s="574"/>
      <c r="K36" s="579"/>
    </row>
    <row r="37" spans="1:12" s="116" customFormat="1" ht="42" customHeight="1" x14ac:dyDescent="0.15">
      <c r="A37" s="624" t="s">
        <v>632</v>
      </c>
      <c r="B37" s="385" t="s">
        <v>738</v>
      </c>
      <c r="C37" s="577" t="e">
        <f>'PRESUPUESTO OBRA'!#REF!</f>
        <v>#REF!</v>
      </c>
      <c r="D37" s="577"/>
      <c r="E37" s="578"/>
      <c r="F37" s="578" t="e">
        <f>C37</f>
        <v>#REF!</v>
      </c>
      <c r="G37" s="578"/>
      <c r="H37" s="578"/>
      <c r="I37" s="633"/>
      <c r="J37" s="574"/>
      <c r="K37" s="579"/>
    </row>
    <row r="38" spans="1:12" s="116" customFormat="1" ht="31.5" customHeight="1" x14ac:dyDescent="0.15">
      <c r="A38" s="624" t="s">
        <v>661</v>
      </c>
      <c r="B38" s="385" t="s">
        <v>735</v>
      </c>
      <c r="C38" s="577" t="e">
        <f>'PRESUPUESTO OBRA'!#REF!</f>
        <v>#REF!</v>
      </c>
      <c r="D38" s="577"/>
      <c r="E38" s="578"/>
      <c r="F38" s="578" t="e">
        <f>C38*0.5</f>
        <v>#REF!</v>
      </c>
      <c r="G38" s="578" t="e">
        <f>C38*0.5</f>
        <v>#REF!</v>
      </c>
      <c r="H38" s="578"/>
      <c r="I38" s="633"/>
      <c r="J38" s="574"/>
      <c r="K38" s="579"/>
    </row>
    <row r="39" spans="1:12" s="116" customFormat="1" ht="31.5" customHeight="1" x14ac:dyDescent="0.15">
      <c r="A39" s="624" t="s">
        <v>662</v>
      </c>
      <c r="B39" s="385" t="s">
        <v>663</v>
      </c>
      <c r="C39" s="577">
        <f>'PRESUPUESTO OBRA'!G315</f>
        <v>0</v>
      </c>
      <c r="D39" s="577"/>
      <c r="E39" s="578"/>
      <c r="F39" s="578"/>
      <c r="G39" s="578">
        <f>C39</f>
        <v>0</v>
      </c>
      <c r="H39" s="578"/>
      <c r="I39" s="633"/>
      <c r="J39" s="574"/>
      <c r="K39" s="579"/>
    </row>
    <row r="40" spans="1:12" s="197" customFormat="1" ht="18.75" customHeight="1" x14ac:dyDescent="0.15">
      <c r="A40" s="1086" t="s">
        <v>763</v>
      </c>
      <c r="B40" s="1087"/>
      <c r="C40" s="580" t="e">
        <f>SUM(C23:C39)</f>
        <v>#REF!</v>
      </c>
      <c r="D40" s="581">
        <f>SUM(D23:D39)</f>
        <v>0</v>
      </c>
      <c r="E40" s="581">
        <f t="shared" ref="E40:I40" si="4">SUM(E23:E39)</f>
        <v>0</v>
      </c>
      <c r="F40" s="581" t="e">
        <f t="shared" si="4"/>
        <v>#REF!</v>
      </c>
      <c r="G40" s="581" t="e">
        <f t="shared" si="4"/>
        <v>#REF!</v>
      </c>
      <c r="H40" s="581" t="e">
        <f t="shared" si="4"/>
        <v>#REF!</v>
      </c>
      <c r="I40" s="638">
        <f t="shared" si="4"/>
        <v>0</v>
      </c>
      <c r="J40" s="582"/>
      <c r="K40" s="582"/>
      <c r="L40" s="582"/>
    </row>
    <row r="41" spans="1:12" s="576" customFormat="1" ht="15.75" customHeight="1" x14ac:dyDescent="0.15">
      <c r="A41" s="637">
        <v>4</v>
      </c>
      <c r="B41" s="1098" t="s">
        <v>80</v>
      </c>
      <c r="C41" s="1098"/>
      <c r="D41" s="1098"/>
      <c r="E41" s="1098"/>
      <c r="F41" s="1098"/>
      <c r="G41" s="1098"/>
      <c r="H41" s="1098"/>
      <c r="I41" s="1099"/>
      <c r="J41" s="574"/>
      <c r="K41" s="575"/>
    </row>
    <row r="42" spans="1:12" s="116" customFormat="1" ht="19.5" customHeight="1" x14ac:dyDescent="0.15">
      <c r="A42" s="624" t="s">
        <v>265</v>
      </c>
      <c r="B42" s="385" t="s">
        <v>167</v>
      </c>
      <c r="C42" s="577">
        <f>'PRESUPUESTO OBRA'!G319</f>
        <v>0</v>
      </c>
      <c r="D42" s="577"/>
      <c r="E42" s="578"/>
      <c r="F42" s="578"/>
      <c r="G42" s="578">
        <f>C42</f>
        <v>0</v>
      </c>
      <c r="H42" s="578"/>
      <c r="I42" s="633"/>
      <c r="J42" s="574"/>
      <c r="K42" s="579"/>
    </row>
    <row r="43" spans="1:12" s="116" customFormat="1" ht="19.5" customHeight="1" x14ac:dyDescent="0.15">
      <c r="A43" s="624" t="s">
        <v>266</v>
      </c>
      <c r="B43" s="385" t="s">
        <v>248</v>
      </c>
      <c r="C43" s="577">
        <f>'PRESUPUESTO OBRA'!G320</f>
        <v>0</v>
      </c>
      <c r="D43" s="577"/>
      <c r="E43" s="578"/>
      <c r="F43" s="578"/>
      <c r="G43" s="578">
        <f>C43</f>
        <v>0</v>
      </c>
      <c r="H43" s="578"/>
      <c r="I43" s="633"/>
      <c r="J43" s="574"/>
      <c r="K43" s="579"/>
    </row>
    <row r="44" spans="1:12" s="116" customFormat="1" ht="19.5" customHeight="1" x14ac:dyDescent="0.15">
      <c r="A44" s="624" t="s">
        <v>267</v>
      </c>
      <c r="B44" s="385" t="s">
        <v>184</v>
      </c>
      <c r="C44" s="577" t="e">
        <f>'PRESUPUESTO OBRA'!#REF!</f>
        <v>#REF!</v>
      </c>
      <c r="D44" s="577"/>
      <c r="E44" s="578"/>
      <c r="F44" s="578"/>
      <c r="G44" s="578"/>
      <c r="H44" s="578"/>
      <c r="I44" s="633" t="e">
        <f>C44</f>
        <v>#REF!</v>
      </c>
      <c r="J44" s="574"/>
      <c r="K44" s="579"/>
    </row>
    <row r="45" spans="1:12" s="116" customFormat="1" ht="19.5" customHeight="1" x14ac:dyDescent="0.15">
      <c r="A45" s="624" t="s">
        <v>268</v>
      </c>
      <c r="B45" s="385" t="s">
        <v>207</v>
      </c>
      <c r="C45" s="577" t="e">
        <f>'PRESUPUESTO OBRA'!#REF!</f>
        <v>#REF!</v>
      </c>
      <c r="D45" s="577"/>
      <c r="E45" s="578"/>
      <c r="F45" s="578"/>
      <c r="G45" s="578"/>
      <c r="H45" s="578"/>
      <c r="I45" s="633" t="e">
        <f>C45</f>
        <v>#REF!</v>
      </c>
      <c r="J45" s="574"/>
      <c r="K45" s="579"/>
    </row>
    <row r="46" spans="1:12" s="197" customFormat="1" ht="18.75" customHeight="1" x14ac:dyDescent="0.15">
      <c r="A46" s="1086" t="s">
        <v>764</v>
      </c>
      <c r="B46" s="1087"/>
      <c r="C46" s="580" t="e">
        <f t="shared" ref="C46:I46" si="5">SUM(C42:C45)</f>
        <v>#REF!</v>
      </c>
      <c r="D46" s="581">
        <f t="shared" si="5"/>
        <v>0</v>
      </c>
      <c r="E46" s="581">
        <f t="shared" si="5"/>
        <v>0</v>
      </c>
      <c r="F46" s="581">
        <f t="shared" si="5"/>
        <v>0</v>
      </c>
      <c r="G46" s="581">
        <f t="shared" si="5"/>
        <v>0</v>
      </c>
      <c r="H46" s="581">
        <f t="shared" si="5"/>
        <v>0</v>
      </c>
      <c r="I46" s="638" t="e">
        <f t="shared" si="5"/>
        <v>#REF!</v>
      </c>
      <c r="J46" s="582"/>
      <c r="K46" s="582"/>
      <c r="L46" s="582"/>
    </row>
    <row r="47" spans="1:12" s="576" customFormat="1" ht="15.75" customHeight="1" x14ac:dyDescent="0.15">
      <c r="A47" s="637">
        <v>5</v>
      </c>
      <c r="B47" s="1098" t="s">
        <v>9</v>
      </c>
      <c r="C47" s="1098"/>
      <c r="D47" s="1098"/>
      <c r="E47" s="1098"/>
      <c r="F47" s="1098"/>
      <c r="G47" s="1098"/>
      <c r="H47" s="1098"/>
      <c r="I47" s="1099"/>
      <c r="J47" s="574"/>
      <c r="K47" s="575"/>
    </row>
    <row r="48" spans="1:12" s="116" customFormat="1" ht="27.75" customHeight="1" x14ac:dyDescent="0.15">
      <c r="A48" s="624" t="s">
        <v>231</v>
      </c>
      <c r="B48" s="385" t="s">
        <v>669</v>
      </c>
      <c r="C48" s="577">
        <f>'PRESUPUESTO OBRA'!G314</f>
        <v>0</v>
      </c>
      <c r="D48" s="577"/>
      <c r="E48" s="578"/>
      <c r="F48" s="578"/>
      <c r="G48" s="578">
        <f>C48*0.5</f>
        <v>0</v>
      </c>
      <c r="H48" s="578">
        <f>C48*0.5</f>
        <v>0</v>
      </c>
      <c r="I48" s="633"/>
      <c r="J48" s="574"/>
      <c r="K48" s="579"/>
    </row>
    <row r="49" spans="1:12" s="116" customFormat="1" ht="19.5" customHeight="1" x14ac:dyDescent="0.15">
      <c r="A49" s="624" t="s">
        <v>232</v>
      </c>
      <c r="B49" s="385" t="s">
        <v>685</v>
      </c>
      <c r="C49" s="577">
        <f>'PRESUPUESTO OBRA'!G325</f>
        <v>0</v>
      </c>
      <c r="D49" s="577"/>
      <c r="E49" s="578"/>
      <c r="F49" s="578"/>
      <c r="G49" s="578">
        <f>C49</f>
        <v>0</v>
      </c>
      <c r="H49" s="578"/>
      <c r="I49" s="633"/>
      <c r="J49" s="574"/>
      <c r="K49" s="579"/>
    </row>
    <row r="50" spans="1:12" s="116" customFormat="1" ht="19.5" customHeight="1" x14ac:dyDescent="0.15">
      <c r="A50" s="624" t="s">
        <v>233</v>
      </c>
      <c r="B50" s="385" t="s">
        <v>670</v>
      </c>
      <c r="C50" s="577">
        <f>'PRESUPUESTO OBRA'!G368</f>
        <v>0</v>
      </c>
      <c r="D50" s="577"/>
      <c r="E50" s="578"/>
      <c r="F50" s="578"/>
      <c r="G50" s="578"/>
      <c r="H50" s="578">
        <f>C50</f>
        <v>0</v>
      </c>
      <c r="I50" s="633"/>
      <c r="J50" s="574"/>
      <c r="K50" s="579"/>
    </row>
    <row r="51" spans="1:12" s="116" customFormat="1" ht="27.75" customHeight="1" x14ac:dyDescent="0.15">
      <c r="A51" s="624" t="s">
        <v>243</v>
      </c>
      <c r="B51" s="385" t="s">
        <v>569</v>
      </c>
      <c r="C51" s="577">
        <f>'PRESUPUESTO OBRA'!G362</f>
        <v>0</v>
      </c>
      <c r="D51" s="577"/>
      <c r="E51" s="578"/>
      <c r="F51" s="578"/>
      <c r="G51" s="578"/>
      <c r="H51" s="578"/>
      <c r="I51" s="633">
        <f>C51</f>
        <v>0</v>
      </c>
      <c r="J51" s="574"/>
      <c r="K51" s="579"/>
    </row>
    <row r="52" spans="1:12" s="116" customFormat="1" ht="27.75" customHeight="1" x14ac:dyDescent="0.15">
      <c r="A52" s="624" t="s">
        <v>672</v>
      </c>
      <c r="B52" s="385" t="s">
        <v>671</v>
      </c>
      <c r="C52" s="577">
        <f>'PRESUPUESTO OBRA'!G363</f>
        <v>0</v>
      </c>
      <c r="D52" s="577"/>
      <c r="E52" s="578"/>
      <c r="F52" s="578"/>
      <c r="G52" s="578"/>
      <c r="H52" s="578"/>
      <c r="I52" s="633">
        <f>C52</f>
        <v>0</v>
      </c>
      <c r="J52" s="574"/>
      <c r="K52" s="579"/>
    </row>
    <row r="53" spans="1:12" s="116" customFormat="1" ht="27.75" customHeight="1" x14ac:dyDescent="0.15">
      <c r="A53" s="624" t="s">
        <v>673</v>
      </c>
      <c r="B53" s="385" t="s">
        <v>674</v>
      </c>
      <c r="C53" s="577" t="e">
        <f>'PRESUPUESTO OBRA'!#REF!</f>
        <v>#REF!</v>
      </c>
      <c r="D53" s="577"/>
      <c r="E53" s="578"/>
      <c r="F53" s="578"/>
      <c r="G53" s="578"/>
      <c r="H53" s="578" t="e">
        <f>C53</f>
        <v>#REF!</v>
      </c>
      <c r="I53" s="633"/>
      <c r="J53" s="574"/>
      <c r="K53" s="579"/>
    </row>
    <row r="54" spans="1:12" s="197" customFormat="1" ht="18.75" customHeight="1" x14ac:dyDescent="0.15">
      <c r="A54" s="1086" t="s">
        <v>765</v>
      </c>
      <c r="B54" s="1087"/>
      <c r="C54" s="580" t="e">
        <f t="shared" ref="C54:I54" si="6">SUM(C48:C53)</f>
        <v>#REF!</v>
      </c>
      <c r="D54" s="581">
        <f t="shared" si="6"/>
        <v>0</v>
      </c>
      <c r="E54" s="581">
        <f t="shared" si="6"/>
        <v>0</v>
      </c>
      <c r="F54" s="581">
        <f t="shared" si="6"/>
        <v>0</v>
      </c>
      <c r="G54" s="581">
        <f t="shared" si="6"/>
        <v>0</v>
      </c>
      <c r="H54" s="581" t="e">
        <f t="shared" si="6"/>
        <v>#REF!</v>
      </c>
      <c r="I54" s="638">
        <f t="shared" si="6"/>
        <v>0</v>
      </c>
      <c r="J54" s="582"/>
      <c r="K54" s="582"/>
      <c r="L54" s="582"/>
    </row>
    <row r="55" spans="1:12" s="576" customFormat="1" ht="15.75" customHeight="1" x14ac:dyDescent="0.15">
      <c r="A55" s="637">
        <v>6</v>
      </c>
      <c r="B55" s="1098" t="s">
        <v>684</v>
      </c>
      <c r="C55" s="1098"/>
      <c r="D55" s="1098"/>
      <c r="E55" s="1098"/>
      <c r="F55" s="1098"/>
      <c r="G55" s="1098"/>
      <c r="H55" s="1098"/>
      <c r="I55" s="1099"/>
      <c r="J55" s="574"/>
      <c r="K55" s="575"/>
    </row>
    <row r="56" spans="1:12" s="116" customFormat="1" ht="64.5" customHeight="1" x14ac:dyDescent="0.15">
      <c r="A56" s="624" t="s">
        <v>591</v>
      </c>
      <c r="B56" s="385" t="s">
        <v>690</v>
      </c>
      <c r="C56" s="577" t="e">
        <f>'PRESUPUESTO OBRA'!#REF!</f>
        <v>#REF!</v>
      </c>
      <c r="D56" s="577"/>
      <c r="E56" s="578"/>
      <c r="F56" s="578" t="e">
        <f>C56</f>
        <v>#REF!</v>
      </c>
      <c r="G56" s="578"/>
      <c r="H56" s="578"/>
      <c r="I56" s="633"/>
      <c r="J56" s="574"/>
      <c r="K56" s="579"/>
    </row>
    <row r="57" spans="1:12" s="116" customFormat="1" ht="27.75" customHeight="1" x14ac:dyDescent="0.15">
      <c r="A57" s="624" t="s">
        <v>592</v>
      </c>
      <c r="B57" s="385" t="s">
        <v>696</v>
      </c>
      <c r="C57" s="577">
        <f>'PRESUPUESTO OBRA'!G342</f>
        <v>0</v>
      </c>
      <c r="D57" s="577"/>
      <c r="E57" s="578"/>
      <c r="F57" s="578"/>
      <c r="G57" s="578">
        <f>C57</f>
        <v>0</v>
      </c>
      <c r="H57" s="578"/>
      <c r="I57" s="633"/>
      <c r="J57" s="574"/>
      <c r="K57" s="579"/>
    </row>
    <row r="58" spans="1:12" s="116" customFormat="1" ht="27.75" customHeight="1" x14ac:dyDescent="0.15">
      <c r="A58" s="624" t="s">
        <v>593</v>
      </c>
      <c r="B58" s="385" t="s">
        <v>695</v>
      </c>
      <c r="C58" s="577">
        <f>'PRESUPUESTO OBRA'!G334</f>
        <v>0</v>
      </c>
      <c r="D58" s="577"/>
      <c r="E58" s="578"/>
      <c r="F58" s="578"/>
      <c r="G58" s="578">
        <f t="shared" ref="G58:G59" si="7">C58</f>
        <v>0</v>
      </c>
      <c r="H58" s="578"/>
      <c r="I58" s="633"/>
      <c r="J58" s="574"/>
      <c r="K58" s="579"/>
    </row>
    <row r="59" spans="1:12" s="116" customFormat="1" ht="27.75" customHeight="1" x14ac:dyDescent="0.15">
      <c r="A59" s="624" t="s">
        <v>694</v>
      </c>
      <c r="B59" s="385" t="s">
        <v>691</v>
      </c>
      <c r="C59" s="577" t="e">
        <f>'PRESUPUESTO OBRA'!#REF!</f>
        <v>#REF!</v>
      </c>
      <c r="D59" s="577"/>
      <c r="E59" s="578"/>
      <c r="F59" s="578"/>
      <c r="G59" s="578" t="e">
        <f t="shared" si="7"/>
        <v>#REF!</v>
      </c>
      <c r="H59" s="578"/>
      <c r="I59" s="633"/>
      <c r="J59" s="574"/>
      <c r="K59" s="579"/>
    </row>
    <row r="60" spans="1:12" s="576" customFormat="1" ht="15.75" customHeight="1" x14ac:dyDescent="0.15">
      <c r="A60" s="637"/>
      <c r="B60" s="1098"/>
      <c r="C60" s="1098"/>
      <c r="D60" s="1098"/>
      <c r="E60" s="1098"/>
      <c r="F60" s="1098"/>
      <c r="G60" s="1098"/>
      <c r="H60" s="1098"/>
      <c r="I60" s="1099"/>
      <c r="J60" s="574"/>
      <c r="K60" s="575"/>
    </row>
    <row r="61" spans="1:12" s="116" customFormat="1" ht="19.5" customHeight="1" x14ac:dyDescent="0.15">
      <c r="A61" s="624" t="s">
        <v>770</v>
      </c>
      <c r="B61" s="385" t="s">
        <v>693</v>
      </c>
      <c r="C61" s="577">
        <f>'PRESUPUESTO OBRA'!G336</f>
        <v>0</v>
      </c>
      <c r="D61" s="577"/>
      <c r="E61" s="578"/>
      <c r="F61" s="578"/>
      <c r="G61" s="578"/>
      <c r="H61" s="578"/>
      <c r="I61" s="633">
        <f>C61</f>
        <v>0</v>
      </c>
      <c r="J61" s="574"/>
      <c r="K61" s="579"/>
    </row>
    <row r="62" spans="1:12" s="197" customFormat="1" ht="18.75" customHeight="1" x14ac:dyDescent="0.15">
      <c r="A62" s="1086" t="s">
        <v>771</v>
      </c>
      <c r="B62" s="1087"/>
      <c r="C62" s="580" t="e">
        <f t="shared" ref="C62:I62" si="8">SUM(C56:C61)</f>
        <v>#REF!</v>
      </c>
      <c r="D62" s="581">
        <f t="shared" si="8"/>
        <v>0</v>
      </c>
      <c r="E62" s="581">
        <f t="shared" si="8"/>
        <v>0</v>
      </c>
      <c r="F62" s="581" t="e">
        <f t="shared" si="8"/>
        <v>#REF!</v>
      </c>
      <c r="G62" s="581" t="e">
        <f t="shared" si="8"/>
        <v>#REF!</v>
      </c>
      <c r="H62" s="581">
        <f t="shared" si="8"/>
        <v>0</v>
      </c>
      <c r="I62" s="638">
        <f t="shared" si="8"/>
        <v>0</v>
      </c>
      <c r="J62" s="582"/>
      <c r="K62" s="582"/>
      <c r="L62" s="582"/>
    </row>
    <row r="63" spans="1:12" s="576" customFormat="1" ht="15.75" customHeight="1" x14ac:dyDescent="0.15">
      <c r="A63" s="637">
        <v>7</v>
      </c>
      <c r="B63" s="1098" t="s">
        <v>499</v>
      </c>
      <c r="C63" s="1098"/>
      <c r="D63" s="1098"/>
      <c r="E63" s="1098"/>
      <c r="F63" s="1098"/>
      <c r="G63" s="1098"/>
      <c r="H63" s="1098"/>
      <c r="I63" s="1099"/>
      <c r="J63" s="574"/>
      <c r="K63" s="575"/>
    </row>
    <row r="64" spans="1:12" s="116" customFormat="1" ht="19.5" customHeight="1" x14ac:dyDescent="0.15">
      <c r="A64" s="624" t="s">
        <v>235</v>
      </c>
      <c r="B64" s="385" t="s">
        <v>484</v>
      </c>
      <c r="C64" s="577" t="e">
        <f>'PRESUPUESTO OBRA'!#REF!</f>
        <v>#REF!</v>
      </c>
      <c r="D64" s="577"/>
      <c r="E64" s="578"/>
      <c r="F64" s="578"/>
      <c r="G64" s="578" t="e">
        <f>C64</f>
        <v>#REF!</v>
      </c>
      <c r="H64" s="578"/>
      <c r="I64" s="633"/>
      <c r="J64" s="574"/>
      <c r="K64" s="579"/>
    </row>
    <row r="65" spans="1:12" s="116" customFormat="1" ht="19.5" customHeight="1" x14ac:dyDescent="0.15">
      <c r="A65" s="624" t="s">
        <v>236</v>
      </c>
      <c r="B65" s="385" t="s">
        <v>485</v>
      </c>
      <c r="C65" s="577" t="e">
        <f>'PRESUPUESTO OBRA'!#REF!</f>
        <v>#REF!</v>
      </c>
      <c r="D65" s="577"/>
      <c r="E65" s="578"/>
      <c r="F65" s="578"/>
      <c r="G65" s="578" t="e">
        <f t="shared" ref="G65:G66" si="9">C65</f>
        <v>#REF!</v>
      </c>
      <c r="H65" s="578"/>
      <c r="I65" s="633"/>
      <c r="J65" s="574"/>
      <c r="K65" s="579"/>
    </row>
    <row r="66" spans="1:12" s="116" customFormat="1" ht="27.75" customHeight="1" x14ac:dyDescent="0.15">
      <c r="A66" s="624" t="s">
        <v>244</v>
      </c>
      <c r="B66" s="385" t="s">
        <v>584</v>
      </c>
      <c r="C66" s="577" t="e">
        <f>'PRESUPUESTO OBRA'!#REF!</f>
        <v>#REF!</v>
      </c>
      <c r="D66" s="577"/>
      <c r="E66" s="578"/>
      <c r="F66" s="578"/>
      <c r="G66" s="578" t="e">
        <f t="shared" si="9"/>
        <v>#REF!</v>
      </c>
      <c r="H66" s="578"/>
      <c r="I66" s="633"/>
      <c r="J66" s="574"/>
      <c r="K66" s="579"/>
    </row>
    <row r="67" spans="1:12" s="197" customFormat="1" ht="18.75" customHeight="1" x14ac:dyDescent="0.15">
      <c r="A67" s="1086" t="s">
        <v>772</v>
      </c>
      <c r="B67" s="1087"/>
      <c r="C67" s="580" t="e">
        <f t="shared" ref="C67:I67" si="10">SUM(C64:C66)</f>
        <v>#REF!</v>
      </c>
      <c r="D67" s="581">
        <f t="shared" si="10"/>
        <v>0</v>
      </c>
      <c r="E67" s="581">
        <f t="shared" si="10"/>
        <v>0</v>
      </c>
      <c r="F67" s="581">
        <f t="shared" si="10"/>
        <v>0</v>
      </c>
      <c r="G67" s="581" t="e">
        <f t="shared" si="10"/>
        <v>#REF!</v>
      </c>
      <c r="H67" s="581">
        <f t="shared" si="10"/>
        <v>0</v>
      </c>
      <c r="I67" s="638">
        <f t="shared" si="10"/>
        <v>0</v>
      </c>
      <c r="K67" s="582"/>
      <c r="L67" s="582"/>
    </row>
    <row r="68" spans="1:12" s="576" customFormat="1" ht="15.75" customHeight="1" x14ac:dyDescent="0.15">
      <c r="A68" s="637">
        <v>8</v>
      </c>
      <c r="B68" s="1098" t="s">
        <v>500</v>
      </c>
      <c r="C68" s="1098"/>
      <c r="D68" s="1098"/>
      <c r="E68" s="1098"/>
      <c r="F68" s="1098"/>
      <c r="G68" s="1098"/>
      <c r="H68" s="1098"/>
      <c r="I68" s="1099"/>
      <c r="J68" s="574"/>
      <c r="K68" s="575"/>
    </row>
    <row r="69" spans="1:12" s="116" customFormat="1" ht="27.75" customHeight="1" x14ac:dyDescent="0.15">
      <c r="A69" s="624" t="s">
        <v>237</v>
      </c>
      <c r="B69" s="385" t="s">
        <v>701</v>
      </c>
      <c r="C69" s="577">
        <f>'PRESUPUESTO OBRA'!G351</f>
        <v>0</v>
      </c>
      <c r="D69" s="577"/>
      <c r="E69" s="578"/>
      <c r="F69" s="578"/>
      <c r="G69" s="578"/>
      <c r="H69" s="578">
        <f>C69</f>
        <v>0</v>
      </c>
      <c r="I69" s="633"/>
      <c r="J69" s="574"/>
      <c r="K69" s="579"/>
    </row>
    <row r="70" spans="1:12" s="116" customFormat="1" ht="54.75" customHeight="1" x14ac:dyDescent="0.15">
      <c r="A70" s="624" t="s">
        <v>238</v>
      </c>
      <c r="B70" s="385" t="s">
        <v>702</v>
      </c>
      <c r="C70" s="577">
        <f>'PRESUPUESTO OBRA'!G352</f>
        <v>0</v>
      </c>
      <c r="D70" s="577"/>
      <c r="E70" s="578"/>
      <c r="F70" s="578"/>
      <c r="G70" s="578"/>
      <c r="H70" s="578">
        <f t="shared" ref="H70:H83" si="11">C70</f>
        <v>0</v>
      </c>
      <c r="I70" s="633"/>
      <c r="J70" s="574"/>
      <c r="K70" s="579"/>
    </row>
    <row r="71" spans="1:12" s="116" customFormat="1" ht="42" customHeight="1" x14ac:dyDescent="0.15">
      <c r="A71" s="624" t="s">
        <v>239</v>
      </c>
      <c r="B71" s="385" t="s">
        <v>597</v>
      </c>
      <c r="C71" s="577" t="e">
        <f>'PRESUPUESTO OBRA'!#REF!</f>
        <v>#REF!</v>
      </c>
      <c r="D71" s="577"/>
      <c r="E71" s="578"/>
      <c r="F71" s="578"/>
      <c r="G71" s="578"/>
      <c r="H71" s="578" t="e">
        <f t="shared" si="11"/>
        <v>#REF!</v>
      </c>
      <c r="I71" s="633"/>
      <c r="J71" s="574"/>
      <c r="K71" s="579"/>
    </row>
    <row r="72" spans="1:12" s="116" customFormat="1" ht="19.5" customHeight="1" x14ac:dyDescent="0.15">
      <c r="A72" s="624" t="s">
        <v>240</v>
      </c>
      <c r="B72" s="385" t="s">
        <v>481</v>
      </c>
      <c r="C72" s="577" t="e">
        <f>'PRESUPUESTO OBRA'!#REF!</f>
        <v>#REF!</v>
      </c>
      <c r="D72" s="577"/>
      <c r="E72" s="578"/>
      <c r="F72" s="578"/>
      <c r="G72" s="578"/>
      <c r="H72" s="578" t="e">
        <f t="shared" si="11"/>
        <v>#REF!</v>
      </c>
      <c r="I72" s="633"/>
      <c r="J72" s="574"/>
      <c r="K72" s="579"/>
    </row>
    <row r="73" spans="1:12" s="116" customFormat="1" ht="19.5" customHeight="1" x14ac:dyDescent="0.15">
      <c r="A73" s="624" t="s">
        <v>257</v>
      </c>
      <c r="B73" s="385" t="s">
        <v>486</v>
      </c>
      <c r="C73" s="577" t="e">
        <f>'PRESUPUESTO OBRA'!#REF!</f>
        <v>#REF!</v>
      </c>
      <c r="D73" s="577"/>
      <c r="E73" s="578"/>
      <c r="F73" s="578"/>
      <c r="G73" s="578"/>
      <c r="H73" s="578" t="e">
        <f t="shared" si="11"/>
        <v>#REF!</v>
      </c>
      <c r="I73" s="633"/>
      <c r="J73" s="574"/>
      <c r="K73" s="579"/>
    </row>
    <row r="74" spans="1:12" s="116" customFormat="1" ht="19.5" customHeight="1" x14ac:dyDescent="0.15">
      <c r="A74" s="624" t="s">
        <v>258</v>
      </c>
      <c r="B74" s="385" t="s">
        <v>482</v>
      </c>
      <c r="C74" s="577" t="e">
        <f>'PRESUPUESTO OBRA'!#REF!</f>
        <v>#REF!</v>
      </c>
      <c r="D74" s="577"/>
      <c r="E74" s="578"/>
      <c r="F74" s="578"/>
      <c r="G74" s="578"/>
      <c r="H74" s="578" t="e">
        <f t="shared" si="11"/>
        <v>#REF!</v>
      </c>
      <c r="I74" s="633"/>
      <c r="J74" s="574"/>
      <c r="K74" s="579"/>
    </row>
    <row r="75" spans="1:12" s="116" customFormat="1" ht="19.5" customHeight="1" x14ac:dyDescent="0.15">
      <c r="A75" s="624" t="s">
        <v>259</v>
      </c>
      <c r="B75" s="385" t="s">
        <v>487</v>
      </c>
      <c r="C75" s="577" t="e">
        <f>'PRESUPUESTO OBRA'!#REF!</f>
        <v>#REF!</v>
      </c>
      <c r="D75" s="577"/>
      <c r="E75" s="578"/>
      <c r="F75" s="578"/>
      <c r="G75" s="578"/>
      <c r="H75" s="578" t="e">
        <f t="shared" si="11"/>
        <v>#REF!</v>
      </c>
      <c r="I75" s="633"/>
      <c r="J75" s="574"/>
      <c r="K75" s="579"/>
    </row>
    <row r="76" spans="1:12" s="116" customFormat="1" ht="19.5" customHeight="1" x14ac:dyDescent="0.15">
      <c r="A76" s="624" t="s">
        <v>260</v>
      </c>
      <c r="B76" s="385" t="s">
        <v>488</v>
      </c>
      <c r="C76" s="577" t="e">
        <f>'PRESUPUESTO OBRA'!#REF!</f>
        <v>#REF!</v>
      </c>
      <c r="D76" s="577"/>
      <c r="E76" s="578"/>
      <c r="F76" s="578"/>
      <c r="G76" s="578"/>
      <c r="H76" s="578" t="e">
        <f t="shared" si="11"/>
        <v>#REF!</v>
      </c>
      <c r="I76" s="633"/>
      <c r="J76" s="574"/>
      <c r="K76" s="579"/>
    </row>
    <row r="77" spans="1:12" s="116" customFormat="1" ht="19.5" customHeight="1" x14ac:dyDescent="0.15">
      <c r="A77" s="624" t="s">
        <v>261</v>
      </c>
      <c r="B77" s="385" t="s">
        <v>483</v>
      </c>
      <c r="C77" s="577" t="e">
        <f>'PRESUPUESTO OBRA'!#REF!</f>
        <v>#REF!</v>
      </c>
      <c r="D77" s="577"/>
      <c r="E77" s="578"/>
      <c r="F77" s="578"/>
      <c r="G77" s="578"/>
      <c r="H77" s="578" t="e">
        <f t="shared" si="11"/>
        <v>#REF!</v>
      </c>
      <c r="I77" s="633"/>
      <c r="J77" s="574"/>
      <c r="K77" s="579"/>
    </row>
    <row r="78" spans="1:12" s="116" customFormat="1" ht="19.5" customHeight="1" x14ac:dyDescent="0.15">
      <c r="A78" s="624" t="s">
        <v>262</v>
      </c>
      <c r="B78" s="385" t="s">
        <v>508</v>
      </c>
      <c r="C78" s="577" t="e">
        <f>'PRESUPUESTO OBRA'!#REF!</f>
        <v>#REF!</v>
      </c>
      <c r="D78" s="577"/>
      <c r="E78" s="578"/>
      <c r="F78" s="578"/>
      <c r="G78" s="578"/>
      <c r="H78" s="578" t="e">
        <f t="shared" si="11"/>
        <v>#REF!</v>
      </c>
      <c r="I78" s="633"/>
      <c r="J78" s="574"/>
      <c r="K78" s="579"/>
    </row>
    <row r="79" spans="1:12" s="116" customFormat="1" ht="19.5" customHeight="1" x14ac:dyDescent="0.15">
      <c r="A79" s="624" t="s">
        <v>263</v>
      </c>
      <c r="B79" s="385" t="s">
        <v>704</v>
      </c>
      <c r="C79" s="577" t="e">
        <f>'PRESUPUESTO OBRA'!#REF!</f>
        <v>#REF!</v>
      </c>
      <c r="D79" s="577"/>
      <c r="E79" s="578"/>
      <c r="F79" s="578"/>
      <c r="G79" s="578"/>
      <c r="H79" s="578" t="e">
        <f t="shared" si="11"/>
        <v>#REF!</v>
      </c>
      <c r="I79" s="633"/>
      <c r="J79" s="574"/>
      <c r="K79" s="579"/>
    </row>
    <row r="80" spans="1:12" s="116" customFormat="1" ht="19.5" customHeight="1" x14ac:dyDescent="0.15">
      <c r="A80" s="624" t="s">
        <v>595</v>
      </c>
      <c r="B80" s="385" t="s">
        <v>634</v>
      </c>
      <c r="C80" s="577" t="e">
        <f>'PRESUPUESTO OBRA'!#REF!</f>
        <v>#REF!</v>
      </c>
      <c r="D80" s="577"/>
      <c r="E80" s="578"/>
      <c r="F80" s="578"/>
      <c r="G80" s="578"/>
      <c r="H80" s="578" t="e">
        <f t="shared" si="11"/>
        <v>#REF!</v>
      </c>
      <c r="I80" s="633"/>
      <c r="J80" s="574"/>
      <c r="K80" s="579"/>
    </row>
    <row r="81" spans="1:12" s="116" customFormat="1" ht="19.5" customHeight="1" x14ac:dyDescent="0.15">
      <c r="A81" s="624" t="s">
        <v>596</v>
      </c>
      <c r="B81" s="385" t="s">
        <v>635</v>
      </c>
      <c r="C81" s="577" t="e">
        <f>'PRESUPUESTO OBRA'!#REF!</f>
        <v>#REF!</v>
      </c>
      <c r="D81" s="577"/>
      <c r="E81" s="578"/>
      <c r="F81" s="578"/>
      <c r="G81" s="578"/>
      <c r="H81" s="578" t="e">
        <f t="shared" si="11"/>
        <v>#REF!</v>
      </c>
      <c r="I81" s="633"/>
      <c r="J81" s="574"/>
      <c r="K81" s="579"/>
    </row>
    <row r="82" spans="1:12" s="116" customFormat="1" ht="27.75" customHeight="1" x14ac:dyDescent="0.15">
      <c r="A82" s="624" t="s">
        <v>699</v>
      </c>
      <c r="B82" s="385" t="s">
        <v>585</v>
      </c>
      <c r="C82" s="577" t="e">
        <f>'PRESUPUESTO OBRA'!#REF!</f>
        <v>#REF!</v>
      </c>
      <c r="D82" s="577"/>
      <c r="E82" s="578"/>
      <c r="F82" s="578"/>
      <c r="G82" s="578"/>
      <c r="H82" s="578" t="e">
        <f t="shared" si="11"/>
        <v>#REF!</v>
      </c>
      <c r="I82" s="633"/>
      <c r="J82" s="574"/>
      <c r="K82" s="579"/>
    </row>
    <row r="83" spans="1:12" s="116" customFormat="1" ht="19.5" customHeight="1" x14ac:dyDescent="0.15">
      <c r="A83" s="624" t="s">
        <v>700</v>
      </c>
      <c r="B83" s="385" t="s">
        <v>703</v>
      </c>
      <c r="C83" s="577" t="e">
        <f>'PRESUPUESTO OBRA'!#REF!</f>
        <v>#REF!</v>
      </c>
      <c r="D83" s="577"/>
      <c r="E83" s="578"/>
      <c r="F83" s="578"/>
      <c r="G83" s="578"/>
      <c r="H83" s="578" t="e">
        <f t="shared" si="11"/>
        <v>#REF!</v>
      </c>
      <c r="I83" s="633"/>
      <c r="J83" s="574"/>
      <c r="K83" s="579"/>
    </row>
    <row r="84" spans="1:12" s="197" customFormat="1" ht="18.75" customHeight="1" x14ac:dyDescent="0.15">
      <c r="A84" s="1086" t="s">
        <v>773</v>
      </c>
      <c r="B84" s="1087"/>
      <c r="C84" s="580" t="e">
        <f t="shared" ref="C84:I84" si="12">SUM(C69:C83)</f>
        <v>#REF!</v>
      </c>
      <c r="D84" s="581">
        <f t="shared" si="12"/>
        <v>0</v>
      </c>
      <c r="E84" s="581">
        <f t="shared" si="12"/>
        <v>0</v>
      </c>
      <c r="F84" s="581">
        <f t="shared" si="12"/>
        <v>0</v>
      </c>
      <c r="G84" s="581">
        <f t="shared" si="12"/>
        <v>0</v>
      </c>
      <c r="H84" s="581" t="e">
        <f t="shared" si="12"/>
        <v>#REF!</v>
      </c>
      <c r="I84" s="638">
        <f t="shared" si="12"/>
        <v>0</v>
      </c>
      <c r="K84" s="582"/>
      <c r="L84" s="582"/>
    </row>
    <row r="85" spans="1:12" s="576" customFormat="1" ht="15.75" customHeight="1" x14ac:dyDescent="0.15">
      <c r="A85" s="637">
        <v>9</v>
      </c>
      <c r="B85" s="1098" t="s">
        <v>107</v>
      </c>
      <c r="C85" s="1098"/>
      <c r="D85" s="1098"/>
      <c r="E85" s="1098"/>
      <c r="F85" s="1098"/>
      <c r="G85" s="1098"/>
      <c r="H85" s="1098"/>
      <c r="I85" s="1099"/>
      <c r="J85" s="574"/>
      <c r="K85" s="575"/>
    </row>
    <row r="86" spans="1:12" s="116" customFormat="1" ht="27.75" customHeight="1" x14ac:dyDescent="0.15">
      <c r="A86" s="624" t="s">
        <v>249</v>
      </c>
      <c r="B86" s="385" t="s">
        <v>480</v>
      </c>
      <c r="C86" s="577">
        <f>'PRESUPUESTO OBRA'!G356</f>
        <v>0</v>
      </c>
      <c r="D86" s="577"/>
      <c r="E86" s="578"/>
      <c r="F86" s="578"/>
      <c r="G86" s="578"/>
      <c r="H86" s="578"/>
      <c r="I86" s="633">
        <f>C86</f>
        <v>0</v>
      </c>
      <c r="J86" s="574"/>
      <c r="K86" s="579"/>
    </row>
    <row r="87" spans="1:12" s="116" customFormat="1" ht="50.25" customHeight="1" x14ac:dyDescent="0.15">
      <c r="A87" s="624" t="s">
        <v>250</v>
      </c>
      <c r="B87" s="385" t="s">
        <v>514</v>
      </c>
      <c r="C87" s="577">
        <f>'PRESUPUESTO OBRA'!G357</f>
        <v>0</v>
      </c>
      <c r="D87" s="577"/>
      <c r="E87" s="578"/>
      <c r="F87" s="578"/>
      <c r="G87" s="578"/>
      <c r="H87" s="578">
        <f>C87</f>
        <v>0</v>
      </c>
      <c r="I87" s="633"/>
      <c r="J87" s="574"/>
      <c r="K87" s="579"/>
    </row>
    <row r="88" spans="1:12" s="116" customFormat="1" ht="19.5" customHeight="1" x14ac:dyDescent="0.15">
      <c r="A88" s="624" t="s">
        <v>251</v>
      </c>
      <c r="B88" s="385" t="s">
        <v>705</v>
      </c>
      <c r="C88" s="577">
        <f>'PRESUPUESTO OBRA'!G358</f>
        <v>0</v>
      </c>
      <c r="D88" s="577"/>
      <c r="E88" s="578"/>
      <c r="F88" s="578"/>
      <c r="G88" s="578"/>
      <c r="H88" s="578"/>
      <c r="I88" s="633">
        <f>C88</f>
        <v>0</v>
      </c>
      <c r="J88" s="574"/>
      <c r="K88" s="579"/>
    </row>
    <row r="89" spans="1:12" s="116" customFormat="1" ht="27.75" customHeight="1" x14ac:dyDescent="0.15">
      <c r="A89" s="624" t="s">
        <v>708</v>
      </c>
      <c r="B89" s="385" t="s">
        <v>706</v>
      </c>
      <c r="C89" s="577" t="e">
        <f>'PRESUPUESTO OBRA'!#REF!</f>
        <v>#REF!</v>
      </c>
      <c r="D89" s="577"/>
      <c r="E89" s="578"/>
      <c r="F89" s="578"/>
      <c r="G89" s="578"/>
      <c r="H89" s="578"/>
      <c r="I89" s="633" t="e">
        <f>C89</f>
        <v>#REF!</v>
      </c>
      <c r="J89" s="574"/>
      <c r="K89" s="579"/>
    </row>
    <row r="90" spans="1:12" s="116" customFormat="1" ht="65.25" customHeight="1" x14ac:dyDescent="0.15">
      <c r="A90" s="624" t="s">
        <v>709</v>
      </c>
      <c r="B90" s="385" t="s">
        <v>774</v>
      </c>
      <c r="C90" s="577" t="e">
        <f>'PRESUPUESTO OBRA'!#REF!</f>
        <v>#REF!</v>
      </c>
      <c r="D90" s="577"/>
      <c r="E90" s="578"/>
      <c r="F90" s="578"/>
      <c r="G90" s="578"/>
      <c r="H90" s="578" t="e">
        <f>C90</f>
        <v>#REF!</v>
      </c>
      <c r="I90" s="633"/>
      <c r="J90" s="574"/>
      <c r="K90" s="579"/>
    </row>
    <row r="91" spans="1:12" s="116" customFormat="1" ht="72" customHeight="1" x14ac:dyDescent="0.15">
      <c r="A91" s="624" t="s">
        <v>710</v>
      </c>
      <c r="B91" s="385" t="s">
        <v>775</v>
      </c>
      <c r="C91" s="577" t="e">
        <f>'PRESUPUESTO OBRA'!#REF!</f>
        <v>#REF!</v>
      </c>
      <c r="D91" s="577"/>
      <c r="E91" s="578"/>
      <c r="F91" s="578"/>
      <c r="G91" s="578"/>
      <c r="H91" s="578" t="e">
        <f t="shared" ref="H91:H94" si="13">C91</f>
        <v>#REF!</v>
      </c>
      <c r="I91" s="633"/>
      <c r="J91" s="574"/>
      <c r="K91" s="579"/>
    </row>
    <row r="92" spans="1:12" s="116" customFormat="1" ht="65.25" customHeight="1" x14ac:dyDescent="0.15">
      <c r="A92" s="624" t="s">
        <v>711</v>
      </c>
      <c r="B92" s="385" t="s">
        <v>776</v>
      </c>
      <c r="C92" s="577" t="e">
        <f>'PRESUPUESTO OBRA'!#REF!</f>
        <v>#REF!</v>
      </c>
      <c r="D92" s="577"/>
      <c r="E92" s="578"/>
      <c r="F92" s="578"/>
      <c r="G92" s="578"/>
      <c r="H92" s="578" t="e">
        <f t="shared" si="13"/>
        <v>#REF!</v>
      </c>
      <c r="I92" s="633"/>
      <c r="J92" s="574"/>
      <c r="K92" s="579"/>
    </row>
    <row r="93" spans="1:12" s="116" customFormat="1" ht="65.25" customHeight="1" x14ac:dyDescent="0.15">
      <c r="A93" s="624" t="s">
        <v>712</v>
      </c>
      <c r="B93" s="385" t="s">
        <v>777</v>
      </c>
      <c r="C93" s="577" t="e">
        <f>'PRESUPUESTO OBRA'!#REF!</f>
        <v>#REF!</v>
      </c>
      <c r="D93" s="577"/>
      <c r="E93" s="578"/>
      <c r="F93" s="578"/>
      <c r="G93" s="578"/>
      <c r="H93" s="578" t="e">
        <f t="shared" si="13"/>
        <v>#REF!</v>
      </c>
      <c r="I93" s="633"/>
      <c r="J93" s="574"/>
      <c r="K93" s="579"/>
    </row>
    <row r="94" spans="1:12" s="116" customFormat="1" ht="65.25" customHeight="1" x14ac:dyDescent="0.15">
      <c r="A94" s="624" t="s">
        <v>713</v>
      </c>
      <c r="B94" s="385" t="s">
        <v>778</v>
      </c>
      <c r="C94" s="577" t="e">
        <f>'PRESUPUESTO OBRA'!#REF!</f>
        <v>#REF!</v>
      </c>
      <c r="D94" s="577"/>
      <c r="E94" s="578"/>
      <c r="F94" s="578"/>
      <c r="G94" s="578"/>
      <c r="H94" s="578" t="e">
        <f t="shared" si="13"/>
        <v>#REF!</v>
      </c>
      <c r="I94" s="633"/>
      <c r="J94" s="574"/>
      <c r="K94" s="579"/>
    </row>
    <row r="95" spans="1:12" s="116" customFormat="1" ht="65.25" customHeight="1" x14ac:dyDescent="0.15">
      <c r="A95" s="624" t="s">
        <v>714</v>
      </c>
      <c r="B95" s="385" t="s">
        <v>779</v>
      </c>
      <c r="C95" s="577" t="e">
        <f>'PRESUPUESTO OBRA'!#REF!</f>
        <v>#REF!</v>
      </c>
      <c r="D95" s="577"/>
      <c r="E95" s="578"/>
      <c r="F95" s="578"/>
      <c r="G95" s="578"/>
      <c r="H95" s="578"/>
      <c r="I95" s="633" t="e">
        <f>C95</f>
        <v>#REF!</v>
      </c>
      <c r="J95" s="574"/>
      <c r="K95" s="579"/>
    </row>
    <row r="96" spans="1:12" s="116" customFormat="1" ht="54.75" customHeight="1" x14ac:dyDescent="0.15">
      <c r="A96" s="624" t="s">
        <v>715</v>
      </c>
      <c r="B96" s="385" t="s">
        <v>780</v>
      </c>
      <c r="C96" s="577" t="e">
        <f>'PRESUPUESTO OBRA'!#REF!</f>
        <v>#REF!</v>
      </c>
      <c r="D96" s="577"/>
      <c r="E96" s="578"/>
      <c r="F96" s="578"/>
      <c r="G96" s="578"/>
      <c r="H96" s="578"/>
      <c r="I96" s="633" t="e">
        <f t="shared" ref="I96:I98" si="14">C96</f>
        <v>#REF!</v>
      </c>
      <c r="J96" s="574"/>
      <c r="K96" s="579"/>
    </row>
    <row r="97" spans="1:12" s="116" customFormat="1" ht="54.75" customHeight="1" x14ac:dyDescent="0.15">
      <c r="A97" s="624" t="s">
        <v>716</v>
      </c>
      <c r="B97" s="385" t="s">
        <v>781</v>
      </c>
      <c r="C97" s="577" t="e">
        <f>'PRESUPUESTO OBRA'!#REF!</f>
        <v>#REF!</v>
      </c>
      <c r="D97" s="577"/>
      <c r="E97" s="578"/>
      <c r="F97" s="578"/>
      <c r="G97" s="578"/>
      <c r="H97" s="578"/>
      <c r="I97" s="633" t="e">
        <f t="shared" si="14"/>
        <v>#REF!</v>
      </c>
      <c r="J97" s="574"/>
      <c r="K97" s="579"/>
    </row>
    <row r="98" spans="1:12" s="116" customFormat="1" ht="54.75" customHeight="1" x14ac:dyDescent="0.15">
      <c r="A98" s="624" t="s">
        <v>717</v>
      </c>
      <c r="B98" s="385" t="s">
        <v>782</v>
      </c>
      <c r="C98" s="577" t="e">
        <f>'PRESUPUESTO OBRA'!#REF!</f>
        <v>#REF!</v>
      </c>
      <c r="D98" s="577"/>
      <c r="E98" s="578"/>
      <c r="F98" s="578"/>
      <c r="G98" s="578"/>
      <c r="H98" s="578"/>
      <c r="I98" s="633" t="e">
        <f t="shared" si="14"/>
        <v>#REF!</v>
      </c>
      <c r="J98" s="574"/>
      <c r="K98" s="579"/>
    </row>
    <row r="99" spans="1:12" s="197" customFormat="1" ht="18.75" customHeight="1" x14ac:dyDescent="0.15">
      <c r="A99" s="1086" t="s">
        <v>783</v>
      </c>
      <c r="B99" s="1087"/>
      <c r="C99" s="580" t="e">
        <f t="shared" ref="C99:I99" si="15">SUM(C86:C98)</f>
        <v>#REF!</v>
      </c>
      <c r="D99" s="581">
        <f t="shared" si="15"/>
        <v>0</v>
      </c>
      <c r="E99" s="581">
        <f t="shared" si="15"/>
        <v>0</v>
      </c>
      <c r="F99" s="581">
        <f t="shared" si="15"/>
        <v>0</v>
      </c>
      <c r="G99" s="581">
        <f t="shared" si="15"/>
        <v>0</v>
      </c>
      <c r="H99" s="581" t="e">
        <f t="shared" si="15"/>
        <v>#REF!</v>
      </c>
      <c r="I99" s="638" t="e">
        <f t="shared" si="15"/>
        <v>#REF!</v>
      </c>
      <c r="J99" s="582"/>
      <c r="K99" s="582"/>
      <c r="L99" s="582"/>
    </row>
    <row r="100" spans="1:12" s="576" customFormat="1" ht="15.75" customHeight="1" x14ac:dyDescent="0.15">
      <c r="A100" s="637">
        <v>10</v>
      </c>
      <c r="B100" s="1098" t="s">
        <v>234</v>
      </c>
      <c r="C100" s="1098"/>
      <c r="D100" s="1098"/>
      <c r="E100" s="1098"/>
      <c r="F100" s="1098"/>
      <c r="G100" s="1098"/>
      <c r="H100" s="1098"/>
      <c r="I100" s="1099"/>
      <c r="J100" s="574"/>
      <c r="K100" s="575"/>
    </row>
    <row r="101" spans="1:12" s="116" customFormat="1" ht="27.75" customHeight="1" x14ac:dyDescent="0.15">
      <c r="A101" s="624" t="s">
        <v>252</v>
      </c>
      <c r="B101" s="385" t="s">
        <v>570</v>
      </c>
      <c r="C101" s="577" t="e">
        <f>'PRESUPUESTO OBRA'!#REF!</f>
        <v>#REF!</v>
      </c>
      <c r="D101" s="577"/>
      <c r="E101" s="578"/>
      <c r="F101" s="578"/>
      <c r="G101" s="578"/>
      <c r="H101" s="578"/>
      <c r="I101" s="633" t="e">
        <f>C101</f>
        <v>#REF!</v>
      </c>
      <c r="J101" s="574"/>
      <c r="K101" s="579"/>
    </row>
    <row r="102" spans="1:12" s="116" customFormat="1" ht="27.75" customHeight="1" x14ac:dyDescent="0.15">
      <c r="A102" s="624" t="s">
        <v>643</v>
      </c>
      <c r="B102" s="385" t="s">
        <v>638</v>
      </c>
      <c r="C102" s="577" t="e">
        <f>'PRESUPUESTO OBRA'!#REF!</f>
        <v>#REF!</v>
      </c>
      <c r="D102" s="577"/>
      <c r="E102" s="578"/>
      <c r="F102" s="578"/>
      <c r="G102" s="578"/>
      <c r="H102" s="578"/>
      <c r="I102" s="633" t="e">
        <f t="shared" ref="I102:I104" si="16">C102</f>
        <v>#REF!</v>
      </c>
      <c r="J102" s="574"/>
      <c r="K102" s="579"/>
    </row>
    <row r="103" spans="1:12" s="116" customFormat="1" ht="27.75" customHeight="1" x14ac:dyDescent="0.15">
      <c r="A103" s="624" t="s">
        <v>720</v>
      </c>
      <c r="B103" s="385" t="s">
        <v>573</v>
      </c>
      <c r="C103" s="577" t="e">
        <f>'PRESUPUESTO OBRA'!#REF!</f>
        <v>#REF!</v>
      </c>
      <c r="D103" s="577"/>
      <c r="E103" s="578"/>
      <c r="F103" s="578"/>
      <c r="G103" s="578"/>
      <c r="H103" s="578"/>
      <c r="I103" s="633" t="e">
        <f t="shared" si="16"/>
        <v>#REF!</v>
      </c>
      <c r="J103" s="574"/>
      <c r="K103" s="579"/>
    </row>
    <row r="104" spans="1:12" s="116" customFormat="1" ht="27.75" customHeight="1" x14ac:dyDescent="0.15">
      <c r="A104" s="624" t="s">
        <v>721</v>
      </c>
      <c r="B104" s="385" t="s">
        <v>571</v>
      </c>
      <c r="C104" s="577" t="e">
        <f>'PRESUPUESTO OBRA'!#REF!</f>
        <v>#REF!</v>
      </c>
      <c r="D104" s="577"/>
      <c r="E104" s="578"/>
      <c r="F104" s="578"/>
      <c r="G104" s="578"/>
      <c r="H104" s="578"/>
      <c r="I104" s="633" t="e">
        <f t="shared" si="16"/>
        <v>#REF!</v>
      </c>
      <c r="J104" s="574"/>
      <c r="K104" s="579"/>
    </row>
    <row r="105" spans="1:12" s="116" customFormat="1" ht="27.75" customHeight="1" x14ac:dyDescent="0.15">
      <c r="A105" s="624" t="s">
        <v>727</v>
      </c>
      <c r="B105" s="385" t="s">
        <v>728</v>
      </c>
      <c r="C105" s="577" t="e">
        <f>'PRESUPUESTO OBRA'!#REF!</f>
        <v>#REF!</v>
      </c>
      <c r="D105" s="577"/>
      <c r="E105" s="578"/>
      <c r="F105" s="578"/>
      <c r="G105" s="578"/>
      <c r="H105" s="578" t="e">
        <f>C105</f>
        <v>#REF!</v>
      </c>
      <c r="I105" s="633"/>
      <c r="J105" s="574"/>
      <c r="K105" s="579"/>
    </row>
    <row r="106" spans="1:12" s="197" customFormat="1" ht="18.75" customHeight="1" x14ac:dyDescent="0.15">
      <c r="A106" s="1086" t="s">
        <v>784</v>
      </c>
      <c r="B106" s="1087"/>
      <c r="C106" s="580" t="e">
        <f t="shared" ref="C106:I106" si="17">SUM(C101:C105)</f>
        <v>#REF!</v>
      </c>
      <c r="D106" s="581">
        <f t="shared" si="17"/>
        <v>0</v>
      </c>
      <c r="E106" s="581">
        <f t="shared" si="17"/>
        <v>0</v>
      </c>
      <c r="F106" s="581">
        <f t="shared" si="17"/>
        <v>0</v>
      </c>
      <c r="G106" s="581">
        <f t="shared" si="17"/>
        <v>0</v>
      </c>
      <c r="H106" s="581" t="e">
        <f t="shared" si="17"/>
        <v>#REF!</v>
      </c>
      <c r="I106" s="638" t="e">
        <f t="shared" si="17"/>
        <v>#REF!</v>
      </c>
      <c r="K106" s="582"/>
      <c r="L106" s="582"/>
    </row>
    <row r="107" spans="1:12" s="576" customFormat="1" ht="15.75" customHeight="1" x14ac:dyDescent="0.15">
      <c r="A107" s="637">
        <v>11</v>
      </c>
      <c r="B107" s="1098" t="s">
        <v>521</v>
      </c>
      <c r="C107" s="1098"/>
      <c r="D107" s="1098"/>
      <c r="E107" s="1098"/>
      <c r="F107" s="1098"/>
      <c r="G107" s="1098"/>
      <c r="H107" s="1098"/>
      <c r="I107" s="1099"/>
      <c r="J107" s="574"/>
      <c r="K107" s="575"/>
    </row>
    <row r="108" spans="1:12" s="116" customFormat="1" ht="27.75" customHeight="1" x14ac:dyDescent="0.15">
      <c r="A108" s="624" t="s">
        <v>646</v>
      </c>
      <c r="B108" s="385" t="s">
        <v>587</v>
      </c>
      <c r="C108" s="577" t="e">
        <f>'PRESUPUESTO OBRA'!#REF!</f>
        <v>#REF!</v>
      </c>
      <c r="D108" s="577"/>
      <c r="E108" s="578"/>
      <c r="F108" s="578"/>
      <c r="G108" s="578"/>
      <c r="H108" s="578"/>
      <c r="I108" s="633" t="e">
        <f>C108</f>
        <v>#REF!</v>
      </c>
      <c r="J108" s="574"/>
      <c r="K108" s="579"/>
    </row>
    <row r="109" spans="1:12" s="116" customFormat="1" ht="19.5" customHeight="1" x14ac:dyDescent="0.15">
      <c r="A109" s="624" t="s">
        <v>648</v>
      </c>
      <c r="B109" s="385" t="s">
        <v>639</v>
      </c>
      <c r="C109" s="577" t="e">
        <f>'PRESUPUESTO OBRA'!#REF!</f>
        <v>#REF!</v>
      </c>
      <c r="D109" s="577"/>
      <c r="E109" s="578"/>
      <c r="F109" s="578"/>
      <c r="G109" s="578"/>
      <c r="H109" s="578"/>
      <c r="I109" s="633" t="e">
        <f t="shared" ref="I109:I114" si="18">C109</f>
        <v>#REF!</v>
      </c>
      <c r="J109" s="574"/>
      <c r="K109" s="579"/>
    </row>
    <row r="110" spans="1:12" s="116" customFormat="1" ht="19.5" customHeight="1" x14ac:dyDescent="0.15">
      <c r="A110" s="624" t="s">
        <v>650</v>
      </c>
      <c r="B110" s="385" t="s">
        <v>719</v>
      </c>
      <c r="C110" s="577" t="e">
        <f>'PRESUPUESTO OBRA'!#REF!</f>
        <v>#REF!</v>
      </c>
      <c r="D110" s="577"/>
      <c r="E110" s="578"/>
      <c r="F110" s="578"/>
      <c r="G110" s="578"/>
      <c r="H110" s="578"/>
      <c r="I110" s="633" t="e">
        <f t="shared" si="18"/>
        <v>#REF!</v>
      </c>
      <c r="J110" s="574"/>
      <c r="K110" s="579"/>
    </row>
    <row r="111" spans="1:12" s="116" customFormat="1" ht="54.75" customHeight="1" x14ac:dyDescent="0.15">
      <c r="A111" s="624" t="s">
        <v>722</v>
      </c>
      <c r="B111" s="385" t="s">
        <v>730</v>
      </c>
      <c r="C111" s="577" t="e">
        <f>'PRESUPUESTO OBRA'!#REF!</f>
        <v>#REF!</v>
      </c>
      <c r="D111" s="577"/>
      <c r="E111" s="578"/>
      <c r="F111" s="578"/>
      <c r="G111" s="578"/>
      <c r="H111" s="578"/>
      <c r="I111" s="633" t="e">
        <f t="shared" si="18"/>
        <v>#REF!</v>
      </c>
      <c r="J111" s="574"/>
      <c r="K111" s="579"/>
    </row>
    <row r="112" spans="1:12" s="116" customFormat="1" ht="63.75" customHeight="1" x14ac:dyDescent="0.15">
      <c r="A112" s="624" t="s">
        <v>731</v>
      </c>
      <c r="B112" s="385" t="s">
        <v>733</v>
      </c>
      <c r="C112" s="577" t="e">
        <f>'PRESUPUESTO OBRA'!#REF!</f>
        <v>#REF!</v>
      </c>
      <c r="D112" s="577"/>
      <c r="E112" s="578"/>
      <c r="F112" s="578"/>
      <c r="G112" s="578"/>
      <c r="H112" s="578"/>
      <c r="I112" s="633" t="e">
        <f t="shared" si="18"/>
        <v>#REF!</v>
      </c>
      <c r="J112" s="574"/>
      <c r="K112" s="579"/>
    </row>
    <row r="113" spans="1:12" s="116" customFormat="1" ht="42" customHeight="1" x14ac:dyDescent="0.15">
      <c r="A113" s="624" t="s">
        <v>732</v>
      </c>
      <c r="B113" s="385" t="s">
        <v>718</v>
      </c>
      <c r="C113" s="577" t="e">
        <f>'PRESUPUESTO OBRA'!#REF!</f>
        <v>#REF!</v>
      </c>
      <c r="D113" s="577"/>
      <c r="E113" s="578"/>
      <c r="F113" s="578"/>
      <c r="G113" s="578"/>
      <c r="H113" s="578"/>
      <c r="I113" s="633" t="e">
        <f t="shared" si="18"/>
        <v>#REF!</v>
      </c>
      <c r="J113" s="574"/>
      <c r="K113" s="579"/>
    </row>
    <row r="114" spans="1:12" s="116" customFormat="1" ht="137.25" customHeight="1" x14ac:dyDescent="0.15">
      <c r="A114" s="624" t="s">
        <v>741</v>
      </c>
      <c r="B114" s="385" t="s">
        <v>740</v>
      </c>
      <c r="C114" s="577" t="e">
        <f>'PRESUPUESTO OBRA'!#REF!</f>
        <v>#REF!</v>
      </c>
      <c r="D114" s="577"/>
      <c r="E114" s="578"/>
      <c r="F114" s="578"/>
      <c r="G114" s="578"/>
      <c r="H114" s="578"/>
      <c r="I114" s="633" t="e">
        <f t="shared" si="18"/>
        <v>#REF!</v>
      </c>
      <c r="J114" s="574"/>
      <c r="K114" s="579"/>
    </row>
    <row r="115" spans="1:12" s="197" customFormat="1" ht="18.75" customHeight="1" x14ac:dyDescent="0.15">
      <c r="A115" s="1086" t="s">
        <v>785</v>
      </c>
      <c r="B115" s="1087"/>
      <c r="C115" s="580" t="e">
        <f t="shared" ref="C115:I115" si="19">SUM(C108:C114)</f>
        <v>#REF!</v>
      </c>
      <c r="D115" s="581">
        <f t="shared" si="19"/>
        <v>0</v>
      </c>
      <c r="E115" s="581">
        <f t="shared" si="19"/>
        <v>0</v>
      </c>
      <c r="F115" s="581">
        <f t="shared" si="19"/>
        <v>0</v>
      </c>
      <c r="G115" s="581">
        <f t="shared" si="19"/>
        <v>0</v>
      </c>
      <c r="H115" s="581">
        <f t="shared" si="19"/>
        <v>0</v>
      </c>
      <c r="I115" s="638" t="e">
        <f t="shared" si="19"/>
        <v>#REF!</v>
      </c>
      <c r="K115" s="582"/>
      <c r="L115" s="582"/>
    </row>
    <row r="116" spans="1:12" s="576" customFormat="1" ht="15.75" customHeight="1" x14ac:dyDescent="0.15">
      <c r="A116" s="637">
        <v>12</v>
      </c>
      <c r="B116" s="1098" t="s">
        <v>645</v>
      </c>
      <c r="C116" s="1098"/>
      <c r="D116" s="1098"/>
      <c r="E116" s="1098"/>
      <c r="F116" s="1098"/>
      <c r="G116" s="1098"/>
      <c r="H116" s="1098"/>
      <c r="I116" s="1099"/>
      <c r="J116" s="574"/>
      <c r="K116" s="575"/>
    </row>
    <row r="117" spans="1:12" s="116" customFormat="1" ht="27.75" customHeight="1" x14ac:dyDescent="0.15">
      <c r="A117" s="624" t="s">
        <v>723</v>
      </c>
      <c r="B117" s="385" t="s">
        <v>647</v>
      </c>
      <c r="C117" s="577">
        <f>'PRESUPUESTO OBRA'!G373</f>
        <v>0</v>
      </c>
      <c r="D117" s="577"/>
      <c r="E117" s="578"/>
      <c r="F117" s="578"/>
      <c r="G117" s="578"/>
      <c r="H117" s="578">
        <f>C117*0.7</f>
        <v>0</v>
      </c>
      <c r="I117" s="633">
        <f>C117*0.3</f>
        <v>0</v>
      </c>
      <c r="J117" s="574"/>
      <c r="K117" s="579"/>
    </row>
    <row r="118" spans="1:12" s="116" customFormat="1" ht="19.5" customHeight="1" x14ac:dyDescent="0.15">
      <c r="A118" s="624" t="s">
        <v>724</v>
      </c>
      <c r="B118" s="385" t="s">
        <v>649</v>
      </c>
      <c r="C118" s="577">
        <f>'PRESUPUESTO OBRA'!G374</f>
        <v>0</v>
      </c>
      <c r="D118" s="577"/>
      <c r="E118" s="578"/>
      <c r="F118" s="578"/>
      <c r="G118" s="578"/>
      <c r="H118" s="578"/>
      <c r="I118" s="633">
        <f>C118</f>
        <v>0</v>
      </c>
      <c r="J118" s="574"/>
      <c r="K118" s="579"/>
    </row>
    <row r="119" spans="1:12" s="116" customFormat="1" ht="19.5" customHeight="1" x14ac:dyDescent="0.15">
      <c r="A119" s="624" t="s">
        <v>725</v>
      </c>
      <c r="B119" s="385" t="s">
        <v>651</v>
      </c>
      <c r="C119" s="577" t="e">
        <f>'PRESUPUESTO OBRA'!#REF!</f>
        <v>#REF!</v>
      </c>
      <c r="D119" s="577"/>
      <c r="E119" s="578"/>
      <c r="F119" s="578"/>
      <c r="G119" s="578"/>
      <c r="H119" s="578"/>
      <c r="I119" s="633" t="e">
        <f>C119</f>
        <v>#REF!</v>
      </c>
      <c r="J119" s="574"/>
      <c r="K119" s="579"/>
    </row>
    <row r="120" spans="1:12" s="197" customFormat="1" ht="18.75" customHeight="1" x14ac:dyDescent="0.15">
      <c r="A120" s="1086" t="s">
        <v>786</v>
      </c>
      <c r="B120" s="1087"/>
      <c r="C120" s="580" t="e">
        <f t="shared" ref="C120:I120" si="20">SUM(C117:C119)</f>
        <v>#REF!</v>
      </c>
      <c r="D120" s="581">
        <f t="shared" si="20"/>
        <v>0</v>
      </c>
      <c r="E120" s="581">
        <f t="shared" si="20"/>
        <v>0</v>
      </c>
      <c r="F120" s="581">
        <f t="shared" si="20"/>
        <v>0</v>
      </c>
      <c r="G120" s="581">
        <f t="shared" si="20"/>
        <v>0</v>
      </c>
      <c r="H120" s="581">
        <f t="shared" si="20"/>
        <v>0</v>
      </c>
      <c r="I120" s="638" t="e">
        <f t="shared" si="20"/>
        <v>#REF!</v>
      </c>
      <c r="K120" s="582"/>
      <c r="L120" s="582"/>
    </row>
    <row r="121" spans="1:12" s="116" customFormat="1" ht="15.75" customHeight="1" thickBot="1" x14ac:dyDescent="0.2">
      <c r="A121" s="1100"/>
      <c r="B121" s="1101"/>
      <c r="C121" s="1101"/>
      <c r="D121" s="1101"/>
      <c r="E121" s="1101"/>
      <c r="F121" s="1101"/>
      <c r="G121" s="1101"/>
      <c r="H121" s="1101"/>
      <c r="I121" s="1102"/>
      <c r="K121" s="579"/>
    </row>
    <row r="122" spans="1:12" ht="14" thickBot="1" x14ac:dyDescent="0.2">
      <c r="A122" s="76"/>
      <c r="B122" s="76"/>
      <c r="C122" s="76"/>
      <c r="D122" s="76"/>
      <c r="E122" s="76"/>
      <c r="F122" s="76"/>
      <c r="G122" s="76"/>
      <c r="H122" s="76"/>
      <c r="I122" s="76"/>
    </row>
    <row r="123" spans="1:12" s="116" customFormat="1" ht="15.75" customHeight="1" x14ac:dyDescent="0.15">
      <c r="A123" s="583"/>
      <c r="B123" s="629" t="s">
        <v>348</v>
      </c>
      <c r="C123" s="630" t="e">
        <f>C120+C115+C106+C99+C84+C67+C62+C54+C46+C40+C21+C14</f>
        <v>#REF!</v>
      </c>
      <c r="D123" s="630">
        <f t="shared" ref="D123:I123" si="21">D120+D115+D106+D99+D84+D67+D62+D54+D46+D40+D21+D14</f>
        <v>0</v>
      </c>
      <c r="E123" s="630">
        <f t="shared" si="21"/>
        <v>0</v>
      </c>
      <c r="F123" s="630" t="e">
        <f t="shared" si="21"/>
        <v>#REF!</v>
      </c>
      <c r="G123" s="630" t="e">
        <f t="shared" si="21"/>
        <v>#REF!</v>
      </c>
      <c r="H123" s="630" t="e">
        <f t="shared" si="21"/>
        <v>#REF!</v>
      </c>
      <c r="I123" s="631" t="e">
        <f t="shared" si="21"/>
        <v>#REF!</v>
      </c>
      <c r="J123" s="579"/>
      <c r="K123" s="579"/>
    </row>
    <row r="124" spans="1:12" s="116" customFormat="1" ht="14" x14ac:dyDescent="0.15">
      <c r="A124" s="583"/>
      <c r="B124" s="632" t="s">
        <v>756</v>
      </c>
      <c r="C124" s="577" t="e">
        <f>C123*0.23</f>
        <v>#REF!</v>
      </c>
      <c r="D124" s="578" t="e">
        <f>C124*0.1</f>
        <v>#REF!</v>
      </c>
      <c r="E124" s="578" t="e">
        <f>C124*0.2</f>
        <v>#REF!</v>
      </c>
      <c r="F124" s="578" t="e">
        <f>C124*0.2</f>
        <v>#REF!</v>
      </c>
      <c r="G124" s="578" t="e">
        <f>C124*0.2</f>
        <v>#REF!</v>
      </c>
      <c r="H124" s="578" t="e">
        <f>C124*0.2</f>
        <v>#REF!</v>
      </c>
      <c r="I124" s="633" t="e">
        <f>C124*0.1</f>
        <v>#REF!</v>
      </c>
      <c r="J124" s="579"/>
      <c r="K124" s="579"/>
    </row>
    <row r="125" spans="1:12" s="116" customFormat="1" ht="14" x14ac:dyDescent="0.15">
      <c r="A125" s="583"/>
      <c r="B125" s="632" t="s">
        <v>757</v>
      </c>
      <c r="C125" s="577" t="e">
        <f>C123*0.04</f>
        <v>#REF!</v>
      </c>
      <c r="D125" s="578" t="e">
        <f t="shared" ref="D125:D126" si="22">C125*0.1</f>
        <v>#REF!</v>
      </c>
      <c r="E125" s="578" t="e">
        <f t="shared" ref="E125:E126" si="23">C125*0.2</f>
        <v>#REF!</v>
      </c>
      <c r="F125" s="578" t="e">
        <f t="shared" ref="F125:F126" si="24">C125*0.2</f>
        <v>#REF!</v>
      </c>
      <c r="G125" s="578" t="e">
        <f t="shared" ref="G125:G126" si="25">C125*0.2</f>
        <v>#REF!</v>
      </c>
      <c r="H125" s="578" t="e">
        <f t="shared" ref="H125:H126" si="26">C125*0.2</f>
        <v>#REF!</v>
      </c>
      <c r="I125" s="633" t="e">
        <f t="shared" ref="I125:I126" si="27">C125*0.1</f>
        <v>#REF!</v>
      </c>
      <c r="J125" s="579"/>
      <c r="K125" s="579"/>
    </row>
    <row r="126" spans="1:12" s="116" customFormat="1" ht="14" x14ac:dyDescent="0.15">
      <c r="A126" s="583"/>
      <c r="B126" s="632" t="s">
        <v>208</v>
      </c>
      <c r="C126" s="577" t="e">
        <f>C123*0.03</f>
        <v>#REF!</v>
      </c>
      <c r="D126" s="578" t="e">
        <f t="shared" si="22"/>
        <v>#REF!</v>
      </c>
      <c r="E126" s="578" t="e">
        <f t="shared" si="23"/>
        <v>#REF!</v>
      </c>
      <c r="F126" s="578" t="e">
        <f t="shared" si="24"/>
        <v>#REF!</v>
      </c>
      <c r="G126" s="578" t="e">
        <f t="shared" si="25"/>
        <v>#REF!</v>
      </c>
      <c r="H126" s="578" t="e">
        <f t="shared" si="26"/>
        <v>#REF!</v>
      </c>
      <c r="I126" s="633" t="e">
        <f t="shared" si="27"/>
        <v>#REF!</v>
      </c>
      <c r="J126" s="579"/>
      <c r="K126" s="579"/>
    </row>
    <row r="127" spans="1:12" s="116" customFormat="1" x14ac:dyDescent="0.15">
      <c r="A127" s="583"/>
      <c r="B127" s="1103"/>
      <c r="C127" s="1104"/>
      <c r="D127" s="1104"/>
      <c r="E127" s="1104"/>
      <c r="F127" s="1104"/>
      <c r="G127" s="1104"/>
      <c r="H127" s="1104"/>
      <c r="I127" s="1105"/>
      <c r="J127" s="579"/>
      <c r="K127" s="579"/>
    </row>
    <row r="128" spans="1:12" s="116" customFormat="1" ht="27" customHeight="1" x14ac:dyDescent="0.15">
      <c r="A128" s="583"/>
      <c r="B128" s="632" t="s">
        <v>739</v>
      </c>
      <c r="C128" s="578" t="e">
        <f>C123*0.015</f>
        <v>#REF!</v>
      </c>
      <c r="D128" s="578" t="e">
        <f>C128*0.1</f>
        <v>#REF!</v>
      </c>
      <c r="E128" s="578" t="e">
        <f>C128*0.2</f>
        <v>#REF!</v>
      </c>
      <c r="F128" s="578" t="e">
        <f>C128*0.2</f>
        <v>#REF!</v>
      </c>
      <c r="G128" s="578" t="e">
        <f>C128*0.2</f>
        <v>#REF!</v>
      </c>
      <c r="H128" s="578" t="e">
        <f>C128*0.2</f>
        <v>#REF!</v>
      </c>
      <c r="I128" s="633" t="e">
        <f>C128*0.1</f>
        <v>#REF!</v>
      </c>
      <c r="J128" s="579"/>
      <c r="K128" s="579"/>
    </row>
    <row r="129" spans="1:11" s="116" customFormat="1" ht="15" customHeight="1" x14ac:dyDescent="0.15">
      <c r="A129" s="583"/>
      <c r="B129" s="632" t="s">
        <v>564</v>
      </c>
      <c r="C129" s="578" t="e">
        <f>C84*0.025</f>
        <v>#REF!</v>
      </c>
      <c r="D129" s="578">
        <v>0</v>
      </c>
      <c r="E129" s="578">
        <v>0</v>
      </c>
      <c r="F129" s="578">
        <v>0</v>
      </c>
      <c r="G129" s="578">
        <v>0</v>
      </c>
      <c r="H129" s="578">
        <v>0</v>
      </c>
      <c r="I129" s="633" t="e">
        <f>C129</f>
        <v>#REF!</v>
      </c>
      <c r="J129" s="579"/>
      <c r="K129" s="579"/>
    </row>
    <row r="130" spans="1:11" s="116" customFormat="1" x14ac:dyDescent="0.15">
      <c r="A130" s="583"/>
      <c r="B130" s="1103"/>
      <c r="C130" s="1104"/>
      <c r="D130" s="1104"/>
      <c r="E130" s="1104"/>
      <c r="F130" s="1104"/>
      <c r="G130" s="1104"/>
      <c r="H130" s="1104"/>
      <c r="I130" s="1105"/>
      <c r="J130" s="579"/>
      <c r="K130" s="579"/>
    </row>
    <row r="131" spans="1:11" s="576" customFormat="1" ht="14" x14ac:dyDescent="0.15">
      <c r="A131" s="92"/>
      <c r="B131" s="632" t="s">
        <v>209</v>
      </c>
      <c r="C131" s="584" t="e">
        <f>C123+C124+C125+C126+C128+C129</f>
        <v>#REF!</v>
      </c>
      <c r="D131" s="584" t="e">
        <f>D126+D125+D124+D123+D128</f>
        <v>#REF!</v>
      </c>
      <c r="E131" s="584" t="e">
        <f t="shared" ref="E131:I131" si="28">E126+E125+E124+E123+E128</f>
        <v>#REF!</v>
      </c>
      <c r="F131" s="584" t="e">
        <f t="shared" si="28"/>
        <v>#REF!</v>
      </c>
      <c r="G131" s="584" t="e">
        <f t="shared" si="28"/>
        <v>#REF!</v>
      </c>
      <c r="H131" s="584" t="e">
        <f t="shared" si="28"/>
        <v>#REF!</v>
      </c>
      <c r="I131" s="634" t="e">
        <f t="shared" si="28"/>
        <v>#REF!</v>
      </c>
      <c r="J131" s="575"/>
      <c r="K131" s="575"/>
    </row>
    <row r="132" spans="1:11" s="116" customFormat="1" x14ac:dyDescent="0.15">
      <c r="A132" s="583"/>
      <c r="B132" s="1103"/>
      <c r="C132" s="1104"/>
      <c r="D132" s="1104"/>
      <c r="E132" s="1104"/>
      <c r="F132" s="1104"/>
      <c r="G132" s="1104"/>
      <c r="H132" s="1104"/>
      <c r="I132" s="1105"/>
      <c r="K132" s="579"/>
    </row>
    <row r="133" spans="1:11" s="116" customFormat="1" ht="14" x14ac:dyDescent="0.15">
      <c r="A133" s="583"/>
      <c r="B133" s="632" t="s">
        <v>766</v>
      </c>
      <c r="C133" s="578" t="e">
        <f>C123*0.07</f>
        <v>#REF!</v>
      </c>
      <c r="D133" s="578" t="e">
        <f>C133/6</f>
        <v>#REF!</v>
      </c>
      <c r="E133" s="578" t="e">
        <f>C133/6</f>
        <v>#REF!</v>
      </c>
      <c r="F133" s="578" t="e">
        <f>C133/6</f>
        <v>#REF!</v>
      </c>
      <c r="G133" s="578" t="e">
        <f>C133/6</f>
        <v>#REF!</v>
      </c>
      <c r="H133" s="578" t="e">
        <f>C133/6</f>
        <v>#REF!</v>
      </c>
      <c r="I133" s="633" t="e">
        <f>C133/6</f>
        <v>#REF!</v>
      </c>
      <c r="J133" s="579"/>
      <c r="K133" s="579"/>
    </row>
    <row r="134" spans="1:11" s="116" customFormat="1" x14ac:dyDescent="0.15">
      <c r="A134" s="583"/>
      <c r="B134" s="1103"/>
      <c r="C134" s="1104"/>
      <c r="D134" s="1104"/>
      <c r="E134" s="1104"/>
      <c r="F134" s="1104"/>
      <c r="G134" s="1104"/>
      <c r="H134" s="1104"/>
      <c r="I134" s="1105"/>
      <c r="K134" s="579"/>
    </row>
    <row r="135" spans="1:11" s="116" customFormat="1" ht="14" x14ac:dyDescent="0.15">
      <c r="A135" s="583"/>
      <c r="B135" s="632" t="s">
        <v>767</v>
      </c>
      <c r="C135" s="585" t="e">
        <f>C131+C133</f>
        <v>#REF!</v>
      </c>
      <c r="D135" s="1110"/>
      <c r="E135" s="1110"/>
      <c r="F135" s="1110"/>
      <c r="G135" s="1110"/>
      <c r="H135" s="1110"/>
      <c r="I135" s="1111"/>
      <c r="K135" s="579"/>
    </row>
    <row r="136" spans="1:11" s="116" customFormat="1" x14ac:dyDescent="0.15">
      <c r="A136" s="583"/>
      <c r="B136" s="1103"/>
      <c r="C136" s="1104"/>
      <c r="D136" s="1104"/>
      <c r="E136" s="1104"/>
      <c r="F136" s="1104"/>
      <c r="G136" s="1104"/>
      <c r="H136" s="1104"/>
      <c r="I136" s="1105"/>
      <c r="K136" s="579"/>
    </row>
    <row r="137" spans="1:11" s="116" customFormat="1" x14ac:dyDescent="0.15">
      <c r="A137" s="583"/>
      <c r="B137" s="1112" t="s">
        <v>768</v>
      </c>
      <c r="C137" s="1113" t="e">
        <f>SUM(C123+C124+C126+C125+C133)</f>
        <v>#REF!</v>
      </c>
      <c r="D137" s="586" t="e">
        <f>SUM(D123+D124+D126+D125+D133+D128+D129)</f>
        <v>#REF!</v>
      </c>
      <c r="E137" s="586" t="e">
        <f t="shared" ref="E137:I137" si="29">SUM(E123+E124+E126+E125+E133+E128+E129)</f>
        <v>#REF!</v>
      </c>
      <c r="F137" s="586" t="e">
        <f t="shared" si="29"/>
        <v>#REF!</v>
      </c>
      <c r="G137" s="586" t="e">
        <f t="shared" si="29"/>
        <v>#REF!</v>
      </c>
      <c r="H137" s="586" t="e">
        <f t="shared" si="29"/>
        <v>#REF!</v>
      </c>
      <c r="I137" s="635" t="e">
        <f t="shared" si="29"/>
        <v>#REF!</v>
      </c>
      <c r="K137" s="579"/>
    </row>
    <row r="138" spans="1:11" s="116" customFormat="1" x14ac:dyDescent="0.15">
      <c r="A138" s="583"/>
      <c r="B138" s="1103"/>
      <c r="C138" s="1104"/>
      <c r="D138" s="1104"/>
      <c r="E138" s="1104"/>
      <c r="F138" s="1104"/>
      <c r="G138" s="1104"/>
      <c r="H138" s="1104"/>
      <c r="I138" s="1105"/>
    </row>
    <row r="139" spans="1:11" s="589" customFormat="1" ht="17" thickBot="1" x14ac:dyDescent="0.2">
      <c r="A139" s="587"/>
      <c r="B139" s="1106" t="s">
        <v>769</v>
      </c>
      <c r="C139" s="1107"/>
      <c r="D139" s="1107"/>
      <c r="E139" s="1107"/>
      <c r="F139" s="1107"/>
      <c r="G139" s="1107"/>
      <c r="H139" s="1108" t="e">
        <f>SUM(D137:I137)</f>
        <v>#REF!</v>
      </c>
      <c r="I139" s="1109"/>
      <c r="J139" s="588"/>
    </row>
    <row r="142" spans="1:11" x14ac:dyDescent="0.15">
      <c r="F142" s="42"/>
    </row>
    <row r="143" spans="1:11" x14ac:dyDescent="0.15">
      <c r="C143" s="241"/>
      <c r="H143" s="14"/>
      <c r="I143" s="14"/>
    </row>
    <row r="144" spans="1:11" x14ac:dyDescent="0.15">
      <c r="H144" s="106"/>
    </row>
    <row r="145" spans="2:9" x14ac:dyDescent="0.15">
      <c r="C145" s="106"/>
      <c r="E145" s="179"/>
      <c r="H145" s="179"/>
      <c r="I145" s="179"/>
    </row>
    <row r="146" spans="2:9" ht="14" x14ac:dyDescent="0.15">
      <c r="B146" s="102" t="s">
        <v>644</v>
      </c>
      <c r="C146" s="102"/>
      <c r="D146" s="102"/>
      <c r="E146" s="179"/>
      <c r="H146" s="106"/>
    </row>
    <row r="147" spans="2:9" ht="14" x14ac:dyDescent="0.15">
      <c r="B147" s="83" t="s">
        <v>531</v>
      </c>
      <c r="C147" s="83"/>
      <c r="D147" s="83"/>
    </row>
    <row r="148" spans="2:9" ht="14" x14ac:dyDescent="0.15">
      <c r="B148" s="102"/>
      <c r="C148" s="83"/>
      <c r="D148" s="83"/>
      <c r="H148" s="106"/>
    </row>
    <row r="149" spans="2:9" ht="14" x14ac:dyDescent="0.15">
      <c r="B149" s="83"/>
      <c r="C149" s="40"/>
      <c r="D149" s="40"/>
      <c r="E149" s="40"/>
      <c r="F149" s="40"/>
      <c r="G149" s="40"/>
      <c r="H149" s="40"/>
      <c r="I149" s="40"/>
    </row>
    <row r="150" spans="2:9" ht="14" x14ac:dyDescent="0.15">
      <c r="B150" s="83"/>
      <c r="C150" s="40"/>
      <c r="D150" s="40"/>
      <c r="E150" s="40"/>
      <c r="F150" s="40"/>
      <c r="G150" s="40"/>
      <c r="H150" s="40"/>
      <c r="I150" s="40"/>
    </row>
  </sheetData>
  <mergeCells count="42">
    <mergeCell ref="A67:B67"/>
    <mergeCell ref="B138:I138"/>
    <mergeCell ref="B139:G139"/>
    <mergeCell ref="H139:I139"/>
    <mergeCell ref="B100:I100"/>
    <mergeCell ref="A106:B106"/>
    <mergeCell ref="A115:B115"/>
    <mergeCell ref="B130:I130"/>
    <mergeCell ref="B132:I132"/>
    <mergeCell ref="B134:I134"/>
    <mergeCell ref="D135:I135"/>
    <mergeCell ref="B136:I136"/>
    <mergeCell ref="B137:C137"/>
    <mergeCell ref="B127:I127"/>
    <mergeCell ref="B41:I41"/>
    <mergeCell ref="A46:B46"/>
    <mergeCell ref="B116:I116"/>
    <mergeCell ref="A120:B120"/>
    <mergeCell ref="A121:I121"/>
    <mergeCell ref="B55:I55"/>
    <mergeCell ref="A62:B62"/>
    <mergeCell ref="B47:I47"/>
    <mergeCell ref="A54:B54"/>
    <mergeCell ref="B107:I107"/>
    <mergeCell ref="B60:I60"/>
    <mergeCell ref="B68:I68"/>
    <mergeCell ref="A84:B84"/>
    <mergeCell ref="B85:I85"/>
    <mergeCell ref="A99:B99"/>
    <mergeCell ref="B63:I63"/>
    <mergeCell ref="A40:B40"/>
    <mergeCell ref="A1:I1"/>
    <mergeCell ref="A2:I2"/>
    <mergeCell ref="A3:I3"/>
    <mergeCell ref="A4:I4"/>
    <mergeCell ref="A5:I5"/>
    <mergeCell ref="A7:I7"/>
    <mergeCell ref="B8:I8"/>
    <mergeCell ref="A14:B14"/>
    <mergeCell ref="B15:I15"/>
    <mergeCell ref="A21:B21"/>
    <mergeCell ref="B22:I22"/>
  </mergeCells>
  <pageMargins left="0.31496062992125984" right="0.31496062992125984" top="0.74803149606299213" bottom="0.74803149606299213" header="0.31496062992125984" footer="0.31496062992125984"/>
  <pageSetup paperSize="9" scale="70" orientation="landscape" horizontalDpi="0" verticalDpi="0" r:id="rId1"/>
  <ignoredErrors>
    <ignoredError sqref="F18 H35" formula="1"/>
  </ignoredError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0">
    <tabColor rgb="FF66FF33"/>
  </sheetPr>
  <dimension ref="A1:O281"/>
  <sheetViews>
    <sheetView view="pageBreakPreview" topLeftCell="A76" zoomScale="115" zoomScaleNormal="115" zoomScaleSheetLayoutView="115" workbookViewId="0">
      <selection activeCell="L145" sqref="L145"/>
    </sheetView>
  </sheetViews>
  <sheetFormatPr baseColWidth="10" defaultRowHeight="13" x14ac:dyDescent="0.15"/>
  <cols>
    <col min="2" max="2" width="13.33203125" customWidth="1"/>
    <col min="5" max="5" width="12.6640625" customWidth="1"/>
    <col min="7" max="7" width="12.6640625" customWidth="1"/>
    <col min="8" max="8" width="17.1640625" customWidth="1"/>
    <col min="10" max="11" width="12.83203125" bestFit="1" customWidth="1"/>
    <col min="13" max="13" width="12.83203125" bestFit="1" customWidth="1"/>
    <col min="19" max="19" width="14.83203125" bestFit="1" customWidth="1"/>
  </cols>
  <sheetData>
    <row r="1" spans="1:8" s="90" customFormat="1" ht="21.75" customHeight="1" x14ac:dyDescent="0.2">
      <c r="A1" s="885" t="s">
        <v>874</v>
      </c>
      <c r="B1" s="886"/>
      <c r="C1" s="886"/>
      <c r="D1" s="886"/>
      <c r="E1" s="887"/>
      <c r="F1" s="89"/>
      <c r="G1" s="931" t="s">
        <v>20</v>
      </c>
      <c r="H1" s="932"/>
    </row>
    <row r="2" spans="1:8" s="90" customFormat="1" ht="21" customHeight="1" x14ac:dyDescent="0.2">
      <c r="A2" s="888" t="s">
        <v>875</v>
      </c>
      <c r="B2" s="889"/>
      <c r="C2" s="889"/>
      <c r="D2" s="889"/>
      <c r="E2" s="890"/>
      <c r="F2" s="91"/>
      <c r="G2" s="933"/>
      <c r="H2" s="934"/>
    </row>
    <row r="3" spans="1:8" s="90" customFormat="1" ht="15" customHeight="1" x14ac:dyDescent="0.2">
      <c r="A3" s="906" t="s">
        <v>876</v>
      </c>
      <c r="B3" s="907"/>
      <c r="C3" s="907"/>
      <c r="D3" s="907"/>
      <c r="E3" s="908"/>
      <c r="F3" s="91"/>
      <c r="G3" s="1114" t="s">
        <v>556</v>
      </c>
      <c r="H3" s="1115"/>
    </row>
    <row r="4" spans="1:8" s="90" customFormat="1" ht="15.75" customHeight="1" thickBot="1" x14ac:dyDescent="0.25">
      <c r="A4" s="909"/>
      <c r="B4" s="910"/>
      <c r="C4" s="910"/>
      <c r="D4" s="910"/>
      <c r="E4" s="911"/>
      <c r="F4" s="89"/>
      <c r="G4" s="1116"/>
      <c r="H4" s="1115"/>
    </row>
    <row r="5" spans="1:8" ht="13.5" customHeight="1" thickBot="1" x14ac:dyDescent="0.2">
      <c r="A5" s="15"/>
      <c r="B5" s="16"/>
      <c r="C5" s="1"/>
      <c r="D5" s="1"/>
      <c r="E5" s="1"/>
      <c r="F5" s="1"/>
      <c r="G5" s="1116"/>
      <c r="H5" s="1115"/>
    </row>
    <row r="6" spans="1:8" ht="15.75" customHeight="1" x14ac:dyDescent="0.15">
      <c r="A6" s="947" t="s">
        <v>836</v>
      </c>
      <c r="B6" s="948"/>
      <c r="C6" s="948"/>
      <c r="D6" s="948"/>
      <c r="E6" s="949"/>
      <c r="F6" s="1"/>
      <c r="G6" s="1116"/>
      <c r="H6" s="1115"/>
    </row>
    <row r="7" spans="1:8" ht="15.75" customHeight="1" x14ac:dyDescent="0.15">
      <c r="A7" s="950"/>
      <c r="B7" s="951"/>
      <c r="C7" s="951"/>
      <c r="D7" s="951"/>
      <c r="E7" s="952"/>
      <c r="F7" s="1"/>
      <c r="G7" s="1116"/>
      <c r="H7" s="1115"/>
    </row>
    <row r="8" spans="1:8" ht="15.75" customHeight="1" x14ac:dyDescent="0.15">
      <c r="A8" s="950"/>
      <c r="B8" s="951"/>
      <c r="C8" s="951"/>
      <c r="D8" s="951"/>
      <c r="E8" s="952"/>
      <c r="F8" s="1"/>
      <c r="G8" s="1116"/>
      <c r="H8" s="1115"/>
    </row>
    <row r="9" spans="1:8" ht="12.75" customHeight="1" x14ac:dyDescent="0.15">
      <c r="A9" s="950"/>
      <c r="B9" s="951"/>
      <c r="C9" s="951"/>
      <c r="D9" s="951"/>
      <c r="E9" s="952"/>
      <c r="G9" s="1116"/>
      <c r="H9" s="1115"/>
    </row>
    <row r="10" spans="1:8" ht="12.75" customHeight="1" x14ac:dyDescent="0.15">
      <c r="A10" s="950"/>
      <c r="B10" s="951"/>
      <c r="C10" s="951"/>
      <c r="D10" s="951"/>
      <c r="E10" s="952"/>
      <c r="F10" s="11"/>
      <c r="G10" s="1116"/>
      <c r="H10" s="1115"/>
    </row>
    <row r="11" spans="1:8" ht="13.5" customHeight="1" thickBot="1" x14ac:dyDescent="0.2">
      <c r="A11" s="953"/>
      <c r="B11" s="954"/>
      <c r="C11" s="954"/>
      <c r="D11" s="954"/>
      <c r="E11" s="955"/>
      <c r="G11" s="64" t="s">
        <v>45</v>
      </c>
      <c r="H11" s="17" t="s">
        <v>6</v>
      </c>
    </row>
    <row r="12" spans="1:8" x14ac:dyDescent="0.15">
      <c r="A12" s="18"/>
      <c r="B12" s="18"/>
      <c r="C12" s="1"/>
      <c r="D12" s="18"/>
      <c r="E12" s="18"/>
      <c r="F12" s="18"/>
      <c r="G12" s="18"/>
      <c r="H12" s="1"/>
    </row>
    <row r="13" spans="1:8" ht="14" thickBot="1" x14ac:dyDescent="0.2">
      <c r="A13" s="12" t="s">
        <v>21</v>
      </c>
      <c r="B13" s="12"/>
      <c r="C13" s="1"/>
      <c r="D13" s="1"/>
      <c r="E13" s="1"/>
      <c r="F13" s="1"/>
      <c r="G13" s="1"/>
      <c r="H13" s="1"/>
    </row>
    <row r="14" spans="1:8" x14ac:dyDescent="0.15">
      <c r="A14" s="903" t="s">
        <v>22</v>
      </c>
      <c r="B14" s="904"/>
      <c r="C14" s="905"/>
      <c r="D14" s="209" t="s">
        <v>23</v>
      </c>
      <c r="E14" s="209" t="s">
        <v>222</v>
      </c>
      <c r="F14" s="209" t="s">
        <v>24</v>
      </c>
      <c r="G14" s="208" t="s">
        <v>25</v>
      </c>
      <c r="H14" s="43"/>
    </row>
    <row r="15" spans="1:8" x14ac:dyDescent="0.15">
      <c r="A15" s="897" t="s">
        <v>57</v>
      </c>
      <c r="B15" s="898"/>
      <c r="C15" s="899"/>
      <c r="D15" s="5"/>
      <c r="E15" s="180">
        <f>'HERRAMIENTAS Y EQUIPOS'!C21</f>
        <v>100000</v>
      </c>
      <c r="F15" s="58">
        <v>8</v>
      </c>
      <c r="G15" s="165">
        <f>+E15/F15</f>
        <v>12500</v>
      </c>
      <c r="H15" s="44"/>
    </row>
    <row r="16" spans="1:8" x14ac:dyDescent="0.15">
      <c r="A16" s="897" t="s">
        <v>49</v>
      </c>
      <c r="B16" s="898"/>
      <c r="C16" s="899"/>
      <c r="D16" s="5"/>
      <c r="E16" s="164"/>
      <c r="F16" s="20"/>
      <c r="G16" s="165">
        <v>15000</v>
      </c>
      <c r="H16" s="44"/>
    </row>
    <row r="17" spans="1:15" ht="14" thickBot="1" x14ac:dyDescent="0.2">
      <c r="A17" s="900"/>
      <c r="B17" s="901"/>
      <c r="C17" s="902"/>
      <c r="D17" s="21"/>
      <c r="E17" s="22"/>
      <c r="F17" s="23"/>
      <c r="G17" s="47"/>
      <c r="H17" s="48"/>
    </row>
    <row r="18" spans="1:15" ht="14" thickBot="1" x14ac:dyDescent="0.2">
      <c r="A18" s="1"/>
      <c r="B18" s="1"/>
      <c r="C18" s="1"/>
      <c r="D18" s="1"/>
      <c r="E18" s="1"/>
      <c r="F18" s="1"/>
      <c r="G18" s="37" t="s">
        <v>26</v>
      </c>
      <c r="H18" s="163">
        <f>SUM(G15:G17)</f>
        <v>27500</v>
      </c>
    </row>
    <row r="19" spans="1:15" ht="14" thickBot="1" x14ac:dyDescent="0.2">
      <c r="A19" s="12" t="s">
        <v>27</v>
      </c>
      <c r="B19" s="12"/>
      <c r="C19" s="1"/>
      <c r="D19" s="1"/>
      <c r="E19" s="1"/>
      <c r="F19" s="1"/>
      <c r="G19" s="1"/>
      <c r="H19" s="1"/>
    </row>
    <row r="20" spans="1:15" x14ac:dyDescent="0.15">
      <c r="A20" s="903" t="s">
        <v>22</v>
      </c>
      <c r="B20" s="904"/>
      <c r="C20" s="905"/>
      <c r="D20" s="209" t="s">
        <v>28</v>
      </c>
      <c r="E20" s="209" t="s">
        <v>29</v>
      </c>
      <c r="F20" s="209" t="s">
        <v>30</v>
      </c>
      <c r="G20" s="208" t="s">
        <v>25</v>
      </c>
      <c r="H20" s="43"/>
    </row>
    <row r="21" spans="1:15" x14ac:dyDescent="0.15">
      <c r="A21" s="4" t="s">
        <v>101</v>
      </c>
      <c r="B21" s="24"/>
      <c r="C21" s="6"/>
      <c r="D21" s="3" t="s">
        <v>186</v>
      </c>
      <c r="E21" s="180">
        <f>MATERIALES!F10</f>
        <v>810</v>
      </c>
      <c r="F21" s="65">
        <f>8.3*50</f>
        <v>415.00000000000006</v>
      </c>
      <c r="G21" s="181">
        <f t="shared" ref="G21:G25" si="0">F21*E21</f>
        <v>336150.00000000006</v>
      </c>
      <c r="H21" s="44"/>
    </row>
    <row r="22" spans="1:15" x14ac:dyDescent="0.15">
      <c r="A22" s="4" t="s">
        <v>554</v>
      </c>
      <c r="B22" s="24"/>
      <c r="C22" s="6"/>
      <c r="D22" s="3" t="s">
        <v>6</v>
      </c>
      <c r="E22" s="166">
        <f>MATERIALES!C12</f>
        <v>150000</v>
      </c>
      <c r="F22" s="182">
        <v>0.77400000000000002</v>
      </c>
      <c r="G22" s="181">
        <f t="shared" si="0"/>
        <v>116100</v>
      </c>
      <c r="H22" s="44"/>
    </row>
    <row r="23" spans="1:15" x14ac:dyDescent="0.15">
      <c r="A23" s="4" t="s">
        <v>555</v>
      </c>
      <c r="B23" s="24"/>
      <c r="C23" s="6"/>
      <c r="D23" s="3" t="s">
        <v>6</v>
      </c>
      <c r="E23" s="166">
        <f>MATERIALES!F14</f>
        <v>72000</v>
      </c>
      <c r="F23" s="182">
        <v>0.48799999999999999</v>
      </c>
      <c r="G23" s="181">
        <f t="shared" si="0"/>
        <v>35136</v>
      </c>
      <c r="H23" s="44"/>
      <c r="O23" s="391"/>
    </row>
    <row r="24" spans="1:15" x14ac:dyDescent="0.15">
      <c r="A24" s="4" t="s">
        <v>60</v>
      </c>
      <c r="B24" s="24"/>
      <c r="C24" s="6"/>
      <c r="D24" s="5" t="s">
        <v>134</v>
      </c>
      <c r="E24" s="180">
        <f>MATERIALES!F16</f>
        <v>50</v>
      </c>
      <c r="F24" s="65">
        <f>25*8.3</f>
        <v>207.50000000000003</v>
      </c>
      <c r="G24" s="183">
        <f t="shared" si="0"/>
        <v>10375.000000000002</v>
      </c>
      <c r="H24" s="44"/>
      <c r="O24" s="391"/>
    </row>
    <row r="25" spans="1:15" ht="14" thickBot="1" x14ac:dyDescent="0.2">
      <c r="A25" s="33" t="s">
        <v>161</v>
      </c>
      <c r="B25" s="34"/>
      <c r="C25" s="54"/>
      <c r="D25" s="21"/>
      <c r="E25" s="184">
        <f>SUM(G21:G24)</f>
        <v>497761.00000000006</v>
      </c>
      <c r="F25" s="23">
        <v>0.05</v>
      </c>
      <c r="G25" s="185">
        <f t="shared" si="0"/>
        <v>24888.050000000003</v>
      </c>
      <c r="H25" s="48"/>
    </row>
    <row r="26" spans="1:15" ht="14" thickBot="1" x14ac:dyDescent="0.2">
      <c r="A26" s="1"/>
      <c r="B26" s="1"/>
      <c r="C26" s="1"/>
      <c r="D26" s="1"/>
      <c r="E26" s="1"/>
      <c r="F26" s="1"/>
      <c r="G26" s="37" t="s">
        <v>26</v>
      </c>
      <c r="H26" s="177">
        <f>SUM(G21:G25)</f>
        <v>522649.05000000005</v>
      </c>
    </row>
    <row r="27" spans="1:15" ht="14" thickBot="1" x14ac:dyDescent="0.2">
      <c r="A27" s="28" t="s">
        <v>31</v>
      </c>
      <c r="B27" s="28"/>
      <c r="C27" s="26"/>
      <c r="D27" s="1"/>
      <c r="E27" s="1"/>
      <c r="F27" s="1"/>
      <c r="G27" s="1"/>
      <c r="H27" s="1"/>
    </row>
    <row r="28" spans="1:15" x14ac:dyDescent="0.15">
      <c r="A28" s="51" t="s">
        <v>32</v>
      </c>
      <c r="B28" s="52"/>
      <c r="C28" s="97" t="s">
        <v>33</v>
      </c>
      <c r="D28" s="209" t="s">
        <v>34</v>
      </c>
      <c r="E28" s="209" t="s">
        <v>35</v>
      </c>
      <c r="F28" s="209" t="s">
        <v>36</v>
      </c>
      <c r="G28" s="59" t="s">
        <v>25</v>
      </c>
      <c r="H28" s="43"/>
    </row>
    <row r="29" spans="1:15" x14ac:dyDescent="0.15">
      <c r="A29" s="4" t="s">
        <v>204</v>
      </c>
      <c r="B29" s="6"/>
      <c r="C29" s="60">
        <v>0.45500000000000002</v>
      </c>
      <c r="D29" s="60">
        <v>15</v>
      </c>
      <c r="E29" s="60">
        <f>D29*C29</f>
        <v>6.8250000000000002</v>
      </c>
      <c r="F29" s="162">
        <v>1100</v>
      </c>
      <c r="G29" s="55">
        <f>F29*E29</f>
        <v>7507.5</v>
      </c>
      <c r="H29" s="44"/>
    </row>
    <row r="30" spans="1:15" x14ac:dyDescent="0.15">
      <c r="A30" s="4" t="s">
        <v>148</v>
      </c>
      <c r="B30" s="6"/>
      <c r="C30" s="60">
        <f>F22</f>
        <v>0.77400000000000002</v>
      </c>
      <c r="D30" s="60">
        <v>15</v>
      </c>
      <c r="E30" s="60">
        <f>D30*C30</f>
        <v>11.61</v>
      </c>
      <c r="F30" s="162">
        <v>1100</v>
      </c>
      <c r="G30" s="55">
        <f>F30*E30</f>
        <v>12771</v>
      </c>
      <c r="H30" s="44"/>
    </row>
    <row r="31" spans="1:15" x14ac:dyDescent="0.15">
      <c r="A31" s="4" t="s">
        <v>59</v>
      </c>
      <c r="B31" s="6"/>
      <c r="C31" s="60">
        <f>F23</f>
        <v>0.48799999999999999</v>
      </c>
      <c r="D31" s="60">
        <v>15</v>
      </c>
      <c r="E31" s="60">
        <f>D31*C31</f>
        <v>7.32</v>
      </c>
      <c r="F31" s="162">
        <v>1100</v>
      </c>
      <c r="G31" s="55">
        <f>F31*E31</f>
        <v>8052</v>
      </c>
      <c r="H31" s="44"/>
    </row>
    <row r="32" spans="1:15" ht="14" thickBot="1" x14ac:dyDescent="0.2">
      <c r="A32" s="33" t="s">
        <v>60</v>
      </c>
      <c r="B32" s="54"/>
      <c r="C32" s="212">
        <v>0.2</v>
      </c>
      <c r="D32" s="212">
        <v>15</v>
      </c>
      <c r="E32" s="212">
        <f>D32*C32</f>
        <v>3</v>
      </c>
      <c r="F32" s="167">
        <v>1100</v>
      </c>
      <c r="G32" s="87">
        <f>F32*E32</f>
        <v>3300</v>
      </c>
      <c r="H32" s="48"/>
    </row>
    <row r="33" spans="1:14" ht="14" thickBot="1" x14ac:dyDescent="0.2">
      <c r="A33" s="1"/>
      <c r="B33" s="1"/>
      <c r="C33" s="1"/>
      <c r="D33" s="1"/>
      <c r="E33" s="1"/>
      <c r="F33" s="1"/>
      <c r="G33" s="37" t="s">
        <v>26</v>
      </c>
      <c r="H33" s="110">
        <f>SUM(G29:G32)</f>
        <v>31630.5</v>
      </c>
    </row>
    <row r="34" spans="1:14" ht="14" thickBot="1" x14ac:dyDescent="0.2">
      <c r="A34" s="28" t="s">
        <v>37</v>
      </c>
      <c r="B34" s="28"/>
      <c r="C34" s="1"/>
      <c r="D34" s="1"/>
      <c r="E34" s="1"/>
      <c r="F34" s="1"/>
      <c r="G34" s="1"/>
      <c r="H34" s="1"/>
    </row>
    <row r="35" spans="1:14" x14ac:dyDescent="0.15">
      <c r="A35" s="51" t="s">
        <v>38</v>
      </c>
      <c r="B35" s="86"/>
      <c r="C35" s="31" t="s">
        <v>39</v>
      </c>
      <c r="D35" s="209" t="s">
        <v>40</v>
      </c>
      <c r="E35" s="19" t="s">
        <v>41</v>
      </c>
      <c r="F35" s="31" t="s">
        <v>24</v>
      </c>
      <c r="G35" s="208" t="s">
        <v>25</v>
      </c>
      <c r="H35" s="43"/>
    </row>
    <row r="36" spans="1:14" x14ac:dyDescent="0.15">
      <c r="A36" s="4"/>
      <c r="B36" s="24"/>
      <c r="C36" s="32"/>
      <c r="D36" s="168"/>
      <c r="E36" s="164"/>
      <c r="F36" s="20"/>
      <c r="G36" s="169"/>
      <c r="H36" s="44"/>
    </row>
    <row r="37" spans="1:14" ht="14" thickBot="1" x14ac:dyDescent="0.2">
      <c r="A37" s="33"/>
      <c r="B37" s="34"/>
      <c r="C37" s="111"/>
      <c r="D37" s="210"/>
      <c r="E37" s="167"/>
      <c r="F37" s="23"/>
      <c r="G37" s="211"/>
      <c r="H37" s="48"/>
    </row>
    <row r="38" spans="1:14" ht="14" thickBot="1" x14ac:dyDescent="0.2">
      <c r="A38" s="1"/>
      <c r="B38" s="1"/>
      <c r="C38" s="1"/>
      <c r="D38" s="1"/>
      <c r="E38" s="1"/>
      <c r="F38" s="1"/>
      <c r="G38" s="37" t="s">
        <v>26</v>
      </c>
      <c r="H38" s="177">
        <f>SUM(G36:G37)</f>
        <v>0</v>
      </c>
    </row>
    <row r="39" spans="1:14" ht="14" thickBot="1" x14ac:dyDescent="0.2">
      <c r="A39" s="1"/>
      <c r="B39" s="1"/>
      <c r="C39" s="1"/>
      <c r="D39" s="1"/>
      <c r="E39" s="1"/>
      <c r="F39" s="1"/>
      <c r="G39" s="61"/>
      <c r="H39" s="1"/>
      <c r="N39" t="s">
        <v>625</v>
      </c>
    </row>
    <row r="40" spans="1:14" ht="15" thickBot="1" x14ac:dyDescent="0.2">
      <c r="A40" s="1"/>
      <c r="B40" s="1"/>
      <c r="C40" s="1"/>
      <c r="D40" s="1"/>
      <c r="E40" s="35" t="s">
        <v>43</v>
      </c>
      <c r="F40" s="36"/>
      <c r="G40" s="187"/>
      <c r="H40" s="170">
        <f>ROUND((H18+H26+H33+H38),0)</f>
        <v>581780</v>
      </c>
    </row>
    <row r="41" spans="1:14" x14ac:dyDescent="0.15">
      <c r="A41" s="12"/>
      <c r="B41" s="12"/>
      <c r="C41" s="1"/>
      <c r="D41" s="1"/>
      <c r="E41" s="1"/>
      <c r="F41" s="1"/>
      <c r="G41" s="1"/>
      <c r="H41" s="1"/>
    </row>
    <row r="42" spans="1:14" x14ac:dyDescent="0.15">
      <c r="A42" s="16"/>
      <c r="B42" s="16"/>
      <c r="C42" s="16"/>
      <c r="D42" s="16"/>
      <c r="E42" s="16"/>
      <c r="F42" s="61"/>
      <c r="G42" s="61"/>
      <c r="H42" s="1"/>
    </row>
    <row r="43" spans="1:14" x14ac:dyDescent="0.15">
      <c r="A43" s="1"/>
      <c r="B43" s="1"/>
      <c r="C43" s="1"/>
      <c r="D43" s="1"/>
      <c r="E43" s="1"/>
      <c r="F43" s="161"/>
      <c r="G43" s="172"/>
      <c r="H43" s="172"/>
    </row>
    <row r="44" spans="1:14" x14ac:dyDescent="0.15">
      <c r="A44" s="1"/>
      <c r="B44" s="1"/>
      <c r="C44" s="1"/>
      <c r="D44" s="1"/>
      <c r="E44" s="1"/>
      <c r="F44" s="161"/>
      <c r="G44" s="172"/>
      <c r="H44" s="172"/>
    </row>
    <row r="45" spans="1:14" x14ac:dyDescent="0.15">
      <c r="A45" s="1"/>
      <c r="B45" s="1"/>
      <c r="C45" s="1"/>
      <c r="D45" s="1"/>
      <c r="E45" s="1"/>
      <c r="F45" s="161"/>
      <c r="G45" s="172"/>
      <c r="H45" s="172"/>
    </row>
    <row r="46" spans="1:14" x14ac:dyDescent="0.15">
      <c r="A46" s="1"/>
      <c r="B46" s="1"/>
      <c r="C46" s="1"/>
      <c r="D46" s="1"/>
      <c r="E46" s="1"/>
      <c r="F46" s="1"/>
      <c r="G46" s="37"/>
      <c r="H46" s="172"/>
    </row>
    <row r="47" spans="1:14" ht="14" x14ac:dyDescent="0.15">
      <c r="A47" s="102"/>
      <c r="B47" s="83"/>
      <c r="C47" s="84"/>
      <c r="D47" s="83"/>
      <c r="E47" s="83"/>
      <c r="F47" s="103"/>
      <c r="G47" s="83"/>
      <c r="H47" s="85"/>
      <c r="I47" s="85"/>
    </row>
    <row r="48" spans="1:14" ht="14" x14ac:dyDescent="0.15">
      <c r="A48" s="83"/>
      <c r="B48" s="83"/>
      <c r="C48" s="84"/>
      <c r="D48" s="83"/>
      <c r="E48" s="83"/>
      <c r="F48" s="104"/>
      <c r="G48" s="83"/>
      <c r="H48" s="85"/>
      <c r="I48" s="85"/>
    </row>
    <row r="49" spans="1:9" x14ac:dyDescent="0.15">
      <c r="C49" s="1"/>
      <c r="D49" s="15"/>
      <c r="E49" s="16"/>
      <c r="F49" s="16"/>
      <c r="G49" s="16"/>
      <c r="H49" s="171"/>
    </row>
    <row r="50" spans="1:9" x14ac:dyDescent="0.15">
      <c r="C50" s="1"/>
      <c r="D50" s="15"/>
      <c r="E50" s="16"/>
      <c r="F50" s="16"/>
      <c r="G50" s="16"/>
      <c r="H50" s="171"/>
    </row>
    <row r="51" spans="1:9" x14ac:dyDescent="0.15">
      <c r="C51" s="1"/>
      <c r="D51" s="15"/>
      <c r="E51" s="16"/>
      <c r="F51" s="16"/>
      <c r="G51" s="16"/>
      <c r="H51" s="171"/>
    </row>
    <row r="52" spans="1:9" x14ac:dyDescent="0.15">
      <c r="C52" s="1"/>
      <c r="D52" s="15"/>
      <c r="E52" s="16"/>
      <c r="F52" s="16"/>
      <c r="G52" s="16"/>
      <c r="H52" s="171"/>
    </row>
    <row r="53" spans="1:9" x14ac:dyDescent="0.15">
      <c r="C53" s="1"/>
      <c r="D53" s="15"/>
      <c r="E53" s="16"/>
      <c r="F53" s="16"/>
      <c r="G53" s="16"/>
      <c r="H53" s="171"/>
    </row>
    <row r="55" spans="1:9" ht="14" x14ac:dyDescent="0.15">
      <c r="A55" s="83"/>
      <c r="B55" s="83"/>
      <c r="C55" s="84"/>
      <c r="D55" s="83"/>
      <c r="E55" s="83"/>
      <c r="F55" s="104"/>
      <c r="G55" s="83"/>
      <c r="H55" s="85"/>
      <c r="I55" s="85"/>
    </row>
    <row r="56" spans="1:9" ht="14" thickBot="1" x14ac:dyDescent="0.2">
      <c r="C56" s="1"/>
      <c r="D56" s="15"/>
      <c r="E56" s="16"/>
      <c r="F56" s="16"/>
      <c r="G56" s="16"/>
      <c r="H56" s="171"/>
    </row>
    <row r="57" spans="1:9" s="90" customFormat="1" ht="21.75" customHeight="1" x14ac:dyDescent="0.2">
      <c r="A57" s="885" t="s">
        <v>874</v>
      </c>
      <c r="B57" s="886"/>
      <c r="C57" s="886"/>
      <c r="D57" s="886"/>
      <c r="E57" s="887"/>
      <c r="F57" s="89"/>
      <c r="G57" s="931" t="s">
        <v>20</v>
      </c>
      <c r="H57" s="932"/>
    </row>
    <row r="58" spans="1:9" s="90" customFormat="1" ht="21" customHeight="1" x14ac:dyDescent="0.2">
      <c r="A58" s="888" t="s">
        <v>875</v>
      </c>
      <c r="B58" s="889"/>
      <c r="C58" s="889"/>
      <c r="D58" s="889"/>
      <c r="E58" s="890"/>
      <c r="F58" s="91"/>
      <c r="G58" s="933"/>
      <c r="H58" s="934"/>
    </row>
    <row r="59" spans="1:9" s="90" customFormat="1" ht="15" customHeight="1" x14ac:dyDescent="0.2">
      <c r="A59" s="906" t="s">
        <v>876</v>
      </c>
      <c r="B59" s="907"/>
      <c r="C59" s="907"/>
      <c r="D59" s="907"/>
      <c r="E59" s="908"/>
      <c r="F59" s="91"/>
      <c r="G59" s="1114" t="s">
        <v>110</v>
      </c>
      <c r="H59" s="1115"/>
    </row>
    <row r="60" spans="1:9" s="90" customFormat="1" ht="15.75" customHeight="1" thickBot="1" x14ac:dyDescent="0.25">
      <c r="A60" s="909"/>
      <c r="B60" s="910"/>
      <c r="C60" s="910"/>
      <c r="D60" s="910"/>
      <c r="E60" s="911"/>
      <c r="F60" s="89"/>
      <c r="G60" s="1116"/>
      <c r="H60" s="1115"/>
    </row>
    <row r="61" spans="1:9" ht="14" thickBot="1" x14ac:dyDescent="0.2">
      <c r="A61" s="15"/>
      <c r="B61" s="16"/>
      <c r="C61" s="1"/>
      <c r="D61" s="1"/>
      <c r="E61" s="1"/>
      <c r="F61" s="1"/>
      <c r="G61" s="1116"/>
      <c r="H61" s="1115"/>
    </row>
    <row r="62" spans="1:9" ht="15.75" customHeight="1" x14ac:dyDescent="0.15">
      <c r="A62" s="947" t="s">
        <v>836</v>
      </c>
      <c r="B62" s="948"/>
      <c r="C62" s="948"/>
      <c r="D62" s="948"/>
      <c r="E62" s="949"/>
      <c r="F62" s="1"/>
      <c r="G62" s="1116"/>
      <c r="H62" s="1115"/>
    </row>
    <row r="63" spans="1:9" ht="15.75" customHeight="1" x14ac:dyDescent="0.15">
      <c r="A63" s="950"/>
      <c r="B63" s="951"/>
      <c r="C63" s="951"/>
      <c r="D63" s="951"/>
      <c r="E63" s="952"/>
      <c r="F63" s="1"/>
      <c r="G63" s="1116"/>
      <c r="H63" s="1115"/>
    </row>
    <row r="64" spans="1:9" ht="15.75" customHeight="1" x14ac:dyDescent="0.15">
      <c r="A64" s="950"/>
      <c r="B64" s="951"/>
      <c r="C64" s="951"/>
      <c r="D64" s="951"/>
      <c r="E64" s="952"/>
      <c r="F64" s="1"/>
      <c r="G64" s="1116"/>
      <c r="H64" s="1115"/>
    </row>
    <row r="65" spans="1:11" ht="12.75" customHeight="1" x14ac:dyDescent="0.15">
      <c r="A65" s="950"/>
      <c r="B65" s="951"/>
      <c r="C65" s="951"/>
      <c r="D65" s="951"/>
      <c r="E65" s="952"/>
      <c r="G65" s="1116"/>
      <c r="H65" s="1115"/>
      <c r="J65" s="174"/>
    </row>
    <row r="66" spans="1:11" ht="12.75" customHeight="1" x14ac:dyDescent="0.15">
      <c r="A66" s="950"/>
      <c r="B66" s="951"/>
      <c r="C66" s="951"/>
      <c r="D66" s="951"/>
      <c r="E66" s="952"/>
      <c r="F66" s="11"/>
      <c r="G66" s="1116"/>
      <c r="H66" s="1115"/>
    </row>
    <row r="67" spans="1:11" ht="13.5" customHeight="1" thickBot="1" x14ac:dyDescent="0.2">
      <c r="A67" s="953"/>
      <c r="B67" s="954"/>
      <c r="C67" s="954"/>
      <c r="D67" s="954"/>
      <c r="E67" s="955"/>
      <c r="G67" s="64" t="s">
        <v>45</v>
      </c>
      <c r="H67" s="17" t="s">
        <v>6</v>
      </c>
    </row>
    <row r="68" spans="1:11" x14ac:dyDescent="0.15">
      <c r="A68" s="18"/>
      <c r="B68" s="18"/>
      <c r="C68" s="1"/>
      <c r="D68" s="18"/>
      <c r="E68" s="18"/>
      <c r="F68" s="18"/>
      <c r="G68" s="18"/>
      <c r="H68" s="1"/>
      <c r="J68" s="174"/>
      <c r="K68" s="106"/>
    </row>
    <row r="69" spans="1:11" ht="14" thickBot="1" x14ac:dyDescent="0.2">
      <c r="A69" s="12" t="s">
        <v>21</v>
      </c>
      <c r="B69" s="12"/>
      <c r="C69" s="1"/>
      <c r="D69" s="1"/>
      <c r="E69" s="1"/>
      <c r="F69" s="1"/>
      <c r="G69" s="1"/>
      <c r="H69" s="1"/>
    </row>
    <row r="70" spans="1:11" x14ac:dyDescent="0.15">
      <c r="A70" s="903" t="s">
        <v>22</v>
      </c>
      <c r="B70" s="904"/>
      <c r="C70" s="905"/>
      <c r="D70" s="209" t="s">
        <v>23</v>
      </c>
      <c r="E70" s="19" t="s">
        <v>108</v>
      </c>
      <c r="F70" s="209" t="s">
        <v>24</v>
      </c>
      <c r="G70" s="208" t="s">
        <v>25</v>
      </c>
      <c r="H70" s="43"/>
    </row>
    <row r="71" spans="1:11" x14ac:dyDescent="0.15">
      <c r="A71" s="897" t="s">
        <v>57</v>
      </c>
      <c r="B71" s="898"/>
      <c r="C71" s="899"/>
      <c r="D71" s="5"/>
      <c r="E71" s="180">
        <f>'[3]HERRAMIENTAS Y EQUIPOS'!C20</f>
        <v>100000</v>
      </c>
      <c r="F71" s="58">
        <v>8</v>
      </c>
      <c r="G71" s="165">
        <f>+E71/F71</f>
        <v>12500</v>
      </c>
      <c r="H71" s="44"/>
    </row>
    <row r="72" spans="1:11" x14ac:dyDescent="0.15">
      <c r="A72" s="897" t="s">
        <v>49</v>
      </c>
      <c r="B72" s="898"/>
      <c r="C72" s="899"/>
      <c r="D72" s="5"/>
      <c r="E72" s="164"/>
      <c r="F72" s="20"/>
      <c r="G72" s="165">
        <v>15000</v>
      </c>
      <c r="H72" s="44"/>
    </row>
    <row r="73" spans="1:11" ht="14" thickBot="1" x14ac:dyDescent="0.2">
      <c r="A73" s="900"/>
      <c r="B73" s="901"/>
      <c r="C73" s="902"/>
      <c r="D73" s="21"/>
      <c r="E73" s="22"/>
      <c r="F73" s="23"/>
      <c r="G73" s="47"/>
      <c r="H73" s="48"/>
    </row>
    <row r="74" spans="1:11" ht="14" thickBot="1" x14ac:dyDescent="0.2">
      <c r="A74" s="1"/>
      <c r="B74" s="1"/>
      <c r="C74" s="1"/>
      <c r="D74" s="1"/>
      <c r="E74" s="1"/>
      <c r="F74" s="1"/>
      <c r="G74" s="37" t="s">
        <v>26</v>
      </c>
      <c r="H74" s="163">
        <f>SUM(G71:G73)</f>
        <v>27500</v>
      </c>
    </row>
    <row r="75" spans="1:11" ht="14" thickBot="1" x14ac:dyDescent="0.2">
      <c r="A75" s="12" t="s">
        <v>27</v>
      </c>
      <c r="B75" s="12"/>
      <c r="C75" s="1"/>
      <c r="D75" s="1"/>
      <c r="E75" s="1"/>
      <c r="F75" s="1"/>
      <c r="G75" s="1"/>
      <c r="H75" s="1"/>
    </row>
    <row r="76" spans="1:11" x14ac:dyDescent="0.15">
      <c r="A76" s="903" t="s">
        <v>22</v>
      </c>
      <c r="B76" s="904"/>
      <c r="C76" s="905"/>
      <c r="D76" s="209" t="s">
        <v>28</v>
      </c>
      <c r="E76" s="209" t="s">
        <v>29</v>
      </c>
      <c r="F76" s="209" t="s">
        <v>30</v>
      </c>
      <c r="G76" s="208" t="s">
        <v>25</v>
      </c>
      <c r="H76" s="43"/>
    </row>
    <row r="77" spans="1:11" x14ac:dyDescent="0.15">
      <c r="A77" s="4" t="s">
        <v>101</v>
      </c>
      <c r="B77" s="24"/>
      <c r="C77" s="6"/>
      <c r="D77" s="3" t="s">
        <v>186</v>
      </c>
      <c r="E77" s="180">
        <f>MATERIALES!F10</f>
        <v>810</v>
      </c>
      <c r="F77" s="65">
        <f>7.6*50</f>
        <v>380</v>
      </c>
      <c r="G77" s="181">
        <f>F77*E77</f>
        <v>307800</v>
      </c>
      <c r="H77" s="44"/>
    </row>
    <row r="78" spans="1:11" x14ac:dyDescent="0.15">
      <c r="A78" s="4" t="s">
        <v>554</v>
      </c>
      <c r="B78" s="24"/>
      <c r="C78" s="6"/>
      <c r="D78" s="3" t="s">
        <v>6</v>
      </c>
      <c r="E78" s="166">
        <f>MATERIALES!C12</f>
        <v>150000</v>
      </c>
      <c r="F78" s="65">
        <v>0.77</v>
      </c>
      <c r="G78" s="181">
        <f>F78*E78</f>
        <v>115500</v>
      </c>
      <c r="H78" s="44"/>
    </row>
    <row r="79" spans="1:11" x14ac:dyDescent="0.15">
      <c r="A79" s="4" t="s">
        <v>555</v>
      </c>
      <c r="B79" s="24"/>
      <c r="C79" s="6"/>
      <c r="D79" s="3" t="s">
        <v>6</v>
      </c>
      <c r="E79" s="166">
        <f>MATERIALES!F14</f>
        <v>72000</v>
      </c>
      <c r="F79" s="182">
        <v>0.52300000000000002</v>
      </c>
      <c r="G79" s="181">
        <f>F79*E79</f>
        <v>37656</v>
      </c>
      <c r="H79" s="44"/>
    </row>
    <row r="80" spans="1:11" x14ac:dyDescent="0.15">
      <c r="A80" s="4" t="s">
        <v>60</v>
      </c>
      <c r="B80" s="24"/>
      <c r="C80" s="6"/>
      <c r="D80" s="5" t="s">
        <v>134</v>
      </c>
      <c r="E80" s="180">
        <f>MATERIALES!F16</f>
        <v>50</v>
      </c>
      <c r="F80" s="65">
        <f>29*7.6</f>
        <v>220.39999999999998</v>
      </c>
      <c r="G80" s="183">
        <f>F80*E80</f>
        <v>11019.999999999998</v>
      </c>
      <c r="H80" s="44"/>
    </row>
    <row r="81" spans="1:8" ht="14" thickBot="1" x14ac:dyDescent="0.2">
      <c r="A81" s="33" t="s">
        <v>161</v>
      </c>
      <c r="B81" s="34"/>
      <c r="C81" s="54"/>
      <c r="D81" s="21"/>
      <c r="E81" s="184">
        <f>SUM(G77:G80)</f>
        <v>471976</v>
      </c>
      <c r="F81" s="23">
        <v>0.05</v>
      </c>
      <c r="G81" s="185">
        <f>F81*E81</f>
        <v>23598.800000000003</v>
      </c>
      <c r="H81" s="48"/>
    </row>
    <row r="82" spans="1:8" ht="14" thickBot="1" x14ac:dyDescent="0.2">
      <c r="A82" s="1"/>
      <c r="B82" s="1"/>
      <c r="C82" s="1"/>
      <c r="D82" s="1"/>
      <c r="E82" s="1"/>
      <c r="F82" s="1"/>
      <c r="G82" s="37" t="s">
        <v>26</v>
      </c>
      <c r="H82" s="177">
        <f>SUM(G77:G81)</f>
        <v>495574.8</v>
      </c>
    </row>
    <row r="83" spans="1:8" ht="14" thickBot="1" x14ac:dyDescent="0.2">
      <c r="A83" s="28" t="s">
        <v>31</v>
      </c>
      <c r="B83" s="28"/>
      <c r="C83" s="26"/>
      <c r="D83" s="1"/>
      <c r="E83" s="1"/>
      <c r="F83" s="1"/>
      <c r="G83" s="1"/>
      <c r="H83" s="1"/>
    </row>
    <row r="84" spans="1:8" x14ac:dyDescent="0.15">
      <c r="A84" s="51" t="s">
        <v>32</v>
      </c>
      <c r="B84" s="52"/>
      <c r="C84" s="97" t="s">
        <v>33</v>
      </c>
      <c r="D84" s="209" t="s">
        <v>34</v>
      </c>
      <c r="E84" s="209" t="s">
        <v>35</v>
      </c>
      <c r="F84" s="209" t="s">
        <v>36</v>
      </c>
      <c r="G84" s="59" t="s">
        <v>25</v>
      </c>
      <c r="H84" s="43"/>
    </row>
    <row r="85" spans="1:8" x14ac:dyDescent="0.15">
      <c r="A85" s="4" t="s">
        <v>204</v>
      </c>
      <c r="B85" s="6"/>
      <c r="C85" s="60">
        <v>0.45500000000000002</v>
      </c>
      <c r="D85" s="60">
        <v>15</v>
      </c>
      <c r="E85" s="2">
        <f>D85*C85</f>
        <v>6.8250000000000002</v>
      </c>
      <c r="F85" s="162">
        <v>1100</v>
      </c>
      <c r="G85" s="55">
        <f>F85*E85</f>
        <v>7507.5</v>
      </c>
      <c r="H85" s="44"/>
    </row>
    <row r="86" spans="1:8" x14ac:dyDescent="0.15">
      <c r="A86" s="4" t="s">
        <v>148</v>
      </c>
      <c r="B86" s="6"/>
      <c r="C86" s="60">
        <f>F78</f>
        <v>0.77</v>
      </c>
      <c r="D86" s="60">
        <v>15</v>
      </c>
      <c r="E86" s="2">
        <f>D86*C86</f>
        <v>11.55</v>
      </c>
      <c r="F86" s="162">
        <v>1100</v>
      </c>
      <c r="G86" s="55">
        <f>F86*E86</f>
        <v>12705</v>
      </c>
      <c r="H86" s="44"/>
    </row>
    <row r="87" spans="1:8" x14ac:dyDescent="0.15">
      <c r="A87" s="4" t="s">
        <v>59</v>
      </c>
      <c r="B87" s="6"/>
      <c r="C87" s="60">
        <f>F79</f>
        <v>0.52300000000000002</v>
      </c>
      <c r="D87" s="60">
        <v>15</v>
      </c>
      <c r="E87" s="2">
        <f>D87*C87</f>
        <v>7.8450000000000006</v>
      </c>
      <c r="F87" s="162">
        <v>1100</v>
      </c>
      <c r="G87" s="55">
        <f>F87*E87</f>
        <v>8629.5</v>
      </c>
      <c r="H87" s="44"/>
    </row>
    <row r="88" spans="1:8" ht="14" thickBot="1" x14ac:dyDescent="0.2">
      <c r="A88" s="33" t="s">
        <v>60</v>
      </c>
      <c r="B88" s="54"/>
      <c r="C88" s="108">
        <v>0.2</v>
      </c>
      <c r="D88" s="212">
        <v>15</v>
      </c>
      <c r="E88" s="109">
        <f>D88*C88</f>
        <v>3</v>
      </c>
      <c r="F88" s="167">
        <v>1100</v>
      </c>
      <c r="G88" s="87">
        <f>F88*E88</f>
        <v>3300</v>
      </c>
      <c r="H88" s="48"/>
    </row>
    <row r="89" spans="1:8" ht="14" thickBot="1" x14ac:dyDescent="0.2">
      <c r="A89" s="1"/>
      <c r="B89" s="1"/>
      <c r="C89" s="1"/>
      <c r="D89" s="1"/>
      <c r="E89" s="1"/>
      <c r="F89" s="1"/>
      <c r="G89" s="37" t="s">
        <v>26</v>
      </c>
      <c r="H89" s="110">
        <f>SUM(G85:G88)</f>
        <v>32142</v>
      </c>
    </row>
    <row r="90" spans="1:8" ht="14" thickBot="1" x14ac:dyDescent="0.2">
      <c r="A90" s="28" t="s">
        <v>37</v>
      </c>
      <c r="B90" s="28"/>
      <c r="C90" s="1"/>
      <c r="D90" s="1"/>
      <c r="E90" s="1"/>
      <c r="F90" s="1"/>
      <c r="G90" s="1"/>
      <c r="H90" s="1"/>
    </row>
    <row r="91" spans="1:8" x14ac:dyDescent="0.15">
      <c r="A91" s="51" t="s">
        <v>38</v>
      </c>
      <c r="B91" s="86"/>
      <c r="C91" s="31" t="s">
        <v>39</v>
      </c>
      <c r="D91" s="209" t="s">
        <v>40</v>
      </c>
      <c r="E91" s="19" t="s">
        <v>41</v>
      </c>
      <c r="F91" s="31" t="s">
        <v>24</v>
      </c>
      <c r="G91" s="208" t="s">
        <v>25</v>
      </c>
      <c r="H91" s="43"/>
    </row>
    <row r="92" spans="1:8" x14ac:dyDescent="0.15">
      <c r="A92" s="4"/>
      <c r="B92" s="24"/>
      <c r="C92" s="32"/>
      <c r="D92" s="168"/>
      <c r="E92" s="164"/>
      <c r="F92" s="20"/>
      <c r="G92" s="169"/>
      <c r="H92" s="44"/>
    </row>
    <row r="93" spans="1:8" ht="14" thickBot="1" x14ac:dyDescent="0.2">
      <c r="A93" s="33"/>
      <c r="B93" s="34"/>
      <c r="C93" s="111"/>
      <c r="D93" s="210"/>
      <c r="E93" s="167"/>
      <c r="F93" s="23"/>
      <c r="G93" s="211"/>
      <c r="H93" s="48"/>
    </row>
    <row r="94" spans="1:8" ht="14" thickBot="1" x14ac:dyDescent="0.2">
      <c r="A94" s="1"/>
      <c r="B94" s="1"/>
      <c r="C94" s="1"/>
      <c r="D94" s="1"/>
      <c r="E94" s="1"/>
      <c r="F94" s="1"/>
      <c r="G94" s="37" t="s">
        <v>26</v>
      </c>
      <c r="H94" s="177">
        <f>SUM(G92:G93)</f>
        <v>0</v>
      </c>
    </row>
    <row r="95" spans="1:8" ht="14" thickBot="1" x14ac:dyDescent="0.2">
      <c r="A95" s="1"/>
      <c r="B95" s="1"/>
      <c r="C95" s="1"/>
      <c r="D95" s="1"/>
      <c r="E95" s="1"/>
      <c r="F95" s="1"/>
      <c r="G95" s="61"/>
      <c r="H95" s="1"/>
    </row>
    <row r="96" spans="1:8" ht="15" thickBot="1" x14ac:dyDescent="0.2">
      <c r="A96" s="1"/>
      <c r="B96" s="1"/>
      <c r="C96" s="1"/>
      <c r="D96" s="1"/>
      <c r="E96" s="35" t="s">
        <v>43</v>
      </c>
      <c r="F96" s="36"/>
      <c r="G96" s="187"/>
      <c r="H96" s="170">
        <f>ROUND((H74+H82+H89+H94),0)</f>
        <v>555217</v>
      </c>
    </row>
    <row r="97" spans="1:9" x14ac:dyDescent="0.15">
      <c r="A97" s="12"/>
      <c r="B97" s="12"/>
      <c r="C97" s="1"/>
      <c r="D97" s="1"/>
      <c r="E97" s="1"/>
      <c r="F97" s="1"/>
      <c r="G97" s="1"/>
      <c r="H97" s="1"/>
    </row>
    <row r="98" spans="1:9" x14ac:dyDescent="0.15">
      <c r="A98" s="16"/>
      <c r="B98" s="16"/>
      <c r="C98" s="16"/>
      <c r="D98" s="16"/>
      <c r="E98" s="16"/>
      <c r="F98" s="61"/>
      <c r="G98" s="61"/>
      <c r="H98" s="1"/>
    </row>
    <row r="99" spans="1:9" x14ac:dyDescent="0.15">
      <c r="A99" s="1"/>
      <c r="B99" s="1"/>
      <c r="C99" s="1"/>
      <c r="D99" s="1"/>
      <c r="E99" s="1"/>
      <c r="F99" s="161"/>
      <c r="G99" s="172"/>
      <c r="H99" s="172"/>
    </row>
    <row r="100" spans="1:9" x14ac:dyDescent="0.15">
      <c r="A100" s="1"/>
      <c r="B100" s="1"/>
      <c r="C100" s="1"/>
      <c r="D100" s="1"/>
      <c r="E100" s="1"/>
      <c r="F100" s="161"/>
      <c r="G100" s="172"/>
      <c r="H100" s="172"/>
    </row>
    <row r="101" spans="1:9" x14ac:dyDescent="0.15">
      <c r="A101" s="1"/>
      <c r="B101" s="1"/>
      <c r="C101" s="1"/>
      <c r="D101" s="1"/>
      <c r="E101" s="1"/>
      <c r="F101" s="161"/>
      <c r="G101" s="172"/>
      <c r="H101" s="172"/>
    </row>
    <row r="102" spans="1:9" x14ac:dyDescent="0.15">
      <c r="A102" s="1"/>
      <c r="B102" s="1"/>
      <c r="C102" s="1"/>
      <c r="D102" s="1"/>
      <c r="E102" s="1"/>
      <c r="F102" s="1"/>
      <c r="G102" s="37"/>
      <c r="H102" s="172"/>
    </row>
    <row r="103" spans="1:9" ht="14" x14ac:dyDescent="0.15">
      <c r="A103" s="102"/>
      <c r="B103" s="83"/>
      <c r="C103" s="84"/>
      <c r="D103" s="83"/>
      <c r="E103" s="83"/>
      <c r="F103" s="103"/>
      <c r="G103" s="83"/>
      <c r="H103" s="85"/>
      <c r="I103" s="85"/>
    </row>
    <row r="104" spans="1:9" ht="14" x14ac:dyDescent="0.15">
      <c r="A104" s="83"/>
      <c r="B104" s="83"/>
      <c r="C104" s="84"/>
      <c r="D104" s="83"/>
      <c r="E104" s="83"/>
      <c r="F104" s="104"/>
      <c r="G104" s="83"/>
      <c r="H104" s="85"/>
      <c r="I104" s="85"/>
    </row>
    <row r="105" spans="1:9" x14ac:dyDescent="0.15">
      <c r="C105" s="1"/>
      <c r="D105" s="15"/>
      <c r="E105" s="16"/>
      <c r="F105" s="16"/>
      <c r="G105" s="16"/>
      <c r="H105" s="171"/>
    </row>
    <row r="106" spans="1:9" ht="14" x14ac:dyDescent="0.15">
      <c r="A106" s="83"/>
      <c r="B106" s="83"/>
      <c r="C106" s="84"/>
      <c r="D106" s="83"/>
      <c r="E106" s="83"/>
      <c r="F106" s="104"/>
      <c r="G106" s="83"/>
      <c r="H106" s="85"/>
      <c r="I106" s="85"/>
    </row>
    <row r="107" spans="1:9" x14ac:dyDescent="0.15">
      <c r="C107" s="1"/>
      <c r="D107" s="15"/>
      <c r="E107" s="16"/>
      <c r="F107" s="16"/>
      <c r="G107" s="16"/>
      <c r="H107" s="171"/>
    </row>
    <row r="108" spans="1:9" x14ac:dyDescent="0.15">
      <c r="C108" s="1"/>
      <c r="D108" s="15"/>
      <c r="E108" s="16"/>
      <c r="F108" s="16"/>
      <c r="G108" s="16"/>
      <c r="H108" s="171"/>
    </row>
    <row r="109" spans="1:9" ht="14" x14ac:dyDescent="0.15">
      <c r="A109" s="83"/>
      <c r="B109" s="83"/>
      <c r="C109" s="84"/>
      <c r="D109" s="83"/>
      <c r="E109" s="83"/>
      <c r="F109" s="104"/>
      <c r="G109" s="83"/>
      <c r="H109" s="85"/>
      <c r="I109" s="85"/>
    </row>
    <row r="110" spans="1:9" ht="14" x14ac:dyDescent="0.15">
      <c r="A110" s="83"/>
      <c r="B110" s="83"/>
      <c r="C110" s="84"/>
      <c r="D110" s="83"/>
      <c r="E110" s="83"/>
      <c r="F110" s="104"/>
      <c r="G110" s="83"/>
      <c r="H110" s="85"/>
      <c r="I110" s="85"/>
    </row>
    <row r="112" spans="1:9" ht="14" thickBot="1" x14ac:dyDescent="0.2">
      <c r="C112" s="1"/>
      <c r="D112" s="15"/>
      <c r="E112" s="16"/>
      <c r="F112" s="16"/>
      <c r="G112" s="16"/>
      <c r="H112" s="171"/>
    </row>
    <row r="113" spans="1:8" ht="21" customHeight="1" x14ac:dyDescent="0.15">
      <c r="A113" s="885" t="s">
        <v>874</v>
      </c>
      <c r="B113" s="886"/>
      <c r="C113" s="886"/>
      <c r="D113" s="886"/>
      <c r="E113" s="887"/>
      <c r="F113" s="1"/>
      <c r="G113" s="879" t="s">
        <v>20</v>
      </c>
      <c r="H113" s="880"/>
    </row>
    <row r="114" spans="1:8" ht="16.5" customHeight="1" x14ac:dyDescent="0.15">
      <c r="A114" s="888" t="s">
        <v>875</v>
      </c>
      <c r="B114" s="889"/>
      <c r="C114" s="889"/>
      <c r="D114" s="889"/>
      <c r="E114" s="890"/>
      <c r="F114" s="63"/>
      <c r="G114" s="881"/>
      <c r="H114" s="882"/>
    </row>
    <row r="115" spans="1:8" ht="12.75" customHeight="1" x14ac:dyDescent="0.15">
      <c r="A115" s="906" t="s">
        <v>876</v>
      </c>
      <c r="B115" s="907"/>
      <c r="C115" s="907"/>
      <c r="D115" s="907"/>
      <c r="E115" s="908"/>
      <c r="F115" s="63"/>
      <c r="G115" s="883"/>
      <c r="H115" s="884"/>
    </row>
    <row r="116" spans="1:8" ht="16.5" customHeight="1" thickBot="1" x14ac:dyDescent="0.2">
      <c r="A116" s="909"/>
      <c r="B116" s="910"/>
      <c r="C116" s="910"/>
      <c r="D116" s="910"/>
      <c r="E116" s="911"/>
      <c r="F116" s="1"/>
      <c r="G116" s="1117" t="s">
        <v>201</v>
      </c>
      <c r="H116" s="1118"/>
    </row>
    <row r="117" spans="1:8" ht="14" thickBot="1" x14ac:dyDescent="0.2">
      <c r="A117" s="15"/>
      <c r="B117" s="16"/>
      <c r="C117" s="1"/>
      <c r="D117" s="1"/>
      <c r="E117" s="1"/>
      <c r="F117" s="1"/>
      <c r="G117" s="1119"/>
      <c r="H117" s="1120"/>
    </row>
    <row r="118" spans="1:8" ht="12.75" customHeight="1" x14ac:dyDescent="0.15">
      <c r="A118" s="947" t="s">
        <v>836</v>
      </c>
      <c r="B118" s="948"/>
      <c r="C118" s="948"/>
      <c r="D118" s="948"/>
      <c r="E118" s="949"/>
      <c r="F118" s="1"/>
      <c r="G118" s="1119"/>
      <c r="H118" s="1120"/>
    </row>
    <row r="119" spans="1:8" ht="12.75" customHeight="1" x14ac:dyDescent="0.15">
      <c r="A119" s="950"/>
      <c r="B119" s="951"/>
      <c r="C119" s="951"/>
      <c r="D119" s="951"/>
      <c r="E119" s="952"/>
      <c r="F119" s="1"/>
      <c r="G119" s="1119"/>
      <c r="H119" s="1120"/>
    </row>
    <row r="120" spans="1:8" ht="12.75" customHeight="1" x14ac:dyDescent="0.15">
      <c r="A120" s="950"/>
      <c r="B120" s="951"/>
      <c r="C120" s="951"/>
      <c r="D120" s="951"/>
      <c r="E120" s="952"/>
      <c r="F120" s="1"/>
      <c r="G120" s="1119"/>
      <c r="H120" s="1120"/>
    </row>
    <row r="121" spans="1:8" ht="12.75" customHeight="1" x14ac:dyDescent="0.15">
      <c r="A121" s="950"/>
      <c r="B121" s="951"/>
      <c r="C121" s="951"/>
      <c r="D121" s="951"/>
      <c r="E121" s="952"/>
      <c r="G121" s="1119"/>
      <c r="H121" s="1120"/>
    </row>
    <row r="122" spans="1:8" ht="13.5" customHeight="1" x14ac:dyDescent="0.15">
      <c r="A122" s="950"/>
      <c r="B122" s="951"/>
      <c r="C122" s="951"/>
      <c r="D122" s="951"/>
      <c r="E122" s="952"/>
      <c r="F122" s="11"/>
      <c r="G122" s="1121"/>
      <c r="H122" s="1122"/>
    </row>
    <row r="123" spans="1:8" ht="21.75" customHeight="1" thickBot="1" x14ac:dyDescent="0.2">
      <c r="A123" s="953"/>
      <c r="B123" s="954"/>
      <c r="C123" s="954"/>
      <c r="D123" s="954"/>
      <c r="E123" s="955"/>
      <c r="G123" s="64" t="s">
        <v>45</v>
      </c>
      <c r="H123" s="17" t="s">
        <v>6</v>
      </c>
    </row>
    <row r="124" spans="1:8" x14ac:dyDescent="0.15">
      <c r="A124" s="18"/>
      <c r="B124" s="18"/>
      <c r="C124" s="1"/>
      <c r="D124" s="18"/>
      <c r="E124" s="18"/>
      <c r="F124" s="18"/>
      <c r="G124" s="18"/>
      <c r="H124" s="1"/>
    </row>
    <row r="125" spans="1:8" ht="14" thickBot="1" x14ac:dyDescent="0.2">
      <c r="A125" s="12" t="s">
        <v>21</v>
      </c>
      <c r="B125" s="12"/>
      <c r="C125" s="1"/>
      <c r="D125" s="1"/>
      <c r="E125" s="1"/>
      <c r="F125" s="1"/>
      <c r="G125" s="1"/>
      <c r="H125" s="1"/>
    </row>
    <row r="126" spans="1:8" ht="15.75" customHeight="1" x14ac:dyDescent="0.15">
      <c r="A126" s="903" t="s">
        <v>22</v>
      </c>
      <c r="B126" s="904"/>
      <c r="C126" s="905"/>
      <c r="D126" s="209" t="s">
        <v>23</v>
      </c>
      <c r="E126" s="19" t="s">
        <v>108</v>
      </c>
      <c r="F126" s="209" t="s">
        <v>24</v>
      </c>
      <c r="G126" s="208" t="s">
        <v>25</v>
      </c>
      <c r="H126" s="43"/>
    </row>
    <row r="127" spans="1:8" x14ac:dyDescent="0.15">
      <c r="A127" s="897" t="s">
        <v>57</v>
      </c>
      <c r="B127" s="898"/>
      <c r="C127" s="899"/>
      <c r="D127" s="5"/>
      <c r="E127" s="180">
        <f>'HERRAMIENTAS Y EQUIPOS'!C21</f>
        <v>100000</v>
      </c>
      <c r="F127" s="58">
        <v>8</v>
      </c>
      <c r="G127" s="165">
        <f>+E127/F127</f>
        <v>12500</v>
      </c>
      <c r="H127" s="44"/>
    </row>
    <row r="128" spans="1:8" x14ac:dyDescent="0.15">
      <c r="A128" s="897"/>
      <c r="B128" s="898"/>
      <c r="C128" s="899"/>
      <c r="D128" s="5"/>
      <c r="E128" s="162"/>
      <c r="F128" s="58"/>
      <c r="G128" s="165"/>
      <c r="H128" s="44"/>
    </row>
    <row r="129" spans="1:8" ht="14" thickBot="1" x14ac:dyDescent="0.2">
      <c r="A129" s="900"/>
      <c r="B129" s="901"/>
      <c r="C129" s="902"/>
      <c r="D129" s="21"/>
      <c r="E129" s="22"/>
      <c r="F129" s="23"/>
      <c r="G129" s="47"/>
      <c r="H129" s="48"/>
    </row>
    <row r="130" spans="1:8" ht="14" thickBot="1" x14ac:dyDescent="0.2">
      <c r="A130" s="1"/>
      <c r="B130" s="1"/>
      <c r="C130" s="1"/>
      <c r="D130" s="1"/>
      <c r="E130" s="1"/>
      <c r="F130" s="1"/>
      <c r="G130" s="37" t="s">
        <v>26</v>
      </c>
      <c r="H130" s="163">
        <f>SUM(G127:G129)</f>
        <v>12500</v>
      </c>
    </row>
    <row r="131" spans="1:8" ht="14" thickBot="1" x14ac:dyDescent="0.2">
      <c r="A131" s="12" t="s">
        <v>27</v>
      </c>
      <c r="B131" s="12"/>
      <c r="C131" s="1"/>
      <c r="D131" s="1"/>
      <c r="E131" s="1"/>
      <c r="F131" s="1"/>
      <c r="G131" s="1"/>
      <c r="H131" s="1"/>
    </row>
    <row r="132" spans="1:8" x14ac:dyDescent="0.15">
      <c r="A132" s="903" t="s">
        <v>22</v>
      </c>
      <c r="B132" s="904"/>
      <c r="C132" s="905"/>
      <c r="D132" s="209" t="s">
        <v>28</v>
      </c>
      <c r="E132" s="209" t="s">
        <v>29</v>
      </c>
      <c r="F132" s="209" t="s">
        <v>30</v>
      </c>
      <c r="G132" s="208" t="s">
        <v>25</v>
      </c>
      <c r="H132" s="43"/>
    </row>
    <row r="133" spans="1:8" x14ac:dyDescent="0.15">
      <c r="A133" s="4" t="s">
        <v>101</v>
      </c>
      <c r="B133" s="24"/>
      <c r="C133" s="6"/>
      <c r="D133" s="3" t="s">
        <v>186</v>
      </c>
      <c r="E133" s="180">
        <f>MATERIALES!F10</f>
        <v>810</v>
      </c>
      <c r="F133" s="73">
        <v>364</v>
      </c>
      <c r="G133" s="165">
        <f>F133*E133</f>
        <v>294840</v>
      </c>
      <c r="H133" s="44"/>
    </row>
    <row r="134" spans="1:8" x14ac:dyDescent="0.15">
      <c r="A134" s="4" t="s">
        <v>93</v>
      </c>
      <c r="B134" s="24"/>
      <c r="C134" s="6"/>
      <c r="D134" s="3" t="s">
        <v>6</v>
      </c>
      <c r="E134" s="166">
        <f>MATERIALES!F15</f>
        <v>72000</v>
      </c>
      <c r="F134" s="73">
        <v>1.1599999999999999</v>
      </c>
      <c r="G134" s="165">
        <f>F134*E134</f>
        <v>83520</v>
      </c>
      <c r="H134" s="44"/>
    </row>
    <row r="135" spans="1:8" x14ac:dyDescent="0.15">
      <c r="A135" s="4" t="s">
        <v>60</v>
      </c>
      <c r="B135" s="24"/>
      <c r="C135" s="6"/>
      <c r="D135" s="5" t="s">
        <v>134</v>
      </c>
      <c r="E135" s="166">
        <f>MATERIALES!F16</f>
        <v>50</v>
      </c>
      <c r="F135" s="73">
        <v>220</v>
      </c>
      <c r="G135" s="186">
        <f>F135*E135</f>
        <v>11000</v>
      </c>
      <c r="H135" s="44"/>
    </row>
    <row r="136" spans="1:8" x14ac:dyDescent="0.15">
      <c r="A136" s="4" t="s">
        <v>190</v>
      </c>
      <c r="B136" s="24"/>
      <c r="C136" s="6"/>
      <c r="D136" s="5" t="s">
        <v>186</v>
      </c>
      <c r="E136" s="166">
        <f>MATERIALES!F29</f>
        <v>18200</v>
      </c>
      <c r="F136" s="73">
        <v>10.92</v>
      </c>
      <c r="G136" s="186">
        <f>F136*E136</f>
        <v>198744</v>
      </c>
      <c r="H136" s="44"/>
    </row>
    <row r="137" spans="1:8" x14ac:dyDescent="0.15">
      <c r="A137" s="4" t="s">
        <v>161</v>
      </c>
      <c r="B137" s="24"/>
      <c r="C137" s="6"/>
      <c r="D137" s="5" t="s">
        <v>62</v>
      </c>
      <c r="E137" s="164">
        <f>SUM(G133:G135)</f>
        <v>389360</v>
      </c>
      <c r="F137" s="73">
        <v>0.05</v>
      </c>
      <c r="G137" s="186">
        <f>F137*E137</f>
        <v>19468</v>
      </c>
      <c r="H137" s="44"/>
    </row>
    <row r="138" spans="1:8" ht="14" thickBot="1" x14ac:dyDescent="0.2">
      <c r="A138" s="25"/>
      <c r="B138" s="26"/>
      <c r="C138" s="27"/>
      <c r="D138" s="21"/>
      <c r="E138" s="22"/>
      <c r="F138" s="72"/>
      <c r="G138" s="47"/>
      <c r="H138" s="48"/>
    </row>
    <row r="139" spans="1:8" ht="14" thickBot="1" x14ac:dyDescent="0.2">
      <c r="A139" s="1"/>
      <c r="B139" s="1"/>
      <c r="C139" s="1"/>
      <c r="D139" s="1"/>
      <c r="E139" s="1"/>
      <c r="F139" s="1"/>
      <c r="G139" s="37" t="s">
        <v>26</v>
      </c>
      <c r="H139" s="163">
        <f>SUM(G133:G138)</f>
        <v>607572</v>
      </c>
    </row>
    <row r="140" spans="1:8" ht="14" thickBot="1" x14ac:dyDescent="0.2">
      <c r="A140" s="28" t="s">
        <v>31</v>
      </c>
      <c r="B140" s="28"/>
      <c r="C140" s="26"/>
      <c r="D140" s="1"/>
      <c r="E140" s="1"/>
      <c r="F140" s="1"/>
      <c r="G140" s="1"/>
      <c r="H140" s="1"/>
    </row>
    <row r="141" spans="1:8" x14ac:dyDescent="0.15">
      <c r="A141" s="51" t="s">
        <v>32</v>
      </c>
      <c r="B141" s="86"/>
      <c r="C141" s="97" t="s">
        <v>33</v>
      </c>
      <c r="D141" s="209" t="s">
        <v>34</v>
      </c>
      <c r="E141" s="209" t="s">
        <v>35</v>
      </c>
      <c r="F141" s="209" t="s">
        <v>36</v>
      </c>
      <c r="G141" s="59" t="s">
        <v>25</v>
      </c>
      <c r="H141" s="43"/>
    </row>
    <row r="142" spans="1:8" x14ac:dyDescent="0.15">
      <c r="A142" s="4" t="s">
        <v>101</v>
      </c>
      <c r="B142" s="6"/>
      <c r="C142" s="60">
        <v>0.45500000000000002</v>
      </c>
      <c r="D142" s="2">
        <v>15</v>
      </c>
      <c r="E142" s="2">
        <f>D142*C142</f>
        <v>6.8250000000000002</v>
      </c>
      <c r="F142" s="162">
        <v>1100</v>
      </c>
      <c r="G142" s="55">
        <f>F142*E142</f>
        <v>7507.5</v>
      </c>
      <c r="H142" s="44"/>
    </row>
    <row r="143" spans="1:8" x14ac:dyDescent="0.15">
      <c r="A143" s="4" t="s">
        <v>93</v>
      </c>
      <c r="B143" s="6"/>
      <c r="C143" s="60">
        <f>+F134</f>
        <v>1.1599999999999999</v>
      </c>
      <c r="D143" s="60">
        <v>15</v>
      </c>
      <c r="E143" s="2">
        <f>+C143*D143</f>
        <v>17.399999999999999</v>
      </c>
      <c r="F143" s="162">
        <v>1100</v>
      </c>
      <c r="G143" s="164">
        <f>F143*E143</f>
        <v>19140</v>
      </c>
      <c r="H143" s="44"/>
    </row>
    <row r="144" spans="1:8" x14ac:dyDescent="0.15">
      <c r="A144" s="4" t="s">
        <v>60</v>
      </c>
      <c r="B144" s="6"/>
      <c r="C144" s="60">
        <v>0.2</v>
      </c>
      <c r="D144" s="2">
        <v>15</v>
      </c>
      <c r="E144" s="2">
        <f>+C144*D144</f>
        <v>3</v>
      </c>
      <c r="F144" s="162">
        <v>1100</v>
      </c>
      <c r="G144" s="164">
        <f>F144*E144</f>
        <v>3300</v>
      </c>
      <c r="H144" s="44"/>
    </row>
    <row r="145" spans="1:8" x14ac:dyDescent="0.15">
      <c r="A145" s="4" t="s">
        <v>102</v>
      </c>
      <c r="B145" s="30"/>
      <c r="C145" s="60">
        <v>0.05</v>
      </c>
      <c r="D145" s="2">
        <v>15</v>
      </c>
      <c r="E145" s="2">
        <f>+C145*D145</f>
        <v>0.75</v>
      </c>
      <c r="F145" s="162">
        <v>1100</v>
      </c>
      <c r="G145" s="164">
        <f>+E145*F145</f>
        <v>825</v>
      </c>
      <c r="H145" s="44"/>
    </row>
    <row r="146" spans="1:8" ht="14" thickBot="1" x14ac:dyDescent="0.2">
      <c r="A146" s="33"/>
      <c r="B146" s="54"/>
      <c r="C146" s="21"/>
      <c r="D146" s="22"/>
      <c r="E146" s="23"/>
      <c r="F146" s="47"/>
      <c r="G146" s="21"/>
      <c r="H146" s="48"/>
    </row>
    <row r="147" spans="1:8" ht="14" thickBot="1" x14ac:dyDescent="0.2">
      <c r="A147" s="1"/>
      <c r="B147" s="1"/>
      <c r="C147" s="1"/>
      <c r="D147" s="1"/>
      <c r="E147" s="1"/>
      <c r="F147" s="1"/>
      <c r="G147" s="37" t="s">
        <v>26</v>
      </c>
      <c r="H147" s="49">
        <f>SUM(G143:G146)</f>
        <v>23265</v>
      </c>
    </row>
    <row r="148" spans="1:8" ht="14" thickBot="1" x14ac:dyDescent="0.2">
      <c r="A148" s="28" t="s">
        <v>37</v>
      </c>
      <c r="B148" s="28"/>
      <c r="C148" s="1"/>
      <c r="D148" s="1"/>
      <c r="E148" s="1"/>
      <c r="F148" s="1"/>
      <c r="G148" s="1"/>
      <c r="H148" s="1"/>
    </row>
    <row r="149" spans="1:8" x14ac:dyDescent="0.15">
      <c r="A149" s="51" t="s">
        <v>38</v>
      </c>
      <c r="B149" s="86"/>
      <c r="C149" s="31" t="s">
        <v>39</v>
      </c>
      <c r="D149" s="209" t="s">
        <v>40</v>
      </c>
      <c r="E149" s="19" t="s">
        <v>41</v>
      </c>
      <c r="F149" s="31" t="s">
        <v>24</v>
      </c>
      <c r="G149" s="208" t="s">
        <v>25</v>
      </c>
      <c r="H149" s="43"/>
    </row>
    <row r="150" spans="1:8" ht="14" thickBot="1" x14ac:dyDescent="0.2">
      <c r="A150" s="33"/>
      <c r="B150" s="34"/>
      <c r="C150" s="22"/>
      <c r="D150" s="21"/>
      <c r="E150" s="22"/>
      <c r="F150" s="23"/>
      <c r="G150" s="47"/>
      <c r="H150" s="48"/>
    </row>
    <row r="151" spans="1:8" ht="14" thickBot="1" x14ac:dyDescent="0.2">
      <c r="A151" s="1"/>
      <c r="B151" s="1"/>
      <c r="C151" s="1"/>
      <c r="D151" s="1"/>
      <c r="E151" s="1"/>
      <c r="F151" s="1"/>
      <c r="G151" s="37" t="s">
        <v>26</v>
      </c>
      <c r="H151" s="177"/>
    </row>
    <row r="152" spans="1:8" ht="14" thickBot="1" x14ac:dyDescent="0.2">
      <c r="A152" s="1"/>
      <c r="B152" s="1"/>
      <c r="C152" s="1"/>
      <c r="D152" s="1"/>
      <c r="E152" s="1"/>
      <c r="F152" s="1"/>
      <c r="G152" s="61"/>
      <c r="H152" s="1"/>
    </row>
    <row r="153" spans="1:8" ht="15" thickBot="1" x14ac:dyDescent="0.2">
      <c r="A153" s="1"/>
      <c r="B153" s="1"/>
      <c r="C153" s="1"/>
      <c r="D153" s="1"/>
      <c r="E153" s="35" t="s">
        <v>43</v>
      </c>
      <c r="F153" s="36"/>
      <c r="G153" s="187"/>
      <c r="H153" s="170">
        <f>ROUND((H130+H139+H147+H151),0)</f>
        <v>643337</v>
      </c>
    </row>
    <row r="154" spans="1:8" x14ac:dyDescent="0.15">
      <c r="A154" s="12"/>
      <c r="B154" s="12"/>
      <c r="C154" s="1"/>
      <c r="D154" s="1"/>
      <c r="E154" s="1"/>
      <c r="F154" s="1"/>
      <c r="G154" s="172"/>
      <c r="H154" s="172"/>
    </row>
    <row r="155" spans="1:8" x14ac:dyDescent="0.15">
      <c r="A155" s="16"/>
      <c r="B155" s="16"/>
      <c r="C155" s="16"/>
      <c r="D155" s="16"/>
      <c r="E155" s="16"/>
      <c r="F155" s="61"/>
      <c r="G155" s="173"/>
      <c r="H155" s="172"/>
    </row>
    <row r="156" spans="1:8" x14ac:dyDescent="0.15">
      <c r="A156" s="1"/>
      <c r="B156" s="1"/>
      <c r="C156" s="1"/>
      <c r="D156" s="1"/>
      <c r="E156" s="1"/>
      <c r="F156" s="161"/>
      <c r="G156" s="172"/>
      <c r="H156" s="172"/>
    </row>
    <row r="157" spans="1:8" x14ac:dyDescent="0.15">
      <c r="A157" s="1"/>
      <c r="B157" s="1"/>
      <c r="C157" s="1"/>
      <c r="D157" s="1"/>
      <c r="E157" s="1"/>
      <c r="F157" s="161"/>
      <c r="G157" s="172"/>
      <c r="H157" s="172"/>
    </row>
    <row r="158" spans="1:8" x14ac:dyDescent="0.15">
      <c r="A158" s="1"/>
      <c r="B158" s="1"/>
      <c r="C158" s="1"/>
      <c r="D158" s="1"/>
      <c r="E158" s="1"/>
      <c r="F158" s="161"/>
      <c r="G158" s="172"/>
      <c r="H158" s="172"/>
    </row>
    <row r="159" spans="1:8" x14ac:dyDescent="0.15">
      <c r="A159" s="1"/>
      <c r="B159" s="1"/>
      <c r="C159" s="1"/>
      <c r="D159" s="1"/>
      <c r="E159" s="1"/>
      <c r="F159" s="1"/>
      <c r="G159" s="37"/>
      <c r="H159" s="172"/>
    </row>
    <row r="160" spans="1:8" ht="14" x14ac:dyDescent="0.15">
      <c r="A160" s="102"/>
      <c r="B160" s="1"/>
      <c r="C160" s="1"/>
      <c r="D160" s="1"/>
      <c r="E160" s="1"/>
      <c r="F160" s="1"/>
      <c r="G160" s="1"/>
      <c r="H160" s="172"/>
    </row>
    <row r="161" spans="1:9" ht="14" x14ac:dyDescent="0.15">
      <c r="A161" s="83"/>
      <c r="B161" s="11"/>
      <c r="C161" s="1"/>
      <c r="D161" s="916"/>
      <c r="E161" s="916"/>
      <c r="F161" s="916"/>
      <c r="G161" s="916"/>
      <c r="H161" s="171"/>
    </row>
    <row r="162" spans="1:9" x14ac:dyDescent="0.15">
      <c r="A162" s="11"/>
      <c r="B162" s="11"/>
      <c r="C162" s="1"/>
      <c r="D162" s="155"/>
      <c r="E162" s="155"/>
      <c r="F162" s="155"/>
      <c r="G162" s="155"/>
      <c r="H162" s="171"/>
    </row>
    <row r="163" spans="1:9" x14ac:dyDescent="0.15">
      <c r="A163" s="11"/>
      <c r="B163" s="11"/>
      <c r="C163" s="1"/>
      <c r="D163" s="155"/>
      <c r="E163" s="155"/>
      <c r="F163" s="155"/>
      <c r="G163" s="155"/>
      <c r="H163" s="171"/>
    </row>
    <row r="164" spans="1:9" x14ac:dyDescent="0.15">
      <c r="A164" s="11"/>
      <c r="B164" s="11"/>
      <c r="C164" s="1"/>
      <c r="D164" s="155"/>
      <c r="E164" s="155"/>
      <c r="F164" s="155"/>
      <c r="G164" s="155"/>
      <c r="H164" s="171"/>
    </row>
    <row r="165" spans="1:9" x14ac:dyDescent="0.15">
      <c r="A165" s="11"/>
      <c r="B165" s="11"/>
      <c r="C165" s="11"/>
      <c r="D165" s="11"/>
      <c r="E165" s="11"/>
      <c r="F165" s="11"/>
      <c r="G165" s="11"/>
      <c r="H165" s="11"/>
    </row>
    <row r="166" spans="1:9" ht="14" x14ac:dyDescent="0.15">
      <c r="A166" s="83"/>
      <c r="B166" s="83"/>
      <c r="C166" s="84"/>
      <c r="D166" s="83"/>
      <c r="E166" s="83"/>
      <c r="F166" s="83"/>
      <c r="G166" s="83"/>
      <c r="H166" s="95"/>
      <c r="I166" s="95"/>
    </row>
    <row r="167" spans="1:9" ht="14" x14ac:dyDescent="0.15">
      <c r="A167" s="83"/>
      <c r="B167" s="83"/>
      <c r="C167" s="84"/>
      <c r="D167" s="83"/>
      <c r="E167" s="83"/>
      <c r="F167" s="83"/>
      <c r="G167" s="83"/>
      <c r="H167" s="95"/>
      <c r="I167" s="95"/>
    </row>
    <row r="168" spans="1:9" ht="14" thickBot="1" x14ac:dyDescent="0.2">
      <c r="A168" s="11"/>
      <c r="B168" s="11"/>
      <c r="C168" s="1"/>
      <c r="D168" s="155"/>
      <c r="E168" s="155"/>
      <c r="F168" s="155"/>
      <c r="G168" s="155"/>
      <c r="H168" s="171"/>
    </row>
    <row r="169" spans="1:9" s="90" customFormat="1" ht="21.75" customHeight="1" x14ac:dyDescent="0.2">
      <c r="A169" s="885" t="s">
        <v>874</v>
      </c>
      <c r="B169" s="886"/>
      <c r="C169" s="886"/>
      <c r="D169" s="886"/>
      <c r="E169" s="887"/>
      <c r="F169" s="89"/>
      <c r="G169" s="931" t="s">
        <v>20</v>
      </c>
      <c r="H169" s="932"/>
    </row>
    <row r="170" spans="1:9" s="90" customFormat="1" ht="21" customHeight="1" x14ac:dyDescent="0.2">
      <c r="A170" s="888" t="s">
        <v>875</v>
      </c>
      <c r="B170" s="889"/>
      <c r="C170" s="889"/>
      <c r="D170" s="889"/>
      <c r="E170" s="890"/>
      <c r="F170" s="91"/>
      <c r="G170" s="933"/>
      <c r="H170" s="934"/>
    </row>
    <row r="171" spans="1:9" s="90" customFormat="1" ht="15" customHeight="1" x14ac:dyDescent="0.2">
      <c r="A171" s="906" t="s">
        <v>876</v>
      </c>
      <c r="B171" s="907"/>
      <c r="C171" s="907"/>
      <c r="D171" s="907"/>
      <c r="E171" s="908"/>
      <c r="F171" s="91"/>
      <c r="G171" s="1114" t="s">
        <v>557</v>
      </c>
      <c r="H171" s="1115"/>
    </row>
    <row r="172" spans="1:9" s="90" customFormat="1" ht="15.75" customHeight="1" thickBot="1" x14ac:dyDescent="0.25">
      <c r="A172" s="909"/>
      <c r="B172" s="910"/>
      <c r="C172" s="910"/>
      <c r="D172" s="910"/>
      <c r="E172" s="911"/>
      <c r="F172" s="89"/>
      <c r="G172" s="1116"/>
      <c r="H172" s="1115"/>
    </row>
    <row r="173" spans="1:9" ht="14" thickBot="1" x14ac:dyDescent="0.2">
      <c r="A173" s="15"/>
      <c r="B173" s="16"/>
      <c r="C173" s="1"/>
      <c r="D173" s="1"/>
      <c r="E173" s="1"/>
      <c r="F173" s="1"/>
      <c r="G173" s="1116"/>
      <c r="H173" s="1115"/>
    </row>
    <row r="174" spans="1:9" ht="15.75" customHeight="1" x14ac:dyDescent="0.15">
      <c r="A174" s="947" t="s">
        <v>836</v>
      </c>
      <c r="B174" s="948"/>
      <c r="C174" s="948"/>
      <c r="D174" s="948"/>
      <c r="E174" s="949"/>
      <c r="F174" s="1"/>
      <c r="G174" s="1116"/>
      <c r="H174" s="1115"/>
    </row>
    <row r="175" spans="1:9" ht="15.75" customHeight="1" x14ac:dyDescent="0.15">
      <c r="A175" s="950"/>
      <c r="B175" s="951"/>
      <c r="C175" s="951"/>
      <c r="D175" s="951"/>
      <c r="E175" s="952"/>
      <c r="F175" s="1"/>
      <c r="G175" s="1116"/>
      <c r="H175" s="1115"/>
    </row>
    <row r="176" spans="1:9" ht="15.75" customHeight="1" x14ac:dyDescent="0.15">
      <c r="A176" s="950"/>
      <c r="B176" s="951"/>
      <c r="C176" s="951"/>
      <c r="D176" s="951"/>
      <c r="E176" s="952"/>
      <c r="F176" s="1"/>
      <c r="G176" s="1116"/>
      <c r="H176" s="1115"/>
    </row>
    <row r="177" spans="1:8" ht="12.75" customHeight="1" x14ac:dyDescent="0.15">
      <c r="A177" s="950"/>
      <c r="B177" s="951"/>
      <c r="C177" s="951"/>
      <c r="D177" s="951"/>
      <c r="E177" s="952"/>
      <c r="G177" s="1116"/>
      <c r="H177" s="1115"/>
    </row>
    <row r="178" spans="1:8" ht="12.75" customHeight="1" x14ac:dyDescent="0.15">
      <c r="A178" s="950"/>
      <c r="B178" s="951"/>
      <c r="C178" s="951"/>
      <c r="D178" s="951"/>
      <c r="E178" s="952"/>
      <c r="F178" s="11"/>
      <c r="G178" s="1116"/>
      <c r="H178" s="1115"/>
    </row>
    <row r="179" spans="1:8" ht="13.5" customHeight="1" thickBot="1" x14ac:dyDescent="0.2">
      <c r="A179" s="953"/>
      <c r="B179" s="954"/>
      <c r="C179" s="954"/>
      <c r="D179" s="954"/>
      <c r="E179" s="955"/>
      <c r="G179" s="64" t="s">
        <v>45</v>
      </c>
      <c r="H179" s="17" t="s">
        <v>186</v>
      </c>
    </row>
    <row r="180" spans="1:8" x14ac:dyDescent="0.15">
      <c r="A180" s="18"/>
      <c r="B180" s="18"/>
      <c r="C180" s="1"/>
      <c r="D180" s="18"/>
      <c r="E180" s="18"/>
      <c r="F180" s="18"/>
      <c r="G180" s="18"/>
      <c r="H180" s="92"/>
    </row>
    <row r="181" spans="1:8" ht="14" thickBot="1" x14ac:dyDescent="0.2">
      <c r="A181" s="12" t="s">
        <v>21</v>
      </c>
      <c r="B181" s="12"/>
      <c r="C181" s="1"/>
      <c r="D181" s="1"/>
      <c r="E181" s="1"/>
      <c r="F181" s="1"/>
      <c r="G181" s="1"/>
      <c r="H181" s="1"/>
    </row>
    <row r="182" spans="1:8" x14ac:dyDescent="0.15">
      <c r="A182" s="903" t="s">
        <v>22</v>
      </c>
      <c r="B182" s="904"/>
      <c r="C182" s="905"/>
      <c r="D182" s="209" t="s">
        <v>23</v>
      </c>
      <c r="E182" s="19" t="s">
        <v>47</v>
      </c>
      <c r="F182" s="209" t="s">
        <v>24</v>
      </c>
      <c r="G182" s="208" t="s">
        <v>25</v>
      </c>
      <c r="H182" s="43"/>
    </row>
    <row r="183" spans="1:8" x14ac:dyDescent="0.15">
      <c r="A183" s="897" t="s">
        <v>56</v>
      </c>
      <c r="B183" s="898"/>
      <c r="C183" s="899"/>
      <c r="D183" s="5"/>
      <c r="E183" s="164"/>
      <c r="F183" s="20"/>
      <c r="G183" s="165">
        <f>H202*0.05</f>
        <v>75.833333333333343</v>
      </c>
      <c r="H183" s="44"/>
    </row>
    <row r="184" spans="1:8" x14ac:dyDescent="0.15">
      <c r="A184" s="897"/>
      <c r="B184" s="898"/>
      <c r="C184" s="899"/>
      <c r="D184" s="5"/>
      <c r="E184" s="46"/>
      <c r="F184" s="20"/>
      <c r="G184" s="56"/>
      <c r="H184" s="44"/>
    </row>
    <row r="185" spans="1:8" ht="14" thickBot="1" x14ac:dyDescent="0.2">
      <c r="A185" s="900"/>
      <c r="B185" s="901"/>
      <c r="C185" s="902"/>
      <c r="D185" s="21"/>
      <c r="E185" s="22"/>
      <c r="F185" s="23"/>
      <c r="G185" s="47"/>
      <c r="H185" s="48"/>
    </row>
    <row r="186" spans="1:8" ht="14" thickBot="1" x14ac:dyDescent="0.2">
      <c r="A186" s="1"/>
      <c r="B186" s="1"/>
      <c r="C186" s="1"/>
      <c r="D186" s="1"/>
      <c r="E186" s="1"/>
      <c r="F186" s="1"/>
      <c r="G186" s="37" t="s">
        <v>26</v>
      </c>
      <c r="H186" s="163">
        <f>SUM(G183:G185)</f>
        <v>75.833333333333343</v>
      </c>
    </row>
    <row r="187" spans="1:8" ht="14" thickBot="1" x14ac:dyDescent="0.2">
      <c r="A187" s="12" t="s">
        <v>27</v>
      </c>
      <c r="B187" s="12"/>
      <c r="C187" s="1"/>
      <c r="D187" s="1"/>
      <c r="E187" s="1"/>
      <c r="F187" s="1"/>
      <c r="G187" s="1"/>
      <c r="H187" s="1"/>
    </row>
    <row r="188" spans="1:8" x14ac:dyDescent="0.15">
      <c r="A188" s="903" t="s">
        <v>22</v>
      </c>
      <c r="B188" s="904"/>
      <c r="C188" s="905"/>
      <c r="D188" s="209" t="s">
        <v>28</v>
      </c>
      <c r="E188" s="209" t="s">
        <v>29</v>
      </c>
      <c r="F188" s="209" t="s">
        <v>30</v>
      </c>
      <c r="G188" s="208" t="s">
        <v>25</v>
      </c>
      <c r="H188" s="43"/>
    </row>
    <row r="189" spans="1:8" x14ac:dyDescent="0.15">
      <c r="A189" s="4" t="s">
        <v>96</v>
      </c>
      <c r="B189" s="24"/>
      <c r="C189" s="6"/>
      <c r="D189" s="3" t="s">
        <v>186</v>
      </c>
      <c r="E189" s="180">
        <f>MATERIALES!F17</f>
        <v>7159</v>
      </c>
      <c r="F189" s="65">
        <v>1</v>
      </c>
      <c r="G189" s="181">
        <f>F189*E189</f>
        <v>7159</v>
      </c>
      <c r="H189" s="44"/>
    </row>
    <row r="190" spans="1:8" x14ac:dyDescent="0.15">
      <c r="A190" s="4" t="s">
        <v>97</v>
      </c>
      <c r="B190" s="24"/>
      <c r="C190" s="6"/>
      <c r="D190" s="3" t="s">
        <v>186</v>
      </c>
      <c r="E190" s="93">
        <f>MATERIALES!F19</f>
        <v>9146</v>
      </c>
      <c r="F190" s="65">
        <v>0.02</v>
      </c>
      <c r="G190" s="181">
        <f>F190*E190</f>
        <v>182.92000000000002</v>
      </c>
      <c r="H190" s="44"/>
    </row>
    <row r="191" spans="1:8" ht="14" thickBot="1" x14ac:dyDescent="0.2">
      <c r="A191" s="25"/>
      <c r="B191" s="26"/>
      <c r="C191" s="27"/>
      <c r="D191" s="21"/>
      <c r="E191" s="22"/>
      <c r="F191" s="184"/>
      <c r="G191" s="47"/>
      <c r="H191" s="48"/>
    </row>
    <row r="192" spans="1:8" ht="14" thickBot="1" x14ac:dyDescent="0.2">
      <c r="A192" s="1"/>
      <c r="B192" s="1"/>
      <c r="C192" s="1"/>
      <c r="D192" s="1"/>
      <c r="E192" s="1"/>
      <c r="F192" s="1"/>
      <c r="G192" s="37" t="s">
        <v>26</v>
      </c>
      <c r="H192" s="163">
        <f>SUM(G189:G191)</f>
        <v>7341.92</v>
      </c>
    </row>
    <row r="193" spans="1:8" ht="14" thickBot="1" x14ac:dyDescent="0.2">
      <c r="A193" s="28" t="s">
        <v>31</v>
      </c>
      <c r="B193" s="28"/>
      <c r="C193" s="26"/>
      <c r="D193" s="1"/>
      <c r="E193" s="1"/>
      <c r="F193" s="1"/>
      <c r="G193" s="1"/>
      <c r="H193" s="1"/>
    </row>
    <row r="194" spans="1:8" x14ac:dyDescent="0.15">
      <c r="A194" s="51" t="s">
        <v>32</v>
      </c>
      <c r="B194" s="52"/>
      <c r="C194" s="97" t="s">
        <v>33</v>
      </c>
      <c r="D194" s="209" t="s">
        <v>34</v>
      </c>
      <c r="E194" s="209" t="s">
        <v>35</v>
      </c>
      <c r="F194" s="209" t="s">
        <v>36</v>
      </c>
      <c r="G194" s="59" t="s">
        <v>25</v>
      </c>
      <c r="H194" s="43"/>
    </row>
    <row r="195" spans="1:8" x14ac:dyDescent="0.15">
      <c r="A195" s="4" t="s">
        <v>79</v>
      </c>
      <c r="B195" s="6"/>
      <c r="C195" s="60">
        <v>1.4999999999999999E-2</v>
      </c>
      <c r="D195" s="2">
        <v>15</v>
      </c>
      <c r="E195" s="2">
        <f>D195*C195</f>
        <v>0.22499999999999998</v>
      </c>
      <c r="F195" s="162">
        <v>1100</v>
      </c>
      <c r="G195" s="55">
        <f>F195*E195</f>
        <v>247.49999999999997</v>
      </c>
      <c r="H195" s="44"/>
    </row>
    <row r="196" spans="1:8" ht="14" thickBot="1" x14ac:dyDescent="0.2">
      <c r="A196" s="33"/>
      <c r="B196" s="54"/>
      <c r="C196" s="21"/>
      <c r="D196" s="22"/>
      <c r="E196" s="23"/>
      <c r="F196" s="47"/>
      <c r="G196" s="21"/>
      <c r="H196" s="48"/>
    </row>
    <row r="197" spans="1:8" ht="14" thickBot="1" x14ac:dyDescent="0.2">
      <c r="A197" s="1"/>
      <c r="B197" s="1"/>
      <c r="C197" s="1"/>
      <c r="D197" s="1"/>
      <c r="E197" s="1"/>
      <c r="F197" s="1"/>
      <c r="G197" s="37" t="s">
        <v>26</v>
      </c>
      <c r="H197" s="163">
        <f>SUM(G195:G196)</f>
        <v>247.49999999999997</v>
      </c>
    </row>
    <row r="198" spans="1:8" ht="14" thickBot="1" x14ac:dyDescent="0.2">
      <c r="A198" s="28" t="s">
        <v>37</v>
      </c>
      <c r="B198" s="28"/>
      <c r="C198" s="1"/>
      <c r="D198" s="1"/>
      <c r="E198" s="1"/>
      <c r="F198" s="1"/>
      <c r="G198" s="1"/>
      <c r="H198" s="1"/>
    </row>
    <row r="199" spans="1:8" x14ac:dyDescent="0.15">
      <c r="A199" s="51" t="s">
        <v>38</v>
      </c>
      <c r="B199" s="86"/>
      <c r="C199" s="31" t="s">
        <v>39</v>
      </c>
      <c r="D199" s="209" t="s">
        <v>40</v>
      </c>
      <c r="E199" s="19" t="s">
        <v>41</v>
      </c>
      <c r="F199" s="31" t="s">
        <v>24</v>
      </c>
      <c r="G199" s="208" t="s">
        <v>25</v>
      </c>
      <c r="H199" s="43"/>
    </row>
    <row r="200" spans="1:8" x14ac:dyDescent="0.15">
      <c r="A200" s="4" t="s">
        <v>72</v>
      </c>
      <c r="B200" s="24"/>
      <c r="C200" s="32">
        <f>'MANO DE OBRA'!E14</f>
        <v>52000</v>
      </c>
      <c r="D200" s="168">
        <v>1.75</v>
      </c>
      <c r="E200" s="164">
        <f>+D200*C200</f>
        <v>91000</v>
      </c>
      <c r="F200" s="20">
        <v>60</v>
      </c>
      <c r="G200" s="169">
        <f>+E200/F200</f>
        <v>1516.6666666666667</v>
      </c>
      <c r="H200" s="44"/>
    </row>
    <row r="201" spans="1:8" ht="14" thickBot="1" x14ac:dyDescent="0.2">
      <c r="A201" s="33"/>
      <c r="B201" s="34"/>
      <c r="C201" s="22"/>
      <c r="D201" s="21"/>
      <c r="E201" s="22"/>
      <c r="F201" s="23"/>
      <c r="G201" s="47"/>
      <c r="H201" s="48"/>
    </row>
    <row r="202" spans="1:8" ht="14" thickBot="1" x14ac:dyDescent="0.2">
      <c r="A202" s="1"/>
      <c r="B202" s="1"/>
      <c r="C202" s="1"/>
      <c r="D202" s="1"/>
      <c r="E202" s="1"/>
      <c r="F202" s="1"/>
      <c r="G202" s="37" t="s">
        <v>26</v>
      </c>
      <c r="H202" s="177">
        <f>SUM(G200:G201)</f>
        <v>1516.6666666666667</v>
      </c>
    </row>
    <row r="203" spans="1:8" ht="14" thickBot="1" x14ac:dyDescent="0.2">
      <c r="A203" s="1"/>
      <c r="B203" s="1"/>
      <c r="C203" s="1"/>
      <c r="D203" s="1"/>
      <c r="E203" s="1"/>
      <c r="F203" s="1"/>
      <c r="G203" s="61"/>
      <c r="H203" s="1"/>
    </row>
    <row r="204" spans="1:8" ht="15" thickBot="1" x14ac:dyDescent="0.2">
      <c r="A204" s="1"/>
      <c r="B204" s="1"/>
      <c r="C204" s="1"/>
      <c r="D204" s="1"/>
      <c r="E204" s="35" t="s">
        <v>43</v>
      </c>
      <c r="F204" s="36"/>
      <c r="G204" s="187"/>
      <c r="H204" s="170">
        <f>ROUND((H186+H192+H197+H202),0)</f>
        <v>9182</v>
      </c>
    </row>
    <row r="205" spans="1:8" x14ac:dyDescent="0.15">
      <c r="A205" s="12"/>
      <c r="B205" s="12"/>
      <c r="C205" s="1"/>
      <c r="D205" s="1"/>
      <c r="E205" s="1"/>
      <c r="F205" s="1"/>
      <c r="G205" s="1"/>
      <c r="H205" s="1"/>
    </row>
    <row r="206" spans="1:8" x14ac:dyDescent="0.15">
      <c r="A206" s="16"/>
      <c r="B206" s="16"/>
      <c r="C206" s="16"/>
      <c r="D206" s="16"/>
      <c r="E206" s="16"/>
      <c r="F206" s="61"/>
      <c r="G206" s="173"/>
      <c r="H206" s="172"/>
    </row>
    <row r="207" spans="1:8" x14ac:dyDescent="0.15">
      <c r="A207" s="1"/>
      <c r="B207" s="1"/>
      <c r="C207" s="1"/>
      <c r="D207" s="1"/>
      <c r="E207" s="1"/>
      <c r="F207" s="161"/>
      <c r="G207" s="172"/>
      <c r="H207" s="172"/>
    </row>
    <row r="208" spans="1:8" x14ac:dyDescent="0.15">
      <c r="A208" s="1"/>
      <c r="B208" s="1"/>
      <c r="C208" s="1"/>
      <c r="D208" s="1"/>
      <c r="E208" s="1"/>
      <c r="F208" s="161"/>
      <c r="G208" s="172"/>
      <c r="H208" s="172"/>
    </row>
    <row r="209" spans="1:9" x14ac:dyDescent="0.15">
      <c r="A209" s="1"/>
      <c r="B209" s="1"/>
      <c r="C209" s="1"/>
      <c r="D209" s="1"/>
      <c r="E209" s="1"/>
      <c r="F209" s="161"/>
      <c r="G209" s="172"/>
      <c r="H209" s="172"/>
    </row>
    <row r="210" spans="1:9" x14ac:dyDescent="0.15">
      <c r="A210" s="1"/>
      <c r="B210" s="1"/>
      <c r="C210" s="1"/>
      <c r="D210" s="1"/>
      <c r="E210" s="1"/>
      <c r="F210" s="1"/>
      <c r="G210" s="37"/>
      <c r="H210" s="172"/>
    </row>
    <row r="211" spans="1:9" ht="14" x14ac:dyDescent="0.15">
      <c r="A211" s="102"/>
      <c r="B211" s="1"/>
      <c r="C211" s="1"/>
      <c r="D211" s="1"/>
      <c r="E211" s="1"/>
      <c r="F211" s="1"/>
      <c r="G211" s="1"/>
      <c r="H211" s="172"/>
    </row>
    <row r="212" spans="1:9" ht="14" x14ac:dyDescent="0.15">
      <c r="A212" s="83"/>
      <c r="B212" s="11"/>
      <c r="C212" s="1"/>
      <c r="D212" s="916"/>
      <c r="E212" s="916"/>
      <c r="F212" s="916"/>
      <c r="G212" s="916"/>
      <c r="H212" s="171"/>
    </row>
    <row r="213" spans="1:9" x14ac:dyDescent="0.15">
      <c r="C213" s="1"/>
      <c r="D213" s="15"/>
      <c r="E213" s="16"/>
      <c r="F213" s="16"/>
      <c r="G213" s="16"/>
      <c r="H213" s="57"/>
    </row>
    <row r="214" spans="1:9" x14ac:dyDescent="0.15">
      <c r="A214" s="11"/>
      <c r="B214" s="11"/>
      <c r="C214" s="11"/>
      <c r="D214" s="11"/>
      <c r="E214" s="11"/>
      <c r="F214" s="11"/>
      <c r="G214" s="11"/>
      <c r="H214" s="11"/>
    </row>
    <row r="215" spans="1:9" x14ac:dyDescent="0.15">
      <c r="A215" s="11"/>
      <c r="B215" s="11"/>
      <c r="C215" s="11"/>
      <c r="D215" s="11"/>
      <c r="E215" s="11"/>
      <c r="F215" s="11"/>
      <c r="G215" s="11"/>
      <c r="H215" s="11"/>
    </row>
    <row r="216" spans="1:9" x14ac:dyDescent="0.15">
      <c r="A216" s="11"/>
      <c r="B216" s="11"/>
      <c r="C216" s="11"/>
      <c r="D216" s="11"/>
      <c r="E216" s="11"/>
      <c r="F216" s="11"/>
      <c r="G216" s="11"/>
      <c r="H216" s="11"/>
    </row>
    <row r="217" spans="1:9" x14ac:dyDescent="0.15">
      <c r="A217" s="11"/>
      <c r="B217" s="11"/>
      <c r="C217" s="11"/>
      <c r="D217" s="11"/>
      <c r="E217" s="11"/>
      <c r="F217" s="11"/>
      <c r="G217" s="11"/>
      <c r="H217" s="11"/>
    </row>
    <row r="218" spans="1:9" x14ac:dyDescent="0.15">
      <c r="A218" s="11"/>
      <c r="B218" s="11"/>
      <c r="C218" s="11"/>
      <c r="D218" s="11"/>
      <c r="E218" s="11"/>
      <c r="F218" s="11"/>
      <c r="G218" s="11"/>
      <c r="H218" s="11"/>
    </row>
    <row r="219" spans="1:9" x14ac:dyDescent="0.15">
      <c r="A219" s="11"/>
      <c r="B219" s="11"/>
      <c r="C219" s="11"/>
      <c r="D219" s="11"/>
      <c r="E219" s="11"/>
      <c r="F219" s="11"/>
      <c r="G219" s="11"/>
      <c r="H219" s="11"/>
    </row>
    <row r="220" spans="1:9" ht="14" x14ac:dyDescent="0.15">
      <c r="A220" s="102"/>
      <c r="B220" s="83"/>
      <c r="C220" s="84"/>
      <c r="D220" s="83"/>
      <c r="E220" s="83"/>
      <c r="F220" s="103"/>
      <c r="G220" s="83"/>
      <c r="H220" s="85"/>
      <c r="I220" s="85"/>
    </row>
    <row r="221" spans="1:9" ht="14" x14ac:dyDescent="0.15">
      <c r="A221" s="83"/>
      <c r="B221" s="83"/>
      <c r="C221" s="84"/>
      <c r="D221" s="83"/>
      <c r="E221" s="83"/>
      <c r="F221" s="104"/>
      <c r="G221" s="83"/>
      <c r="H221" s="85"/>
      <c r="I221" s="85"/>
    </row>
    <row r="222" spans="1:9" ht="14" x14ac:dyDescent="0.15">
      <c r="A222" s="83"/>
      <c r="B222" s="83"/>
      <c r="C222" s="84"/>
      <c r="D222" s="83"/>
      <c r="E222" s="83"/>
      <c r="F222" s="104"/>
      <c r="G222" s="83"/>
      <c r="H222" s="85"/>
      <c r="I222" s="85"/>
    </row>
    <row r="223" spans="1:9" ht="14" x14ac:dyDescent="0.15">
      <c r="A223" s="83"/>
      <c r="B223" s="83"/>
      <c r="C223" s="84"/>
      <c r="D223" s="83"/>
      <c r="E223" s="83"/>
      <c r="F223" s="104"/>
      <c r="G223" s="83"/>
      <c r="H223" s="85"/>
      <c r="I223" s="85"/>
    </row>
    <row r="224" spans="1:9" ht="14" thickBot="1" x14ac:dyDescent="0.2">
      <c r="A224" s="12"/>
    </row>
    <row r="225" spans="1:8" s="90" customFormat="1" ht="21.75" customHeight="1" x14ac:dyDescent="0.2">
      <c r="A225" s="885" t="s">
        <v>874</v>
      </c>
      <c r="B225" s="886"/>
      <c r="C225" s="886"/>
      <c r="D225" s="886"/>
      <c r="E225" s="887"/>
      <c r="F225" s="89"/>
      <c r="G225" s="931" t="s">
        <v>20</v>
      </c>
      <c r="H225" s="932"/>
    </row>
    <row r="226" spans="1:8" s="90" customFormat="1" ht="21" customHeight="1" x14ac:dyDescent="0.2">
      <c r="A226" s="888" t="s">
        <v>875</v>
      </c>
      <c r="B226" s="889"/>
      <c r="C226" s="889"/>
      <c r="D226" s="889"/>
      <c r="E226" s="890"/>
      <c r="F226" s="91"/>
      <c r="G226" s="933"/>
      <c r="H226" s="934"/>
    </row>
    <row r="227" spans="1:8" s="90" customFormat="1" ht="15" customHeight="1" x14ac:dyDescent="0.2">
      <c r="A227" s="906" t="s">
        <v>876</v>
      </c>
      <c r="B227" s="907"/>
      <c r="C227" s="907"/>
      <c r="D227" s="907"/>
      <c r="E227" s="908"/>
      <c r="F227" s="91"/>
      <c r="G227" s="1114" t="s">
        <v>558</v>
      </c>
      <c r="H227" s="1115"/>
    </row>
    <row r="228" spans="1:8" s="90" customFormat="1" ht="15.75" customHeight="1" thickBot="1" x14ac:dyDescent="0.25">
      <c r="A228" s="909"/>
      <c r="B228" s="910"/>
      <c r="C228" s="910"/>
      <c r="D228" s="910"/>
      <c r="E228" s="911"/>
      <c r="F228" s="89"/>
      <c r="G228" s="1116"/>
      <c r="H228" s="1115"/>
    </row>
    <row r="229" spans="1:8" ht="13.5" customHeight="1" thickBot="1" x14ac:dyDescent="0.2">
      <c r="A229" s="15"/>
      <c r="B229" s="16"/>
      <c r="C229" s="1"/>
      <c r="D229" s="1"/>
      <c r="E229" s="1"/>
      <c r="F229" s="1"/>
      <c r="G229" s="1116"/>
      <c r="H229" s="1115"/>
    </row>
    <row r="230" spans="1:8" ht="15.75" customHeight="1" x14ac:dyDescent="0.15">
      <c r="A230" s="947" t="s">
        <v>836</v>
      </c>
      <c r="B230" s="948"/>
      <c r="C230" s="948"/>
      <c r="D230" s="948"/>
      <c r="E230" s="949"/>
      <c r="F230" s="1"/>
      <c r="G230" s="1116"/>
      <c r="H230" s="1115"/>
    </row>
    <row r="231" spans="1:8" ht="15.75" customHeight="1" x14ac:dyDescent="0.15">
      <c r="A231" s="950"/>
      <c r="B231" s="951"/>
      <c r="C231" s="951"/>
      <c r="D231" s="951"/>
      <c r="E231" s="952"/>
      <c r="F231" s="1"/>
      <c r="G231" s="1116"/>
      <c r="H231" s="1115"/>
    </row>
    <row r="232" spans="1:8" ht="15.75" customHeight="1" x14ac:dyDescent="0.15">
      <c r="A232" s="950"/>
      <c r="B232" s="951"/>
      <c r="C232" s="951"/>
      <c r="D232" s="951"/>
      <c r="E232" s="952"/>
      <c r="F232" s="1"/>
      <c r="G232" s="1116"/>
      <c r="H232" s="1115"/>
    </row>
    <row r="233" spans="1:8" ht="12.75" customHeight="1" x14ac:dyDescent="0.15">
      <c r="A233" s="950"/>
      <c r="B233" s="951"/>
      <c r="C233" s="951"/>
      <c r="D233" s="951"/>
      <c r="E233" s="952"/>
      <c r="G233" s="1116"/>
      <c r="H233" s="1115"/>
    </row>
    <row r="234" spans="1:8" ht="12.75" customHeight="1" x14ac:dyDescent="0.15">
      <c r="A234" s="950"/>
      <c r="B234" s="951"/>
      <c r="C234" s="951"/>
      <c r="D234" s="951"/>
      <c r="E234" s="952"/>
      <c r="F234" s="11"/>
      <c r="G234" s="1116"/>
      <c r="H234" s="1115"/>
    </row>
    <row r="235" spans="1:8" ht="13.5" customHeight="1" thickBot="1" x14ac:dyDescent="0.2">
      <c r="A235" s="953"/>
      <c r="B235" s="954"/>
      <c r="C235" s="954"/>
      <c r="D235" s="954"/>
      <c r="E235" s="955"/>
      <c r="G235" s="64" t="s">
        <v>45</v>
      </c>
      <c r="H235" s="17" t="s">
        <v>186</v>
      </c>
    </row>
    <row r="236" spans="1:8" x14ac:dyDescent="0.15">
      <c r="A236" s="18"/>
      <c r="B236" s="18"/>
      <c r="C236" s="1"/>
      <c r="D236" s="18"/>
      <c r="E236" s="18"/>
      <c r="F236" s="18"/>
      <c r="G236" s="18"/>
      <c r="H236" s="92"/>
    </row>
    <row r="237" spans="1:8" ht="14" thickBot="1" x14ac:dyDescent="0.2">
      <c r="A237" s="12" t="s">
        <v>21</v>
      </c>
      <c r="B237" s="12"/>
      <c r="C237" s="1"/>
      <c r="D237" s="1"/>
      <c r="E237" s="1"/>
      <c r="F237" s="1"/>
      <c r="G237" s="1"/>
      <c r="H237" s="1"/>
    </row>
    <row r="238" spans="1:8" x14ac:dyDescent="0.15">
      <c r="A238" s="903" t="s">
        <v>22</v>
      </c>
      <c r="B238" s="904"/>
      <c r="C238" s="905"/>
      <c r="D238" s="209" t="s">
        <v>23</v>
      </c>
      <c r="E238" s="19" t="s">
        <v>47</v>
      </c>
      <c r="F238" s="209" t="s">
        <v>24</v>
      </c>
      <c r="G238" s="208" t="s">
        <v>25</v>
      </c>
      <c r="H238" s="43"/>
    </row>
    <row r="239" spans="1:8" x14ac:dyDescent="0.15">
      <c r="A239" s="897" t="s">
        <v>56</v>
      </c>
      <c r="B239" s="898"/>
      <c r="C239" s="899"/>
      <c r="D239" s="5"/>
      <c r="E239" s="164"/>
      <c r="F239" s="20"/>
      <c r="G239" s="165">
        <f>H258*0.05</f>
        <v>75.833333333333343</v>
      </c>
      <c r="H239" s="44"/>
    </row>
    <row r="240" spans="1:8" x14ac:dyDescent="0.15">
      <c r="A240" s="897"/>
      <c r="B240" s="898"/>
      <c r="C240" s="899"/>
      <c r="D240" s="5"/>
      <c r="E240" s="46"/>
      <c r="F240" s="20"/>
      <c r="G240" s="56"/>
      <c r="H240" s="44"/>
    </row>
    <row r="241" spans="1:8" ht="14" thickBot="1" x14ac:dyDescent="0.2">
      <c r="A241" s="900"/>
      <c r="B241" s="901"/>
      <c r="C241" s="902"/>
      <c r="D241" s="21"/>
      <c r="E241" s="22"/>
      <c r="F241" s="23"/>
      <c r="G241" s="47"/>
      <c r="H241" s="48"/>
    </row>
    <row r="242" spans="1:8" ht="14" thickBot="1" x14ac:dyDescent="0.2">
      <c r="A242" s="1"/>
      <c r="B242" s="1"/>
      <c r="C242" s="1"/>
      <c r="D242" s="1"/>
      <c r="E242" s="1"/>
      <c r="F242" s="1"/>
      <c r="G242" s="37" t="s">
        <v>26</v>
      </c>
      <c r="H242" s="163">
        <f>SUM(G239:G241)</f>
        <v>75.833333333333343</v>
      </c>
    </row>
    <row r="243" spans="1:8" ht="14" thickBot="1" x14ac:dyDescent="0.2">
      <c r="A243" s="12" t="s">
        <v>27</v>
      </c>
      <c r="B243" s="12"/>
      <c r="C243" s="1"/>
      <c r="D243" s="1"/>
      <c r="E243" s="1"/>
      <c r="F243" s="1"/>
      <c r="G243" s="1"/>
      <c r="H243" s="1"/>
    </row>
    <row r="244" spans="1:8" x14ac:dyDescent="0.15">
      <c r="A244" s="903" t="s">
        <v>22</v>
      </c>
      <c r="B244" s="904"/>
      <c r="C244" s="905"/>
      <c r="D244" s="209" t="s">
        <v>28</v>
      </c>
      <c r="E244" s="209" t="s">
        <v>29</v>
      </c>
      <c r="F244" s="209" t="s">
        <v>30</v>
      </c>
      <c r="G244" s="208" t="s">
        <v>25</v>
      </c>
      <c r="H244" s="43"/>
    </row>
    <row r="245" spans="1:8" x14ac:dyDescent="0.15">
      <c r="A245" s="4" t="s">
        <v>98</v>
      </c>
      <c r="B245" s="24"/>
      <c r="C245" s="6"/>
      <c r="D245" s="3" t="s">
        <v>186</v>
      </c>
      <c r="E245" s="180">
        <f>MATERIALES!F18</f>
        <v>7159</v>
      </c>
      <c r="F245" s="65">
        <v>1</v>
      </c>
      <c r="G245" s="181">
        <f>F245*E245</f>
        <v>7159</v>
      </c>
      <c r="H245" s="44"/>
    </row>
    <row r="246" spans="1:8" x14ac:dyDescent="0.15">
      <c r="A246" s="4" t="s">
        <v>97</v>
      </c>
      <c r="B246" s="24"/>
      <c r="C246" s="6"/>
      <c r="D246" s="3" t="s">
        <v>186</v>
      </c>
      <c r="E246" s="188">
        <f>MATERIALES!F19</f>
        <v>9146</v>
      </c>
      <c r="F246" s="65">
        <v>0.02</v>
      </c>
      <c r="G246" s="56">
        <f>F246*E246</f>
        <v>182.92000000000002</v>
      </c>
      <c r="H246" s="44"/>
    </row>
    <row r="247" spans="1:8" ht="14" thickBot="1" x14ac:dyDescent="0.2">
      <c r="A247" s="25"/>
      <c r="B247" s="26"/>
      <c r="C247" s="27"/>
      <c r="D247" s="21"/>
      <c r="E247" s="22"/>
      <c r="F247" s="184"/>
      <c r="G247" s="47"/>
      <c r="H247" s="48"/>
    </row>
    <row r="248" spans="1:8" ht="14" thickBot="1" x14ac:dyDescent="0.2">
      <c r="A248" s="1"/>
      <c r="B248" s="1"/>
      <c r="C248" s="1"/>
      <c r="D248" s="1"/>
      <c r="E248" s="1"/>
      <c r="F248" s="1"/>
      <c r="G248" s="37" t="s">
        <v>26</v>
      </c>
      <c r="H248" s="163">
        <f>SUM(G245:G247)</f>
        <v>7341.92</v>
      </c>
    </row>
    <row r="249" spans="1:8" ht="14" thickBot="1" x14ac:dyDescent="0.2">
      <c r="A249" s="28" t="s">
        <v>31</v>
      </c>
      <c r="B249" s="28"/>
      <c r="C249" s="26"/>
      <c r="D249" s="1"/>
      <c r="E249" s="1"/>
      <c r="F249" s="1"/>
      <c r="G249" s="1"/>
      <c r="H249" s="1"/>
    </row>
    <row r="250" spans="1:8" x14ac:dyDescent="0.15">
      <c r="A250" s="51" t="s">
        <v>32</v>
      </c>
      <c r="B250" s="52"/>
      <c r="C250" s="97" t="s">
        <v>33</v>
      </c>
      <c r="D250" s="209" t="s">
        <v>34</v>
      </c>
      <c r="E250" s="209" t="s">
        <v>35</v>
      </c>
      <c r="F250" s="209" t="s">
        <v>36</v>
      </c>
      <c r="G250" s="59" t="s">
        <v>25</v>
      </c>
      <c r="H250" s="43"/>
    </row>
    <row r="251" spans="1:8" x14ac:dyDescent="0.15">
      <c r="A251" s="4" t="s">
        <v>79</v>
      </c>
      <c r="B251" s="6"/>
      <c r="C251" s="60">
        <v>1.4999999999999999E-2</v>
      </c>
      <c r="D251" s="2">
        <v>15</v>
      </c>
      <c r="E251" s="2">
        <f>D251*C251</f>
        <v>0.22499999999999998</v>
      </c>
      <c r="F251" s="162">
        <v>1100</v>
      </c>
      <c r="G251" s="55">
        <f>F251*E251</f>
        <v>247.49999999999997</v>
      </c>
      <c r="H251" s="44"/>
    </row>
    <row r="252" spans="1:8" ht="14" thickBot="1" x14ac:dyDescent="0.2">
      <c r="A252" s="33"/>
      <c r="B252" s="54"/>
      <c r="C252" s="21"/>
      <c r="D252" s="22"/>
      <c r="E252" s="23"/>
      <c r="F252" s="47"/>
      <c r="G252" s="21"/>
      <c r="H252" s="48"/>
    </row>
    <row r="253" spans="1:8" ht="14" thickBot="1" x14ac:dyDescent="0.2">
      <c r="A253" s="1"/>
      <c r="B253" s="1"/>
      <c r="C253" s="1"/>
      <c r="D253" s="1"/>
      <c r="E253" s="1"/>
      <c r="F253" s="1"/>
      <c r="G253" s="37" t="s">
        <v>26</v>
      </c>
      <c r="H253" s="163">
        <f>SUM(G251:G252)</f>
        <v>247.49999999999997</v>
      </c>
    </row>
    <row r="254" spans="1:8" ht="14" thickBot="1" x14ac:dyDescent="0.2">
      <c r="A254" s="28" t="s">
        <v>37</v>
      </c>
      <c r="B254" s="28"/>
      <c r="C254" s="1"/>
      <c r="D254" s="1"/>
      <c r="E254" s="1"/>
      <c r="F254" s="1"/>
      <c r="G254" s="1"/>
      <c r="H254" s="1"/>
    </row>
    <row r="255" spans="1:8" x14ac:dyDescent="0.15">
      <c r="A255" s="51" t="s">
        <v>38</v>
      </c>
      <c r="B255" s="86"/>
      <c r="C255" s="31" t="s">
        <v>39</v>
      </c>
      <c r="D255" s="209" t="s">
        <v>40</v>
      </c>
      <c r="E255" s="19" t="s">
        <v>41</v>
      </c>
      <c r="F255" s="31" t="s">
        <v>24</v>
      </c>
      <c r="G255" s="208" t="s">
        <v>25</v>
      </c>
      <c r="H255" s="43"/>
    </row>
    <row r="256" spans="1:8" x14ac:dyDescent="0.15">
      <c r="A256" s="4" t="s">
        <v>72</v>
      </c>
      <c r="B256" s="24"/>
      <c r="C256" s="32">
        <f>'MANO DE OBRA'!E14</f>
        <v>52000</v>
      </c>
      <c r="D256" s="168">
        <v>1.75</v>
      </c>
      <c r="E256" s="164">
        <f>+D256*C256</f>
        <v>91000</v>
      </c>
      <c r="F256" s="20">
        <v>60</v>
      </c>
      <c r="G256" s="169">
        <f>+E256/F256</f>
        <v>1516.6666666666667</v>
      </c>
      <c r="H256" s="44"/>
    </row>
    <row r="257" spans="1:8" ht="14" thickBot="1" x14ac:dyDescent="0.2">
      <c r="A257" s="33"/>
      <c r="B257" s="34"/>
      <c r="C257" s="22"/>
      <c r="D257" s="21"/>
      <c r="E257" s="22"/>
      <c r="F257" s="23"/>
      <c r="G257" s="47"/>
      <c r="H257" s="48"/>
    </row>
    <row r="258" spans="1:8" ht="14" thickBot="1" x14ac:dyDescent="0.2">
      <c r="A258" s="1"/>
      <c r="B258" s="1"/>
      <c r="C258" s="1"/>
      <c r="D258" s="1"/>
      <c r="E258" s="1"/>
      <c r="F258" s="1"/>
      <c r="G258" s="37" t="s">
        <v>26</v>
      </c>
      <c r="H258" s="177">
        <f>SUM(G256:G257)</f>
        <v>1516.6666666666667</v>
      </c>
    </row>
    <row r="259" spans="1:8" ht="14" thickBot="1" x14ac:dyDescent="0.2">
      <c r="A259" s="1"/>
      <c r="B259" s="1"/>
      <c r="C259" s="1"/>
      <c r="D259" s="1"/>
      <c r="E259" s="1"/>
      <c r="F259" s="1"/>
      <c r="G259" s="61"/>
      <c r="H259" s="1"/>
    </row>
    <row r="260" spans="1:8" ht="15" thickBot="1" x14ac:dyDescent="0.2">
      <c r="A260" s="1"/>
      <c r="B260" s="1"/>
      <c r="C260" s="1"/>
      <c r="D260" s="1"/>
      <c r="E260" s="35" t="s">
        <v>43</v>
      </c>
      <c r="F260" s="36"/>
      <c r="G260" s="187"/>
      <c r="H260" s="170">
        <f>ROUND((H242+H248+H253+H258),0)</f>
        <v>9182</v>
      </c>
    </row>
    <row r="261" spans="1:8" x14ac:dyDescent="0.15">
      <c r="A261" s="12"/>
      <c r="B261" s="12"/>
      <c r="C261" s="1"/>
      <c r="D261" s="1"/>
      <c r="E261" s="1"/>
      <c r="F261" s="1"/>
      <c r="G261" s="1"/>
      <c r="H261" s="1"/>
    </row>
    <row r="262" spans="1:8" x14ac:dyDescent="0.15">
      <c r="A262" s="16"/>
      <c r="B262" s="16"/>
      <c r="C262" s="16"/>
      <c r="D262" s="16"/>
      <c r="E262" s="16"/>
      <c r="F262" s="61"/>
      <c r="G262" s="173"/>
      <c r="H262" s="172"/>
    </row>
    <row r="263" spans="1:8" x14ac:dyDescent="0.15">
      <c r="A263" s="1"/>
      <c r="B263" s="1"/>
      <c r="C263" s="1"/>
      <c r="D263" s="1"/>
      <c r="E263" s="1"/>
      <c r="F263" s="161"/>
      <c r="G263" s="172"/>
      <c r="H263" s="172"/>
    </row>
    <row r="264" spans="1:8" x14ac:dyDescent="0.15">
      <c r="A264" s="1"/>
      <c r="B264" s="1"/>
      <c r="C264" s="1"/>
      <c r="D264" s="1"/>
      <c r="E264" s="1"/>
      <c r="F264" s="161"/>
      <c r="G264" s="172"/>
      <c r="H264" s="172"/>
    </row>
    <row r="265" spans="1:8" x14ac:dyDescent="0.15">
      <c r="A265" s="1"/>
      <c r="B265" s="1"/>
      <c r="C265" s="1"/>
      <c r="D265" s="1"/>
      <c r="E265" s="1"/>
      <c r="F265" s="161"/>
      <c r="G265" s="172"/>
      <c r="H265" s="172"/>
    </row>
    <row r="266" spans="1:8" x14ac:dyDescent="0.15">
      <c r="A266" s="1"/>
      <c r="B266" s="1"/>
      <c r="C266" s="1"/>
      <c r="D266" s="1"/>
      <c r="E266" s="1"/>
      <c r="F266" s="1"/>
      <c r="G266" s="37"/>
      <c r="H266" s="172"/>
    </row>
    <row r="267" spans="1:8" ht="14" x14ac:dyDescent="0.15">
      <c r="A267" s="102"/>
      <c r="B267" s="1"/>
      <c r="C267" s="1"/>
      <c r="D267" s="1"/>
      <c r="E267" s="1"/>
      <c r="F267" s="1"/>
      <c r="G267" s="1"/>
      <c r="H267" s="172"/>
    </row>
    <row r="268" spans="1:8" ht="14" x14ac:dyDescent="0.15">
      <c r="A268" s="83"/>
      <c r="B268" s="11"/>
      <c r="C268" s="1"/>
      <c r="D268" s="916"/>
      <c r="E268" s="916"/>
      <c r="F268" s="916"/>
      <c r="G268" s="916"/>
      <c r="H268" s="171"/>
    </row>
    <row r="269" spans="1:8" x14ac:dyDescent="0.15">
      <c r="A269" s="11"/>
      <c r="B269" s="11"/>
      <c r="C269" s="11"/>
      <c r="D269" s="11"/>
      <c r="E269" s="11"/>
      <c r="F269" s="11"/>
      <c r="G269" s="11"/>
      <c r="H269" s="11"/>
    </row>
    <row r="270" spans="1:8" x14ac:dyDescent="0.15">
      <c r="A270" s="11"/>
      <c r="B270" s="11"/>
      <c r="C270" s="11"/>
      <c r="D270" s="11"/>
      <c r="E270" s="11"/>
      <c r="F270" s="11"/>
      <c r="G270" s="11"/>
      <c r="H270" s="11"/>
    </row>
    <row r="271" spans="1:8" x14ac:dyDescent="0.15">
      <c r="A271" s="11"/>
      <c r="B271" s="11"/>
      <c r="C271" s="11"/>
      <c r="D271" s="11"/>
      <c r="E271" s="11"/>
      <c r="F271" s="11"/>
      <c r="G271" s="11"/>
      <c r="H271" s="11"/>
    </row>
    <row r="272" spans="1:8" x14ac:dyDescent="0.15">
      <c r="A272" s="11"/>
      <c r="B272" s="11"/>
      <c r="C272" s="11"/>
      <c r="D272" s="11"/>
      <c r="E272" s="11"/>
      <c r="F272" s="11"/>
      <c r="G272" s="11"/>
      <c r="H272" s="11"/>
    </row>
    <row r="273" spans="1:9" x14ac:dyDescent="0.15">
      <c r="A273" s="11"/>
      <c r="B273" s="11"/>
      <c r="C273" s="11"/>
      <c r="D273" s="11"/>
      <c r="E273" s="11"/>
      <c r="F273" s="11"/>
      <c r="G273" s="11"/>
      <c r="H273" s="11"/>
    </row>
    <row r="274" spans="1:9" x14ac:dyDescent="0.15">
      <c r="A274" s="11"/>
      <c r="B274" s="11"/>
      <c r="C274" s="11"/>
      <c r="D274" s="11"/>
      <c r="E274" s="11"/>
      <c r="F274" s="11"/>
      <c r="G274" s="11"/>
      <c r="H274" s="11"/>
    </row>
    <row r="275" spans="1:9" ht="14" x14ac:dyDescent="0.15">
      <c r="A275" s="102"/>
      <c r="B275" s="83"/>
      <c r="C275" s="84"/>
      <c r="D275" s="83"/>
      <c r="E275" s="83"/>
      <c r="F275" s="103"/>
      <c r="G275" s="83"/>
      <c r="H275" s="85"/>
      <c r="I275" s="85"/>
    </row>
    <row r="276" spans="1:9" ht="14" x14ac:dyDescent="0.15">
      <c r="A276" s="83"/>
      <c r="B276" s="83"/>
      <c r="C276" s="84"/>
      <c r="D276" s="83"/>
      <c r="E276" s="83"/>
      <c r="F276" s="104"/>
      <c r="G276" s="83"/>
      <c r="H276" s="85"/>
      <c r="I276" s="85"/>
    </row>
    <row r="277" spans="1:9" ht="14" x14ac:dyDescent="0.15">
      <c r="A277" s="83"/>
      <c r="B277" s="83"/>
      <c r="C277" s="84"/>
      <c r="D277" s="83"/>
      <c r="E277" s="83"/>
      <c r="F277" s="104"/>
      <c r="G277" s="83"/>
      <c r="H277" s="85"/>
      <c r="I277" s="85"/>
    </row>
    <row r="278" spans="1:9" ht="14" x14ac:dyDescent="0.15">
      <c r="A278" s="83"/>
      <c r="B278" s="83"/>
      <c r="C278" s="84"/>
      <c r="D278" s="83"/>
      <c r="E278" s="83"/>
      <c r="F278" s="104"/>
      <c r="G278" s="83"/>
      <c r="H278" s="85"/>
      <c r="I278" s="85"/>
    </row>
    <row r="279" spans="1:9" ht="14" x14ac:dyDescent="0.15">
      <c r="A279" s="83"/>
      <c r="B279" s="83"/>
      <c r="C279" s="84"/>
      <c r="D279" s="83"/>
      <c r="E279" s="83"/>
      <c r="F279" s="104"/>
      <c r="G279" s="83"/>
      <c r="H279" s="85"/>
      <c r="I279" s="85"/>
    </row>
    <row r="280" spans="1:9" ht="14" x14ac:dyDescent="0.15">
      <c r="A280" s="83"/>
      <c r="B280" s="11"/>
      <c r="C280" s="1"/>
      <c r="D280" s="155"/>
      <c r="E280" s="155"/>
      <c r="F280" s="155"/>
      <c r="G280" s="155"/>
      <c r="H280" s="62"/>
    </row>
    <row r="281" spans="1:9" ht="14" x14ac:dyDescent="0.15">
      <c r="A281" s="83"/>
      <c r="B281" s="11"/>
      <c r="C281" s="1"/>
      <c r="D281" s="155"/>
      <c r="E281" s="155"/>
      <c r="F281" s="155"/>
      <c r="G281" s="155"/>
      <c r="H281" s="62"/>
    </row>
  </sheetData>
  <mergeCells count="58">
    <mergeCell ref="G57:H58"/>
    <mergeCell ref="A58:E58"/>
    <mergeCell ref="A1:E1"/>
    <mergeCell ref="G1:H2"/>
    <mergeCell ref="A2:E2"/>
    <mergeCell ref="A3:E4"/>
    <mergeCell ref="G3:H10"/>
    <mergeCell ref="A6:E11"/>
    <mergeCell ref="A14:C14"/>
    <mergeCell ref="A15:C15"/>
    <mergeCell ref="A72:C72"/>
    <mergeCell ref="A16:C16"/>
    <mergeCell ref="A17:C17"/>
    <mergeCell ref="A20:C20"/>
    <mergeCell ref="A57:E57"/>
    <mergeCell ref="A59:E60"/>
    <mergeCell ref="G59:H66"/>
    <mergeCell ref="A62:E67"/>
    <mergeCell ref="A70:C70"/>
    <mergeCell ref="A71:C71"/>
    <mergeCell ref="D161:G161"/>
    <mergeCell ref="A73:C73"/>
    <mergeCell ref="A76:C76"/>
    <mergeCell ref="A113:E113"/>
    <mergeCell ref="G113:H115"/>
    <mergeCell ref="A114:E114"/>
    <mergeCell ref="A115:E116"/>
    <mergeCell ref="G116:H122"/>
    <mergeCell ref="A118:E123"/>
    <mergeCell ref="A126:C126"/>
    <mergeCell ref="A127:C127"/>
    <mergeCell ref="A128:C128"/>
    <mergeCell ref="A129:C129"/>
    <mergeCell ref="A132:C132"/>
    <mergeCell ref="D212:G212"/>
    <mergeCell ref="A169:E169"/>
    <mergeCell ref="G169:H170"/>
    <mergeCell ref="A170:E170"/>
    <mergeCell ref="A171:E172"/>
    <mergeCell ref="G171:H178"/>
    <mergeCell ref="A174:E179"/>
    <mergeCell ref="A182:C182"/>
    <mergeCell ref="A183:C183"/>
    <mergeCell ref="A184:C184"/>
    <mergeCell ref="A185:C185"/>
    <mergeCell ref="A188:C188"/>
    <mergeCell ref="D268:G268"/>
    <mergeCell ref="A225:E225"/>
    <mergeCell ref="G225:H226"/>
    <mergeCell ref="A226:E226"/>
    <mergeCell ref="A227:E228"/>
    <mergeCell ref="G227:H234"/>
    <mergeCell ref="A230:E235"/>
    <mergeCell ref="A238:C238"/>
    <mergeCell ref="A239:C239"/>
    <mergeCell ref="A240:C240"/>
    <mergeCell ref="A241:C241"/>
    <mergeCell ref="A244:C244"/>
  </mergeCells>
  <pageMargins left="0.7" right="0.7" top="0.75" bottom="0.75" header="0.3" footer="0.3"/>
  <pageSetup scale="87" orientation="portrait" horizontalDpi="4294967292" r:id="rId1"/>
  <colBreaks count="1" manualBreakCount="1">
    <brk id="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8">
    <tabColor rgb="FF66FF33"/>
  </sheetPr>
  <dimension ref="A1:G30"/>
  <sheetViews>
    <sheetView view="pageBreakPreview" topLeftCell="A7" zoomScale="145" zoomScaleNormal="100" zoomScaleSheetLayoutView="145" workbookViewId="0">
      <selection activeCell="G26" sqref="G26"/>
    </sheetView>
  </sheetViews>
  <sheetFormatPr baseColWidth="10" defaultRowHeight="13" x14ac:dyDescent="0.15"/>
  <cols>
    <col min="3" max="3" width="28.33203125" customWidth="1"/>
    <col min="4" max="4" width="14.33203125" customWidth="1"/>
    <col min="5" max="5" width="14.83203125" customWidth="1"/>
    <col min="6" max="6" width="12.33203125" bestFit="1" customWidth="1"/>
    <col min="7" max="7" width="16" bestFit="1" customWidth="1"/>
  </cols>
  <sheetData>
    <row r="1" spans="1:7" ht="21" customHeight="1" x14ac:dyDescent="0.15">
      <c r="A1" s="1123" t="s">
        <v>874</v>
      </c>
      <c r="B1" s="1124"/>
      <c r="C1" s="1124"/>
      <c r="D1" s="762"/>
      <c r="E1" s="763"/>
      <c r="F1" s="198"/>
    </row>
    <row r="2" spans="1:7" ht="14.25" customHeight="1" x14ac:dyDescent="0.15">
      <c r="A2" s="1125" t="s">
        <v>875</v>
      </c>
      <c r="B2" s="1126"/>
      <c r="C2" s="1126"/>
      <c r="D2" s="765"/>
      <c r="E2" s="766"/>
      <c r="F2" s="92"/>
    </row>
    <row r="3" spans="1:7" ht="14.25" customHeight="1" x14ac:dyDescent="0.15">
      <c r="A3" s="1125" t="s">
        <v>876</v>
      </c>
      <c r="B3" s="1126"/>
      <c r="C3" s="1126"/>
      <c r="D3" s="765"/>
      <c r="E3" s="766"/>
      <c r="F3" s="92"/>
    </row>
    <row r="4" spans="1:7" ht="54" customHeight="1" x14ac:dyDescent="0.15">
      <c r="A4" s="1013" t="s">
        <v>836</v>
      </c>
      <c r="B4" s="1127"/>
      <c r="C4" s="1127"/>
      <c r="D4" s="765"/>
      <c r="E4" s="766"/>
      <c r="F4" s="199"/>
    </row>
    <row r="5" spans="1:7" ht="2.25" hidden="1" customHeight="1" x14ac:dyDescent="0.15">
      <c r="A5" s="1132"/>
      <c r="B5" s="1133"/>
      <c r="C5" s="1133"/>
      <c r="D5" s="1133"/>
      <c r="E5" s="1134"/>
    </row>
    <row r="6" spans="1:7" ht="19.5" customHeight="1" x14ac:dyDescent="0.15">
      <c r="A6" s="1135" t="s">
        <v>621</v>
      </c>
      <c r="B6" s="1136"/>
      <c r="C6" s="1136"/>
      <c r="D6" s="1136"/>
      <c r="E6" s="1137"/>
    </row>
    <row r="7" spans="1:7" ht="19.5" customHeight="1" x14ac:dyDescent="0.15">
      <c r="A7" s="1141" t="s">
        <v>225</v>
      </c>
      <c r="B7" s="1142"/>
      <c r="C7" s="1142"/>
      <c r="D7" s="389">
        <v>2022</v>
      </c>
      <c r="E7" s="390">
        <v>2023</v>
      </c>
    </row>
    <row r="8" spans="1:7" ht="15" customHeight="1" x14ac:dyDescent="0.15">
      <c r="A8" s="1128" t="s">
        <v>82</v>
      </c>
      <c r="B8" s="1129"/>
      <c r="C8" s="1129"/>
      <c r="D8" s="213">
        <v>1000000</v>
      </c>
      <c r="E8" s="213">
        <v>1160000</v>
      </c>
    </row>
    <row r="9" spans="1:7" ht="15" customHeight="1" x14ac:dyDescent="0.15">
      <c r="A9" s="1128" t="s">
        <v>83</v>
      </c>
      <c r="B9" s="1129"/>
      <c r="C9" s="1129"/>
      <c r="D9" s="213">
        <v>117172</v>
      </c>
      <c r="E9" s="213">
        <v>140000</v>
      </c>
    </row>
    <row r="10" spans="1:7" ht="15" customHeight="1" x14ac:dyDescent="0.15">
      <c r="A10" s="1128" t="s">
        <v>84</v>
      </c>
      <c r="B10" s="1129"/>
      <c r="C10" s="1129"/>
      <c r="D10" s="213">
        <f>SUM(D8:D9)</f>
        <v>1117172</v>
      </c>
      <c r="E10" s="213">
        <f>SUM(E8:E9)</f>
        <v>1300000</v>
      </c>
    </row>
    <row r="11" spans="1:7" ht="15" customHeight="1" x14ac:dyDescent="0.15">
      <c r="A11" s="1128" t="s">
        <v>85</v>
      </c>
      <c r="B11" s="1129"/>
      <c r="C11" s="1129"/>
      <c r="D11" s="214">
        <v>30</v>
      </c>
      <c r="E11" s="316">
        <v>30</v>
      </c>
      <c r="G11" s="106"/>
    </row>
    <row r="12" spans="1:7" ht="10.5" customHeight="1" x14ac:dyDescent="0.15">
      <c r="A12" s="1138"/>
      <c r="B12" s="797"/>
      <c r="C12" s="797"/>
      <c r="D12" s="797"/>
      <c r="E12" s="1139"/>
    </row>
    <row r="13" spans="1:7" x14ac:dyDescent="0.15">
      <c r="A13" s="1140" t="s">
        <v>144</v>
      </c>
      <c r="B13" s="1016"/>
      <c r="C13" s="1016"/>
      <c r="D13" s="319" t="s">
        <v>145</v>
      </c>
      <c r="E13" s="388" t="s">
        <v>88</v>
      </c>
    </row>
    <row r="14" spans="1:7" x14ac:dyDescent="0.15">
      <c r="A14" s="1130" t="s">
        <v>86</v>
      </c>
      <c r="B14" s="1131"/>
      <c r="C14" s="1131"/>
      <c r="D14" s="188">
        <f>E10/E11*1.2</f>
        <v>52000</v>
      </c>
      <c r="E14" s="387">
        <f>ROUND((D14),0)</f>
        <v>52000</v>
      </c>
      <c r="F14" s="106"/>
    </row>
    <row r="15" spans="1:7" x14ac:dyDescent="0.15">
      <c r="A15" s="1130" t="s">
        <v>42</v>
      </c>
      <c r="B15" s="1131"/>
      <c r="C15" s="1131"/>
      <c r="D15" s="188">
        <f>E10/E11*2.2</f>
        <v>95333.333333333343</v>
      </c>
      <c r="E15" s="387">
        <f t="shared" ref="E15:E20" si="0">ROUND((D15),0)</f>
        <v>95333</v>
      </c>
      <c r="G15" s="106"/>
    </row>
    <row r="16" spans="1:7" x14ac:dyDescent="0.15">
      <c r="A16" s="1130" t="s">
        <v>106</v>
      </c>
      <c r="B16" s="1131"/>
      <c r="C16" s="1131"/>
      <c r="D16" s="188">
        <f>E10/E11*2.2</f>
        <v>95333.333333333343</v>
      </c>
      <c r="E16" s="387">
        <f t="shared" si="0"/>
        <v>95333</v>
      </c>
    </row>
    <row r="17" spans="1:7" x14ac:dyDescent="0.15">
      <c r="A17" s="1130" t="s">
        <v>172</v>
      </c>
      <c r="B17" s="1131"/>
      <c r="C17" s="1131"/>
      <c r="D17" s="188">
        <f>E10/E11*2.2</f>
        <v>95333.333333333343</v>
      </c>
      <c r="E17" s="387">
        <f t="shared" si="0"/>
        <v>95333</v>
      </c>
    </row>
    <row r="18" spans="1:7" x14ac:dyDescent="0.15">
      <c r="A18" s="1130" t="s">
        <v>87</v>
      </c>
      <c r="B18" s="1131"/>
      <c r="C18" s="1131"/>
      <c r="D18" s="188">
        <f>E10/E11*2.5</f>
        <v>108333.33333333334</v>
      </c>
      <c r="E18" s="387">
        <f t="shared" si="0"/>
        <v>108333</v>
      </c>
      <c r="G18" s="106"/>
    </row>
    <row r="19" spans="1:7" x14ac:dyDescent="0.15">
      <c r="A19" s="1130" t="s">
        <v>54</v>
      </c>
      <c r="B19" s="1131"/>
      <c r="C19" s="1131"/>
      <c r="D19" s="188">
        <f>E10/30*2.5</f>
        <v>108333.33333333334</v>
      </c>
      <c r="E19" s="387">
        <f t="shared" si="0"/>
        <v>108333</v>
      </c>
    </row>
    <row r="20" spans="1:7" x14ac:dyDescent="0.15">
      <c r="A20" s="1130" t="s">
        <v>90</v>
      </c>
      <c r="B20" s="1131"/>
      <c r="C20" s="1131"/>
      <c r="D20" s="188">
        <f>E10/E11*1.2</f>
        <v>52000</v>
      </c>
      <c r="E20" s="387">
        <f t="shared" si="0"/>
        <v>52000</v>
      </c>
    </row>
    <row r="21" spans="1:7" ht="10.5" customHeight="1" thickBot="1" x14ac:dyDescent="0.2">
      <c r="A21" s="1143"/>
      <c r="B21" s="1144"/>
      <c r="C21" s="1144"/>
      <c r="D21" s="1144"/>
      <c r="E21" s="1145"/>
      <c r="F21" s="106"/>
    </row>
    <row r="28" spans="1:7" ht="14" x14ac:dyDescent="0.15">
      <c r="A28" s="215"/>
      <c r="B28" s="11"/>
      <c r="C28" s="11"/>
      <c r="D28" s="102"/>
    </row>
    <row r="29" spans="1:7" x14ac:dyDescent="0.15">
      <c r="A29" s="119"/>
      <c r="B29" s="11"/>
      <c r="C29" s="11"/>
      <c r="D29" s="119"/>
    </row>
    <row r="30" spans="1:7" ht="14" x14ac:dyDescent="0.15">
      <c r="A30" s="83"/>
      <c r="B30" s="11"/>
      <c r="C30" s="11"/>
    </row>
  </sheetData>
  <mergeCells count="22">
    <mergeCell ref="A15:C15"/>
    <mergeCell ref="A18:C18"/>
    <mergeCell ref="A19:C19"/>
    <mergeCell ref="A20:C20"/>
    <mergeCell ref="A21:E21"/>
    <mergeCell ref="A16:C16"/>
    <mergeCell ref="A17:C17"/>
    <mergeCell ref="A11:C11"/>
    <mergeCell ref="A14:C14"/>
    <mergeCell ref="A5:E5"/>
    <mergeCell ref="A6:E6"/>
    <mergeCell ref="A12:E12"/>
    <mergeCell ref="A13:C13"/>
    <mergeCell ref="A7:C7"/>
    <mergeCell ref="A8:C8"/>
    <mergeCell ref="A9:C9"/>
    <mergeCell ref="A10:C10"/>
    <mergeCell ref="A1:C1"/>
    <mergeCell ref="A2:C2"/>
    <mergeCell ref="A3:C3"/>
    <mergeCell ref="A4:C4"/>
    <mergeCell ref="D1:E4"/>
  </mergeCells>
  <pageMargins left="0.70866141732283472" right="0.70866141732283472" top="0.74803149606299213" bottom="0.74803149606299213" header="0.31496062992125984" footer="0.31496062992125984"/>
  <pageSetup scale="110" orientation="portrait" r:id="rId1"/>
  <ignoredErrors>
    <ignoredError sqref="D10:E10" formulaRange="1"/>
  </ignoredError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6">
    <tabColor rgb="FF66FF33"/>
  </sheetPr>
  <dimension ref="A1:N189"/>
  <sheetViews>
    <sheetView view="pageBreakPreview" topLeftCell="A159" zoomScaleNormal="100" zoomScaleSheetLayoutView="100" workbookViewId="0">
      <selection activeCell="F194" sqref="F194"/>
    </sheetView>
  </sheetViews>
  <sheetFormatPr baseColWidth="10" defaultRowHeight="13" x14ac:dyDescent="0.15"/>
  <cols>
    <col min="1" max="1" width="48.1640625" customWidth="1"/>
    <col min="2" max="2" width="12.6640625" customWidth="1"/>
    <col min="3" max="6" width="15.5" customWidth="1"/>
    <col min="9" max="9" width="14.5" bestFit="1" customWidth="1"/>
    <col min="10" max="10" width="14.5" customWidth="1"/>
    <col min="12" max="12" width="12.83203125" bestFit="1" customWidth="1"/>
    <col min="13" max="13" width="16.5" bestFit="1" customWidth="1"/>
    <col min="14" max="14" width="14.33203125" customWidth="1"/>
    <col min="15" max="15" width="15" customWidth="1"/>
  </cols>
  <sheetData>
    <row r="1" spans="1:12" ht="35.25" customHeight="1" x14ac:dyDescent="0.15">
      <c r="A1" s="765" t="s">
        <v>874</v>
      </c>
      <c r="B1" s="765"/>
      <c r="C1" s="765"/>
      <c r="D1" s="765"/>
      <c r="E1" s="765"/>
      <c r="F1" s="765"/>
      <c r="G1" s="198"/>
    </row>
    <row r="2" spans="1:12" ht="14.25" customHeight="1" x14ac:dyDescent="0.15">
      <c r="A2" s="798" t="s">
        <v>875</v>
      </c>
      <c r="B2" s="798"/>
      <c r="C2" s="798"/>
      <c r="D2" s="798"/>
      <c r="E2" s="765"/>
      <c r="F2" s="765"/>
      <c r="G2" s="92"/>
    </row>
    <row r="3" spans="1:12" ht="14.25" customHeight="1" x14ac:dyDescent="0.15">
      <c r="A3" s="798" t="s">
        <v>876</v>
      </c>
      <c r="B3" s="798"/>
      <c r="C3" s="798"/>
      <c r="D3" s="798"/>
      <c r="E3" s="765"/>
      <c r="F3" s="765"/>
      <c r="G3" s="92"/>
    </row>
    <row r="4" spans="1:12" ht="56.25" customHeight="1" x14ac:dyDescent="0.15">
      <c r="A4" s="768" t="s">
        <v>836</v>
      </c>
      <c r="B4" s="768"/>
      <c r="C4" s="768"/>
      <c r="D4" s="768"/>
      <c r="E4" s="765"/>
      <c r="F4" s="765"/>
      <c r="G4" s="199"/>
    </row>
    <row r="5" spans="1:12" ht="17.25" customHeight="1" x14ac:dyDescent="0.15">
      <c r="A5" s="1146" t="s">
        <v>603</v>
      </c>
      <c r="B5" s="1147"/>
      <c r="C5" s="1147"/>
      <c r="D5" s="1147"/>
      <c r="E5" s="1147"/>
      <c r="F5" s="1148"/>
    </row>
    <row r="6" spans="1:12" s="197" customFormat="1" ht="33" customHeight="1" x14ac:dyDescent="0.15">
      <c r="A6" s="194" t="s">
        <v>121</v>
      </c>
      <c r="B6" s="195" t="s">
        <v>122</v>
      </c>
      <c r="C6" s="196" t="s">
        <v>123</v>
      </c>
      <c r="D6" s="196" t="s">
        <v>536</v>
      </c>
      <c r="E6" s="196" t="s">
        <v>537</v>
      </c>
      <c r="F6" s="315" t="s">
        <v>81</v>
      </c>
    </row>
    <row r="7" spans="1:12" s="116" customFormat="1" ht="15" customHeight="1" x14ac:dyDescent="0.15">
      <c r="A7" s="115" t="s">
        <v>535</v>
      </c>
      <c r="B7" s="382" t="s">
        <v>73</v>
      </c>
      <c r="C7" s="383">
        <v>1500</v>
      </c>
      <c r="D7" s="383">
        <f>C7*0.94</f>
        <v>1410</v>
      </c>
      <c r="E7" s="383">
        <f>+D7*1.06</f>
        <v>1494.6000000000001</v>
      </c>
      <c r="F7" s="383">
        <f t="shared" ref="F7" si="0">C7</f>
        <v>1500</v>
      </c>
    </row>
    <row r="8" spans="1:12" s="116" customFormat="1" ht="18" customHeight="1" x14ac:dyDescent="0.15">
      <c r="A8" s="115" t="s">
        <v>124</v>
      </c>
      <c r="B8" s="382" t="s">
        <v>125</v>
      </c>
      <c r="C8" s="383">
        <v>7500</v>
      </c>
      <c r="D8" s="383">
        <f>C8*0.94</f>
        <v>7050</v>
      </c>
      <c r="E8" s="383">
        <f>+D8*1.06</f>
        <v>7473</v>
      </c>
      <c r="F8" s="384">
        <f>C8</f>
        <v>7500</v>
      </c>
    </row>
    <row r="9" spans="1:12" s="116" customFormat="1" ht="18" customHeight="1" x14ac:dyDescent="0.15">
      <c r="A9" s="115" t="s">
        <v>187</v>
      </c>
      <c r="B9" s="382" t="s">
        <v>127</v>
      </c>
      <c r="C9" s="383">
        <v>2800</v>
      </c>
      <c r="D9" s="383">
        <f t="shared" ref="D9:D54" si="1">C9*0.94</f>
        <v>2632</v>
      </c>
      <c r="E9" s="383">
        <f t="shared" ref="E9:E54" si="2">+D9*1.06</f>
        <v>2789.92</v>
      </c>
      <c r="F9" s="384">
        <f t="shared" ref="F9:F37" si="3">C9</f>
        <v>2800</v>
      </c>
      <c r="L9" s="414"/>
    </row>
    <row r="10" spans="1:12" s="116" customFormat="1" ht="18" customHeight="1" x14ac:dyDescent="0.15">
      <c r="A10" s="115" t="s">
        <v>183</v>
      </c>
      <c r="B10" s="382" t="s">
        <v>127</v>
      </c>
      <c r="C10" s="383">
        <v>810</v>
      </c>
      <c r="D10" s="383">
        <f t="shared" si="1"/>
        <v>761.4</v>
      </c>
      <c r="E10" s="383">
        <f t="shared" si="2"/>
        <v>807.08400000000006</v>
      </c>
      <c r="F10" s="384">
        <f t="shared" si="3"/>
        <v>810</v>
      </c>
    </row>
    <row r="11" spans="1:12" s="116" customFormat="1" ht="18" customHeight="1" x14ac:dyDescent="0.15">
      <c r="A11" s="115" t="s">
        <v>188</v>
      </c>
      <c r="B11" s="382" t="s">
        <v>6</v>
      </c>
      <c r="C11" s="383">
        <f>32000*1.35</f>
        <v>43200</v>
      </c>
      <c r="D11" s="383">
        <f t="shared" si="1"/>
        <v>40608</v>
      </c>
      <c r="E11" s="383">
        <f t="shared" si="2"/>
        <v>43044.480000000003</v>
      </c>
      <c r="F11" s="384">
        <f t="shared" si="3"/>
        <v>43200</v>
      </c>
      <c r="J11" s="414"/>
      <c r="L11" s="414"/>
    </row>
    <row r="12" spans="1:12" s="116" customFormat="1" ht="18" customHeight="1" x14ac:dyDescent="0.15">
      <c r="A12" s="115" t="s">
        <v>533</v>
      </c>
      <c r="B12" s="382" t="s">
        <v>6</v>
      </c>
      <c r="C12" s="383">
        <f>2000*60*1.25</f>
        <v>150000</v>
      </c>
      <c r="D12" s="383">
        <f t="shared" si="1"/>
        <v>141000</v>
      </c>
      <c r="E12" s="383">
        <f t="shared" si="2"/>
        <v>149460</v>
      </c>
      <c r="F12" s="384">
        <f t="shared" si="3"/>
        <v>150000</v>
      </c>
    </row>
    <row r="13" spans="1:12" s="116" customFormat="1" ht="18" customHeight="1" x14ac:dyDescent="0.15">
      <c r="A13" s="115" t="s">
        <v>532</v>
      </c>
      <c r="B13" s="382" t="s">
        <v>6</v>
      </c>
      <c r="C13" s="383">
        <f>2000*60*1.25</f>
        <v>150000</v>
      </c>
      <c r="D13" s="383">
        <f t="shared" ref="D13" si="4">C13*0.94</f>
        <v>141000</v>
      </c>
      <c r="E13" s="383">
        <f t="shared" ref="E13" si="5">+D13*1.06</f>
        <v>149460</v>
      </c>
      <c r="F13" s="384">
        <f t="shared" ref="F13" si="6">C13</f>
        <v>150000</v>
      </c>
      <c r="I13" s="414"/>
      <c r="L13" s="414"/>
    </row>
    <row r="14" spans="1:12" s="116" customFormat="1" ht="18" customHeight="1" x14ac:dyDescent="0.15">
      <c r="A14" s="115" t="s">
        <v>132</v>
      </c>
      <c r="B14" s="382" t="s">
        <v>6</v>
      </c>
      <c r="C14" s="383">
        <f>1000*60*1.2</f>
        <v>72000</v>
      </c>
      <c r="D14" s="383">
        <f t="shared" si="1"/>
        <v>67680</v>
      </c>
      <c r="E14" s="383">
        <f t="shared" si="2"/>
        <v>71740.800000000003</v>
      </c>
      <c r="F14" s="384">
        <f t="shared" si="3"/>
        <v>72000</v>
      </c>
      <c r="I14" s="414"/>
    </row>
    <row r="15" spans="1:12" s="116" customFormat="1" ht="18" customHeight="1" x14ac:dyDescent="0.15">
      <c r="A15" s="115" t="s">
        <v>133</v>
      </c>
      <c r="B15" s="382" t="s">
        <v>6</v>
      </c>
      <c r="C15" s="383">
        <f>1000*60*1.2</f>
        <v>72000</v>
      </c>
      <c r="D15" s="383">
        <f t="shared" si="1"/>
        <v>67680</v>
      </c>
      <c r="E15" s="383">
        <f t="shared" si="2"/>
        <v>71740.800000000003</v>
      </c>
      <c r="F15" s="384">
        <f t="shared" si="3"/>
        <v>72000</v>
      </c>
    </row>
    <row r="16" spans="1:12" s="116" customFormat="1" ht="18" customHeight="1" x14ac:dyDescent="0.15">
      <c r="A16" s="115" t="s">
        <v>60</v>
      </c>
      <c r="B16" s="382" t="s">
        <v>134</v>
      </c>
      <c r="C16" s="383">
        <v>50</v>
      </c>
      <c r="D16" s="383">
        <f t="shared" si="1"/>
        <v>47</v>
      </c>
      <c r="E16" s="383">
        <f t="shared" si="2"/>
        <v>49.82</v>
      </c>
      <c r="F16" s="384">
        <f t="shared" si="3"/>
        <v>50</v>
      </c>
    </row>
    <row r="17" spans="1:6" s="116" customFormat="1" ht="18" customHeight="1" x14ac:dyDescent="0.15">
      <c r="A17" s="115" t="s">
        <v>557</v>
      </c>
      <c r="B17" s="382" t="s">
        <v>127</v>
      </c>
      <c r="C17" s="383">
        <v>7159</v>
      </c>
      <c r="D17" s="383">
        <f t="shared" si="1"/>
        <v>6729.46</v>
      </c>
      <c r="E17" s="383">
        <f t="shared" si="2"/>
        <v>7133.2276000000002</v>
      </c>
      <c r="F17" s="384">
        <f t="shared" si="3"/>
        <v>7159</v>
      </c>
    </row>
    <row r="18" spans="1:6" s="116" customFormat="1" ht="18" customHeight="1" x14ac:dyDescent="0.15">
      <c r="A18" s="115" t="s">
        <v>558</v>
      </c>
      <c r="B18" s="382" t="s">
        <v>127</v>
      </c>
      <c r="C18" s="383">
        <v>7159</v>
      </c>
      <c r="D18" s="383">
        <f t="shared" si="1"/>
        <v>6729.46</v>
      </c>
      <c r="E18" s="383">
        <f t="shared" si="2"/>
        <v>7133.2276000000002</v>
      </c>
      <c r="F18" s="384">
        <f t="shared" si="3"/>
        <v>7159</v>
      </c>
    </row>
    <row r="19" spans="1:6" s="116" customFormat="1" ht="18" customHeight="1" x14ac:dyDescent="0.15">
      <c r="A19" s="115" t="s">
        <v>97</v>
      </c>
      <c r="B19" s="382" t="s">
        <v>127</v>
      </c>
      <c r="C19" s="383">
        <v>9146</v>
      </c>
      <c r="D19" s="383">
        <f t="shared" si="1"/>
        <v>8597.24</v>
      </c>
      <c r="E19" s="383">
        <f t="shared" si="2"/>
        <v>9113.0743999999995</v>
      </c>
      <c r="F19" s="384">
        <f t="shared" si="3"/>
        <v>9146</v>
      </c>
    </row>
    <row r="20" spans="1:6" s="116" customFormat="1" ht="18" customHeight="1" x14ac:dyDescent="0.15">
      <c r="A20" s="115" t="s">
        <v>126</v>
      </c>
      <c r="B20" s="382" t="s">
        <v>127</v>
      </c>
      <c r="C20" s="383">
        <v>2100</v>
      </c>
      <c r="D20" s="383">
        <f t="shared" si="1"/>
        <v>1974</v>
      </c>
      <c r="E20" s="383">
        <f t="shared" si="2"/>
        <v>2092.44</v>
      </c>
      <c r="F20" s="384">
        <f t="shared" si="3"/>
        <v>2100</v>
      </c>
    </row>
    <row r="21" spans="1:6" s="116" customFormat="1" ht="18" customHeight="1" x14ac:dyDescent="0.15">
      <c r="A21" s="115" t="s">
        <v>1102</v>
      </c>
      <c r="B21" s="382" t="s">
        <v>127</v>
      </c>
      <c r="C21" s="383">
        <f>21600*1.35</f>
        <v>29160.000000000004</v>
      </c>
      <c r="D21" s="383">
        <f t="shared" ref="D21" si="7">C21*0.94</f>
        <v>27410.400000000001</v>
      </c>
      <c r="E21" s="383">
        <f t="shared" ref="E21" si="8">+D21*1.06</f>
        <v>29055.024000000001</v>
      </c>
      <c r="F21" s="384">
        <f t="shared" ref="F21" si="9">C21</f>
        <v>29160.000000000004</v>
      </c>
    </row>
    <row r="22" spans="1:6" s="116" customFormat="1" ht="18" customHeight="1" x14ac:dyDescent="0.15">
      <c r="A22" s="115" t="s">
        <v>128</v>
      </c>
      <c r="B22" s="382" t="s">
        <v>73</v>
      </c>
      <c r="C22" s="383">
        <v>75000</v>
      </c>
      <c r="D22" s="383">
        <f t="shared" si="1"/>
        <v>70500</v>
      </c>
      <c r="E22" s="383">
        <f t="shared" si="2"/>
        <v>74730</v>
      </c>
      <c r="F22" s="384">
        <f t="shared" si="3"/>
        <v>75000</v>
      </c>
    </row>
    <row r="23" spans="1:6" s="116" customFormat="1" ht="18" customHeight="1" x14ac:dyDescent="0.15">
      <c r="A23" s="115" t="s">
        <v>129</v>
      </c>
      <c r="B23" s="382" t="s">
        <v>73</v>
      </c>
      <c r="C23" s="383">
        <v>40000</v>
      </c>
      <c r="D23" s="383">
        <f t="shared" si="1"/>
        <v>37600</v>
      </c>
      <c r="E23" s="383">
        <f t="shared" si="2"/>
        <v>39856</v>
      </c>
      <c r="F23" s="384">
        <f t="shared" si="3"/>
        <v>40000</v>
      </c>
    </row>
    <row r="24" spans="1:6" s="116" customFormat="1" ht="18" customHeight="1" x14ac:dyDescent="0.15">
      <c r="A24" s="115" t="s">
        <v>130</v>
      </c>
      <c r="B24" s="382" t="s">
        <v>73</v>
      </c>
      <c r="C24" s="383">
        <v>17500</v>
      </c>
      <c r="D24" s="383">
        <f t="shared" si="1"/>
        <v>16450</v>
      </c>
      <c r="E24" s="383">
        <f t="shared" si="2"/>
        <v>17437</v>
      </c>
      <c r="F24" s="384">
        <f t="shared" si="3"/>
        <v>17500</v>
      </c>
    </row>
    <row r="25" spans="1:6" s="116" customFormat="1" ht="18" customHeight="1" x14ac:dyDescent="0.15">
      <c r="A25" s="115" t="s">
        <v>131</v>
      </c>
      <c r="B25" s="382" t="s">
        <v>73</v>
      </c>
      <c r="C25" s="383">
        <v>6000</v>
      </c>
      <c r="D25" s="383">
        <f t="shared" si="1"/>
        <v>5640</v>
      </c>
      <c r="E25" s="383">
        <f t="shared" si="2"/>
        <v>5978.4000000000005</v>
      </c>
      <c r="F25" s="384">
        <f t="shared" si="3"/>
        <v>6000</v>
      </c>
    </row>
    <row r="26" spans="1:6" s="116" customFormat="1" ht="18" customHeight="1" x14ac:dyDescent="0.15">
      <c r="A26" s="115" t="s">
        <v>189</v>
      </c>
      <c r="B26" s="382" t="s">
        <v>73</v>
      </c>
      <c r="C26" s="383">
        <v>27000</v>
      </c>
      <c r="D26" s="383">
        <f t="shared" si="1"/>
        <v>25380</v>
      </c>
      <c r="E26" s="383">
        <f t="shared" si="2"/>
        <v>26902.800000000003</v>
      </c>
      <c r="F26" s="384">
        <f t="shared" si="3"/>
        <v>27000</v>
      </c>
    </row>
    <row r="27" spans="1:6" s="116" customFormat="1" ht="18" customHeight="1" x14ac:dyDescent="0.15">
      <c r="A27" s="115" t="s">
        <v>135</v>
      </c>
      <c r="B27" s="382" t="s">
        <v>103</v>
      </c>
      <c r="C27" s="383">
        <f>53000*4*1.35</f>
        <v>286200</v>
      </c>
      <c r="D27" s="383">
        <f t="shared" si="1"/>
        <v>269028</v>
      </c>
      <c r="E27" s="383">
        <f t="shared" si="2"/>
        <v>285169.68</v>
      </c>
      <c r="F27" s="384">
        <f t="shared" si="3"/>
        <v>286200</v>
      </c>
    </row>
    <row r="28" spans="1:6" s="116" customFormat="1" ht="18" customHeight="1" x14ac:dyDescent="0.15">
      <c r="A28" s="115" t="s">
        <v>136</v>
      </c>
      <c r="B28" s="382" t="s">
        <v>5</v>
      </c>
      <c r="C28" s="383">
        <v>24300</v>
      </c>
      <c r="D28" s="383">
        <f t="shared" si="1"/>
        <v>22842</v>
      </c>
      <c r="E28" s="383">
        <f t="shared" si="2"/>
        <v>24212.52</v>
      </c>
      <c r="F28" s="384">
        <f t="shared" si="3"/>
        <v>24300</v>
      </c>
    </row>
    <row r="29" spans="1:6" s="116" customFormat="1" ht="18" customHeight="1" x14ac:dyDescent="0.15">
      <c r="A29" s="115" t="s">
        <v>190</v>
      </c>
      <c r="B29" s="382" t="s">
        <v>127</v>
      </c>
      <c r="C29" s="383">
        <f>13000*1.4</f>
        <v>18200</v>
      </c>
      <c r="D29" s="383">
        <f t="shared" si="1"/>
        <v>17108</v>
      </c>
      <c r="E29" s="383">
        <f t="shared" si="2"/>
        <v>18134.48</v>
      </c>
      <c r="F29" s="384">
        <f t="shared" si="3"/>
        <v>18200</v>
      </c>
    </row>
    <row r="30" spans="1:6" s="116" customFormat="1" ht="18" customHeight="1" x14ac:dyDescent="0.15">
      <c r="A30" s="115" t="s">
        <v>191</v>
      </c>
      <c r="B30" s="382" t="s">
        <v>127</v>
      </c>
      <c r="C30" s="383">
        <f>7000*1.4</f>
        <v>9800</v>
      </c>
      <c r="D30" s="383">
        <f t="shared" si="1"/>
        <v>9212</v>
      </c>
      <c r="E30" s="383">
        <f t="shared" si="2"/>
        <v>9764.7200000000012</v>
      </c>
      <c r="F30" s="384">
        <f t="shared" si="3"/>
        <v>9800</v>
      </c>
    </row>
    <row r="31" spans="1:6" s="116" customFormat="1" ht="18" customHeight="1" x14ac:dyDescent="0.15">
      <c r="A31" s="115" t="s">
        <v>192</v>
      </c>
      <c r="B31" s="382" t="s">
        <v>44</v>
      </c>
      <c r="C31" s="383">
        <v>1303000</v>
      </c>
      <c r="D31" s="383">
        <f t="shared" si="1"/>
        <v>1224820</v>
      </c>
      <c r="E31" s="383">
        <f t="shared" si="2"/>
        <v>1298309.2</v>
      </c>
      <c r="F31" s="384">
        <f t="shared" si="3"/>
        <v>1303000</v>
      </c>
    </row>
    <row r="32" spans="1:6" s="116" customFormat="1" ht="18" customHeight="1" x14ac:dyDescent="0.15">
      <c r="A32" s="115" t="s">
        <v>534</v>
      </c>
      <c r="B32" s="382" t="s">
        <v>103</v>
      </c>
      <c r="C32" s="383">
        <v>362400</v>
      </c>
      <c r="D32" s="383">
        <f t="shared" si="1"/>
        <v>340656</v>
      </c>
      <c r="E32" s="383">
        <f t="shared" si="2"/>
        <v>361095.36000000004</v>
      </c>
      <c r="F32" s="384">
        <f t="shared" si="3"/>
        <v>362400</v>
      </c>
    </row>
    <row r="33" spans="1:6" s="116" customFormat="1" ht="18" customHeight="1" x14ac:dyDescent="0.15">
      <c r="A33" s="115" t="s">
        <v>318</v>
      </c>
      <c r="B33" s="382" t="s">
        <v>193</v>
      </c>
      <c r="C33" s="383">
        <v>1800</v>
      </c>
      <c r="D33" s="383">
        <f t="shared" si="1"/>
        <v>1692</v>
      </c>
      <c r="E33" s="383">
        <f t="shared" si="2"/>
        <v>1793.52</v>
      </c>
      <c r="F33" s="384">
        <f t="shared" si="3"/>
        <v>1800</v>
      </c>
    </row>
    <row r="34" spans="1:6" s="116" customFormat="1" ht="18" customHeight="1" x14ac:dyDescent="0.15">
      <c r="A34" s="115" t="s">
        <v>194</v>
      </c>
      <c r="B34" s="382" t="s">
        <v>127</v>
      </c>
      <c r="C34" s="383">
        <v>7500</v>
      </c>
      <c r="D34" s="383">
        <f t="shared" si="1"/>
        <v>7050</v>
      </c>
      <c r="E34" s="383">
        <f t="shared" si="2"/>
        <v>7473</v>
      </c>
      <c r="F34" s="384">
        <f t="shared" si="3"/>
        <v>7500</v>
      </c>
    </row>
    <row r="35" spans="1:6" s="116" customFormat="1" ht="18" customHeight="1" x14ac:dyDescent="0.15">
      <c r="A35" s="115" t="s">
        <v>147</v>
      </c>
      <c r="B35" s="382" t="s">
        <v>73</v>
      </c>
      <c r="C35" s="383">
        <v>775800</v>
      </c>
      <c r="D35" s="383">
        <f t="shared" si="1"/>
        <v>729252</v>
      </c>
      <c r="E35" s="383">
        <f t="shared" si="2"/>
        <v>773007.12</v>
      </c>
      <c r="F35" s="384">
        <f t="shared" si="3"/>
        <v>775800</v>
      </c>
    </row>
    <row r="36" spans="1:6" s="116" customFormat="1" ht="18" customHeight="1" x14ac:dyDescent="0.15">
      <c r="A36" s="115" t="s">
        <v>162</v>
      </c>
      <c r="B36" s="382" t="s">
        <v>5</v>
      </c>
      <c r="C36" s="383">
        <v>4500</v>
      </c>
      <c r="D36" s="383">
        <f t="shared" si="1"/>
        <v>4230</v>
      </c>
      <c r="E36" s="383">
        <f t="shared" si="2"/>
        <v>4483.8</v>
      </c>
      <c r="F36" s="384">
        <f t="shared" si="3"/>
        <v>4500</v>
      </c>
    </row>
    <row r="37" spans="1:6" s="116" customFormat="1" ht="18" customHeight="1" x14ac:dyDescent="0.15">
      <c r="A37" s="115" t="s">
        <v>163</v>
      </c>
      <c r="B37" s="382" t="s">
        <v>103</v>
      </c>
      <c r="C37" s="383">
        <v>85000</v>
      </c>
      <c r="D37" s="383">
        <f t="shared" si="1"/>
        <v>79900</v>
      </c>
      <c r="E37" s="383">
        <f t="shared" si="2"/>
        <v>84694</v>
      </c>
      <c r="F37" s="384">
        <f t="shared" si="3"/>
        <v>85000</v>
      </c>
    </row>
    <row r="38" spans="1:6" s="116" customFormat="1" ht="18" customHeight="1" x14ac:dyDescent="0.15">
      <c r="A38" s="115" t="s">
        <v>195</v>
      </c>
      <c r="B38" s="382" t="s">
        <v>5</v>
      </c>
      <c r="C38" s="383">
        <f>(57000*1.35)*1</f>
        <v>76950</v>
      </c>
      <c r="D38" s="383">
        <f t="shared" si="1"/>
        <v>72333</v>
      </c>
      <c r="E38" s="383">
        <f t="shared" si="2"/>
        <v>76672.98000000001</v>
      </c>
      <c r="F38" s="384">
        <f t="shared" ref="F38:F42" si="10">C38</f>
        <v>76950</v>
      </c>
    </row>
    <row r="39" spans="1:6" s="116" customFormat="1" ht="18" customHeight="1" x14ac:dyDescent="0.15">
      <c r="A39" s="115" t="s">
        <v>205</v>
      </c>
      <c r="B39" s="382" t="s">
        <v>73</v>
      </c>
      <c r="C39" s="383">
        <f>2300*1.35</f>
        <v>3105</v>
      </c>
      <c r="D39" s="383">
        <f t="shared" si="1"/>
        <v>2918.7</v>
      </c>
      <c r="E39" s="383">
        <f t="shared" si="2"/>
        <v>3093.8220000000001</v>
      </c>
      <c r="F39" s="384">
        <f t="shared" si="10"/>
        <v>3105</v>
      </c>
    </row>
    <row r="40" spans="1:6" s="116" customFormat="1" ht="18" customHeight="1" x14ac:dyDescent="0.15">
      <c r="A40" s="115" t="s">
        <v>1588</v>
      </c>
      <c r="B40" s="382" t="s">
        <v>73</v>
      </c>
      <c r="C40" s="383">
        <f>1300*1.35</f>
        <v>1755.0000000000002</v>
      </c>
      <c r="D40" s="383">
        <f t="shared" si="1"/>
        <v>1649.7</v>
      </c>
      <c r="E40" s="383">
        <f t="shared" si="2"/>
        <v>1748.6820000000002</v>
      </c>
      <c r="F40" s="384">
        <f t="shared" ref="F40" si="11">C40</f>
        <v>1755.0000000000002</v>
      </c>
    </row>
    <row r="41" spans="1:6" s="116" customFormat="1" ht="18" customHeight="1" x14ac:dyDescent="0.15">
      <c r="A41" s="115" t="s">
        <v>223</v>
      </c>
      <c r="B41" s="382" t="s">
        <v>127</v>
      </c>
      <c r="C41" s="383">
        <v>40700</v>
      </c>
      <c r="D41" s="383">
        <f t="shared" si="1"/>
        <v>38258</v>
      </c>
      <c r="E41" s="383">
        <f t="shared" si="2"/>
        <v>40553.480000000003</v>
      </c>
      <c r="F41" s="384">
        <f t="shared" si="10"/>
        <v>40700</v>
      </c>
    </row>
    <row r="42" spans="1:6" s="116" customFormat="1" ht="18" customHeight="1" x14ac:dyDescent="0.15">
      <c r="A42" s="115" t="s">
        <v>224</v>
      </c>
      <c r="B42" s="382" t="s">
        <v>127</v>
      </c>
      <c r="C42" s="383">
        <v>32900</v>
      </c>
      <c r="D42" s="383">
        <f t="shared" si="1"/>
        <v>30926</v>
      </c>
      <c r="E42" s="383">
        <f t="shared" si="2"/>
        <v>32781.560000000005</v>
      </c>
      <c r="F42" s="384">
        <f t="shared" si="10"/>
        <v>32900</v>
      </c>
    </row>
    <row r="43" spans="1:6" s="116" customFormat="1" ht="18" customHeight="1" x14ac:dyDescent="0.15">
      <c r="A43" s="115" t="s">
        <v>320</v>
      </c>
      <c r="B43" s="382" t="s">
        <v>103</v>
      </c>
      <c r="C43" s="383">
        <v>40000</v>
      </c>
      <c r="D43" s="383">
        <f t="shared" si="1"/>
        <v>37600</v>
      </c>
      <c r="E43" s="383">
        <f t="shared" si="2"/>
        <v>39856</v>
      </c>
      <c r="F43" s="384">
        <f t="shared" ref="F43" si="12">C43</f>
        <v>40000</v>
      </c>
    </row>
    <row r="44" spans="1:6" s="116" customFormat="1" ht="18" customHeight="1" x14ac:dyDescent="0.15">
      <c r="A44" s="115" t="s">
        <v>274</v>
      </c>
      <c r="B44" s="382" t="s">
        <v>103</v>
      </c>
      <c r="C44" s="383">
        <v>103000</v>
      </c>
      <c r="D44" s="383">
        <f t="shared" si="1"/>
        <v>96820</v>
      </c>
      <c r="E44" s="383">
        <f t="shared" si="2"/>
        <v>102629.20000000001</v>
      </c>
      <c r="F44" s="384">
        <f t="shared" ref="F44:F45" si="13">C44</f>
        <v>103000</v>
      </c>
    </row>
    <row r="45" spans="1:6" s="116" customFormat="1" ht="18" customHeight="1" x14ac:dyDescent="0.15">
      <c r="A45" s="115" t="s">
        <v>909</v>
      </c>
      <c r="B45" s="382" t="s">
        <v>5</v>
      </c>
      <c r="C45" s="383">
        <v>45000</v>
      </c>
      <c r="D45" s="383">
        <f t="shared" ref="D45" si="14">C45*0.94</f>
        <v>42300</v>
      </c>
      <c r="E45" s="383">
        <f t="shared" ref="E45" si="15">+D45*1.06</f>
        <v>44838</v>
      </c>
      <c r="F45" s="384">
        <f t="shared" si="13"/>
        <v>45000</v>
      </c>
    </row>
    <row r="46" spans="1:6" s="116" customFormat="1" ht="18" customHeight="1" x14ac:dyDescent="0.15">
      <c r="A46" s="115" t="s">
        <v>689</v>
      </c>
      <c r="B46" s="382" t="s">
        <v>5</v>
      </c>
      <c r="C46" s="383">
        <v>60000</v>
      </c>
      <c r="D46" s="383">
        <f t="shared" si="1"/>
        <v>56400</v>
      </c>
      <c r="E46" s="383">
        <f t="shared" si="2"/>
        <v>59784</v>
      </c>
      <c r="F46" s="384">
        <f t="shared" ref="F46" si="16">C46</f>
        <v>60000</v>
      </c>
    </row>
    <row r="47" spans="1:6" s="116" customFormat="1" ht="18" customHeight="1" x14ac:dyDescent="0.15">
      <c r="A47" s="115" t="s">
        <v>914</v>
      </c>
      <c r="B47" s="382" t="s">
        <v>193</v>
      </c>
      <c r="C47" s="383">
        <v>17500</v>
      </c>
      <c r="D47" s="383">
        <f t="shared" ref="D47:D48" si="17">C47*0.94</f>
        <v>16450</v>
      </c>
      <c r="E47" s="383">
        <f t="shared" ref="E47:E48" si="18">+D47*1.06</f>
        <v>17437</v>
      </c>
      <c r="F47" s="384">
        <f t="shared" ref="F47:F48" si="19">C47</f>
        <v>17500</v>
      </c>
    </row>
    <row r="48" spans="1:6" s="116" customFormat="1" ht="18" customHeight="1" x14ac:dyDescent="0.15">
      <c r="A48" s="115" t="s">
        <v>1268</v>
      </c>
      <c r="B48" s="382" t="s">
        <v>5</v>
      </c>
      <c r="C48" s="383">
        <v>36000</v>
      </c>
      <c r="D48" s="383">
        <f t="shared" si="17"/>
        <v>33840</v>
      </c>
      <c r="E48" s="383">
        <f t="shared" si="18"/>
        <v>35870.400000000001</v>
      </c>
      <c r="F48" s="384">
        <f t="shared" si="19"/>
        <v>36000</v>
      </c>
    </row>
    <row r="49" spans="1:6" s="116" customFormat="1" ht="18" customHeight="1" x14ac:dyDescent="0.15">
      <c r="A49" s="115" t="s">
        <v>1269</v>
      </c>
      <c r="B49" s="382" t="s">
        <v>5</v>
      </c>
      <c r="C49" s="383">
        <v>36000</v>
      </c>
      <c r="D49" s="383">
        <f t="shared" ref="D49" si="20">C49*0.94</f>
        <v>33840</v>
      </c>
      <c r="E49" s="383">
        <f t="shared" ref="E49" si="21">+D49*1.06</f>
        <v>35870.400000000001</v>
      </c>
      <c r="F49" s="384">
        <f t="shared" ref="F49" si="22">C49</f>
        <v>36000</v>
      </c>
    </row>
    <row r="50" spans="1:6" s="116" customFormat="1" ht="18" customHeight="1" x14ac:dyDescent="0.15">
      <c r="A50" s="115" t="s">
        <v>321</v>
      </c>
      <c r="B50" s="382" t="s">
        <v>127</v>
      </c>
      <c r="C50" s="383">
        <v>4500</v>
      </c>
      <c r="D50" s="383">
        <f t="shared" si="1"/>
        <v>4230</v>
      </c>
      <c r="E50" s="383">
        <f t="shared" si="2"/>
        <v>4483.8</v>
      </c>
      <c r="F50" s="384">
        <f t="shared" ref="F50" si="23">C50</f>
        <v>4500</v>
      </c>
    </row>
    <row r="51" spans="1:6" s="116" customFormat="1" ht="18" customHeight="1" x14ac:dyDescent="0.15">
      <c r="A51" s="115" t="s">
        <v>687</v>
      </c>
      <c r="B51" s="382" t="s">
        <v>127</v>
      </c>
      <c r="C51" s="383">
        <v>2800</v>
      </c>
      <c r="D51" s="383">
        <f t="shared" ref="D51" si="24">C51*0.94</f>
        <v>2632</v>
      </c>
      <c r="E51" s="383">
        <f t="shared" ref="E51" si="25">+D51*1.06</f>
        <v>2789.92</v>
      </c>
      <c r="F51" s="384">
        <f t="shared" ref="F51" si="26">C51</f>
        <v>2800</v>
      </c>
    </row>
    <row r="52" spans="1:6" s="116" customFormat="1" ht="18" customHeight="1" x14ac:dyDescent="0.15">
      <c r="A52" s="115" t="s">
        <v>322</v>
      </c>
      <c r="B52" s="382" t="s">
        <v>5</v>
      </c>
      <c r="C52" s="383">
        <v>4500</v>
      </c>
      <c r="D52" s="383">
        <f t="shared" si="1"/>
        <v>4230</v>
      </c>
      <c r="E52" s="383">
        <f t="shared" si="2"/>
        <v>4483.8</v>
      </c>
      <c r="F52" s="384">
        <f t="shared" ref="F52" si="27">C52</f>
        <v>4500</v>
      </c>
    </row>
    <row r="53" spans="1:6" s="116" customFormat="1" ht="18" customHeight="1" x14ac:dyDescent="0.15">
      <c r="A53" s="115" t="s">
        <v>323</v>
      </c>
      <c r="B53" s="382" t="s">
        <v>103</v>
      </c>
      <c r="C53" s="383">
        <v>135600</v>
      </c>
      <c r="D53" s="383">
        <f t="shared" si="1"/>
        <v>127464</v>
      </c>
      <c r="E53" s="383">
        <f t="shared" si="2"/>
        <v>135111.84</v>
      </c>
      <c r="F53" s="384">
        <f t="shared" ref="F53" si="28">C53</f>
        <v>135600</v>
      </c>
    </row>
    <row r="54" spans="1:6" s="116" customFormat="1" ht="18" customHeight="1" x14ac:dyDescent="0.15">
      <c r="A54" s="115" t="s">
        <v>328</v>
      </c>
      <c r="B54" s="382" t="s">
        <v>103</v>
      </c>
      <c r="C54" s="383">
        <v>274400</v>
      </c>
      <c r="D54" s="383">
        <f t="shared" si="1"/>
        <v>257935.99999999997</v>
      </c>
      <c r="E54" s="383">
        <f t="shared" si="2"/>
        <v>273412.15999999997</v>
      </c>
      <c r="F54" s="384">
        <f t="shared" ref="F54" si="29">C54</f>
        <v>274400</v>
      </c>
    </row>
    <row r="55" spans="1:6" s="116" customFormat="1" ht="18" customHeight="1" x14ac:dyDescent="0.15">
      <c r="A55" s="115" t="s">
        <v>502</v>
      </c>
      <c r="B55" s="382" t="s">
        <v>73</v>
      </c>
      <c r="C55" s="383">
        <v>78000</v>
      </c>
      <c r="D55" s="383">
        <f t="shared" ref="D55" si="30">C55*0.94</f>
        <v>73320</v>
      </c>
      <c r="E55" s="383">
        <f t="shared" ref="E55" si="31">+D55*1.06</f>
        <v>77719.199999999997</v>
      </c>
      <c r="F55" s="384">
        <f t="shared" ref="F55" si="32">C55</f>
        <v>78000</v>
      </c>
    </row>
    <row r="56" spans="1:6" s="116" customFormat="1" ht="18" customHeight="1" x14ac:dyDescent="0.15">
      <c r="A56" s="115" t="s">
        <v>503</v>
      </c>
      <c r="B56" s="382" t="s">
        <v>73</v>
      </c>
      <c r="C56" s="383">
        <f>(57000*1.35)*1</f>
        <v>76950</v>
      </c>
      <c r="D56" s="383">
        <f t="shared" ref="D56" si="33">C56*0.94</f>
        <v>72333</v>
      </c>
      <c r="E56" s="383">
        <f t="shared" ref="E56" si="34">+D56*1.06</f>
        <v>76672.98000000001</v>
      </c>
      <c r="F56" s="384">
        <f t="shared" ref="F56" si="35">C56</f>
        <v>76950</v>
      </c>
    </row>
    <row r="57" spans="1:6" s="116" customFormat="1" ht="18" customHeight="1" x14ac:dyDescent="0.15">
      <c r="A57" s="115" t="s">
        <v>507</v>
      </c>
      <c r="B57" s="382" t="s">
        <v>5</v>
      </c>
      <c r="C57" s="383">
        <v>91000</v>
      </c>
      <c r="D57" s="383">
        <f t="shared" ref="D57" si="36">C57*0.94</f>
        <v>85540</v>
      </c>
      <c r="E57" s="383">
        <f t="shared" ref="E57" si="37">+D57*1.06</f>
        <v>90672.400000000009</v>
      </c>
      <c r="F57" s="384">
        <f t="shared" ref="F57" si="38">C57</f>
        <v>91000</v>
      </c>
    </row>
    <row r="58" spans="1:6" s="116" customFormat="1" ht="18" customHeight="1" x14ac:dyDescent="0.15">
      <c r="A58" s="115" t="s">
        <v>506</v>
      </c>
      <c r="B58" s="382" t="s">
        <v>5</v>
      </c>
      <c r="C58" s="383">
        <f>292200*1.15</f>
        <v>336030</v>
      </c>
      <c r="D58" s="383">
        <f t="shared" ref="D58" si="39">C58*0.94</f>
        <v>315868.19999999995</v>
      </c>
      <c r="E58" s="383">
        <f t="shared" ref="E58" si="40">+D58*1.06</f>
        <v>334820.29199999996</v>
      </c>
      <c r="F58" s="384">
        <f t="shared" ref="F58" si="41">C58</f>
        <v>336030</v>
      </c>
    </row>
    <row r="59" spans="1:6" s="116" customFormat="1" ht="18" customHeight="1" x14ac:dyDescent="0.15">
      <c r="A59" s="115" t="s">
        <v>504</v>
      </c>
      <c r="B59" s="382" t="s">
        <v>103</v>
      </c>
      <c r="C59" s="383">
        <f>68000*1.35</f>
        <v>91800</v>
      </c>
      <c r="D59" s="383">
        <f t="shared" ref="D59" si="42">C59*0.94</f>
        <v>86292</v>
      </c>
      <c r="E59" s="383">
        <f t="shared" ref="E59" si="43">+D59*1.06</f>
        <v>91469.52</v>
      </c>
      <c r="F59" s="384">
        <f t="shared" ref="F59" si="44">C59</f>
        <v>91800</v>
      </c>
    </row>
    <row r="60" spans="1:6" s="116" customFormat="1" ht="18" customHeight="1" x14ac:dyDescent="0.15">
      <c r="A60" s="115" t="s">
        <v>329</v>
      </c>
      <c r="B60" s="382" t="s">
        <v>73</v>
      </c>
      <c r="C60" s="383">
        <v>25000</v>
      </c>
      <c r="D60" s="383">
        <f t="shared" ref="D60:D62" si="45">C60*0.94</f>
        <v>23500</v>
      </c>
      <c r="E60" s="383">
        <f t="shared" ref="E60:E62" si="46">+D60*1.06</f>
        <v>24910</v>
      </c>
      <c r="F60" s="384">
        <f t="shared" ref="F60:F62" si="47">C60</f>
        <v>25000</v>
      </c>
    </row>
    <row r="61" spans="1:6" s="116" customFormat="1" ht="18" customHeight="1" x14ac:dyDescent="0.15">
      <c r="A61" s="115" t="s">
        <v>330</v>
      </c>
      <c r="B61" s="382" t="s">
        <v>193</v>
      </c>
      <c r="C61" s="383">
        <v>13500</v>
      </c>
      <c r="D61" s="383">
        <f t="shared" si="45"/>
        <v>12690</v>
      </c>
      <c r="E61" s="383">
        <f t="shared" si="46"/>
        <v>13451.400000000001</v>
      </c>
      <c r="F61" s="384">
        <f t="shared" si="47"/>
        <v>13500</v>
      </c>
    </row>
    <row r="62" spans="1:6" s="116" customFormat="1" ht="18" customHeight="1" x14ac:dyDescent="0.15">
      <c r="A62" s="115" t="s">
        <v>505</v>
      </c>
      <c r="B62" s="382" t="s">
        <v>73</v>
      </c>
      <c r="C62" s="383">
        <v>3500</v>
      </c>
      <c r="D62" s="383">
        <f t="shared" si="45"/>
        <v>3290</v>
      </c>
      <c r="E62" s="383">
        <f t="shared" si="46"/>
        <v>3487.4</v>
      </c>
      <c r="F62" s="384">
        <f t="shared" si="47"/>
        <v>3500</v>
      </c>
    </row>
    <row r="63" spans="1:6" s="116" customFormat="1" ht="18" customHeight="1" x14ac:dyDescent="0.15">
      <c r="A63" s="115" t="s">
        <v>275</v>
      </c>
      <c r="B63" s="382" t="s">
        <v>193</v>
      </c>
      <c r="C63" s="383">
        <v>4176</v>
      </c>
      <c r="D63" s="383">
        <f t="shared" ref="D63:D65" si="48">C63*0.94</f>
        <v>3925.4399999999996</v>
      </c>
      <c r="E63" s="383">
        <f t="shared" ref="E63:E65" si="49">+D63*1.06</f>
        <v>4160.9663999999993</v>
      </c>
      <c r="F63" s="384">
        <f t="shared" ref="F63:F65" si="50">C63</f>
        <v>4176</v>
      </c>
    </row>
    <row r="64" spans="1:6" s="116" customFormat="1" ht="18" customHeight="1" x14ac:dyDescent="0.15">
      <c r="A64" s="115" t="s">
        <v>276</v>
      </c>
      <c r="B64" s="382" t="s">
        <v>73</v>
      </c>
      <c r="C64" s="383">
        <v>1330</v>
      </c>
      <c r="D64" s="383">
        <f t="shared" si="48"/>
        <v>1250.1999999999998</v>
      </c>
      <c r="E64" s="383">
        <f t="shared" si="49"/>
        <v>1325.2119999999998</v>
      </c>
      <c r="F64" s="384">
        <f t="shared" si="50"/>
        <v>1330</v>
      </c>
    </row>
    <row r="65" spans="1:6" s="116" customFormat="1" ht="18" customHeight="1" x14ac:dyDescent="0.15">
      <c r="A65" s="115" t="s">
        <v>277</v>
      </c>
      <c r="B65" s="382" t="s">
        <v>73</v>
      </c>
      <c r="C65" s="383">
        <v>2520</v>
      </c>
      <c r="D65" s="383">
        <f t="shared" si="48"/>
        <v>2368.7999999999997</v>
      </c>
      <c r="E65" s="383">
        <f t="shared" si="49"/>
        <v>2510.9279999999999</v>
      </c>
      <c r="F65" s="384">
        <f t="shared" si="50"/>
        <v>2520</v>
      </c>
    </row>
    <row r="66" spans="1:6" s="116" customFormat="1" ht="18" customHeight="1" x14ac:dyDescent="0.15">
      <c r="A66" s="115" t="s">
        <v>164</v>
      </c>
      <c r="B66" s="382" t="s">
        <v>73</v>
      </c>
      <c r="C66" s="383">
        <v>3700</v>
      </c>
      <c r="D66" s="383">
        <f>C66*0.94</f>
        <v>3478</v>
      </c>
      <c r="E66" s="383">
        <f>+D66*1.06</f>
        <v>3686.6800000000003</v>
      </c>
      <c r="F66" s="384">
        <f>C66</f>
        <v>3700</v>
      </c>
    </row>
    <row r="67" spans="1:6" s="116" customFormat="1" ht="18" customHeight="1" x14ac:dyDescent="0.15">
      <c r="A67" s="115" t="s">
        <v>278</v>
      </c>
      <c r="B67" s="382" t="s">
        <v>73</v>
      </c>
      <c r="C67" s="383">
        <v>16300</v>
      </c>
      <c r="D67" s="383">
        <f t="shared" ref="D67" si="51">C67*0.94</f>
        <v>15322</v>
      </c>
      <c r="E67" s="383">
        <f t="shared" ref="E67" si="52">+D67*1.06</f>
        <v>16241.320000000002</v>
      </c>
      <c r="F67" s="384">
        <f t="shared" ref="F67" si="53">C67</f>
        <v>16300</v>
      </c>
    </row>
    <row r="68" spans="1:6" s="116" customFormat="1" ht="18" customHeight="1" x14ac:dyDescent="0.15">
      <c r="A68" s="115" t="s">
        <v>282</v>
      </c>
      <c r="B68" s="382" t="s">
        <v>193</v>
      </c>
      <c r="C68" s="383">
        <v>13200</v>
      </c>
      <c r="D68" s="383">
        <f t="shared" ref="D68:D70" si="54">C68*0.94</f>
        <v>12408</v>
      </c>
      <c r="E68" s="383">
        <f t="shared" ref="E68:E70" si="55">+D68*1.06</f>
        <v>13152.480000000001</v>
      </c>
      <c r="F68" s="384">
        <f t="shared" ref="F68:F70" si="56">C68</f>
        <v>13200</v>
      </c>
    </row>
    <row r="69" spans="1:6" s="116" customFormat="1" ht="18" customHeight="1" x14ac:dyDescent="0.15">
      <c r="A69" s="115" t="s">
        <v>283</v>
      </c>
      <c r="B69" s="382" t="s">
        <v>73</v>
      </c>
      <c r="C69" s="383">
        <v>5460</v>
      </c>
      <c r="D69" s="383">
        <f t="shared" si="54"/>
        <v>5132.3999999999996</v>
      </c>
      <c r="E69" s="383">
        <f t="shared" si="55"/>
        <v>5440.3440000000001</v>
      </c>
      <c r="F69" s="384">
        <f t="shared" si="56"/>
        <v>5460</v>
      </c>
    </row>
    <row r="70" spans="1:6" s="116" customFormat="1" ht="18" customHeight="1" x14ac:dyDescent="0.15">
      <c r="A70" s="115" t="s">
        <v>284</v>
      </c>
      <c r="B70" s="382" t="s">
        <v>73</v>
      </c>
      <c r="C70" s="383">
        <v>5250</v>
      </c>
      <c r="D70" s="383">
        <f t="shared" si="54"/>
        <v>4935</v>
      </c>
      <c r="E70" s="383">
        <f t="shared" si="55"/>
        <v>5231.1000000000004</v>
      </c>
      <c r="F70" s="384">
        <f t="shared" si="56"/>
        <v>5250</v>
      </c>
    </row>
    <row r="71" spans="1:6" s="116" customFormat="1" ht="18" customHeight="1" x14ac:dyDescent="0.15">
      <c r="A71" s="115" t="s">
        <v>279</v>
      </c>
      <c r="B71" s="382" t="s">
        <v>193</v>
      </c>
      <c r="C71" s="383">
        <v>5350</v>
      </c>
      <c r="D71" s="383">
        <f t="shared" ref="D71:D73" si="57">C71*0.94</f>
        <v>5029</v>
      </c>
      <c r="E71" s="383">
        <f t="shared" ref="E71:E73" si="58">+D71*1.06</f>
        <v>5330.7400000000007</v>
      </c>
      <c r="F71" s="384">
        <f t="shared" ref="F71:F73" si="59">C71</f>
        <v>5350</v>
      </c>
    </row>
    <row r="72" spans="1:6" s="116" customFormat="1" ht="18" customHeight="1" x14ac:dyDescent="0.15">
      <c r="A72" s="115" t="s">
        <v>280</v>
      </c>
      <c r="B72" s="382" t="s">
        <v>73</v>
      </c>
      <c r="C72" s="383">
        <f>1330*1.5</f>
        <v>1995</v>
      </c>
      <c r="D72" s="383">
        <f t="shared" si="57"/>
        <v>1875.3</v>
      </c>
      <c r="E72" s="383">
        <f t="shared" si="58"/>
        <v>1987.818</v>
      </c>
      <c r="F72" s="384">
        <f t="shared" si="59"/>
        <v>1995</v>
      </c>
    </row>
    <row r="73" spans="1:6" s="116" customFormat="1" ht="18" customHeight="1" x14ac:dyDescent="0.15">
      <c r="A73" s="115" t="s">
        <v>281</v>
      </c>
      <c r="B73" s="382" t="s">
        <v>73</v>
      </c>
      <c r="C73" s="383">
        <f>2520*1.5</f>
        <v>3780</v>
      </c>
      <c r="D73" s="383">
        <f t="shared" si="57"/>
        <v>3553.2</v>
      </c>
      <c r="E73" s="383">
        <f t="shared" si="58"/>
        <v>3766.3919999999998</v>
      </c>
      <c r="F73" s="384">
        <f t="shared" si="59"/>
        <v>3780</v>
      </c>
    </row>
    <row r="74" spans="1:6" s="116" customFormat="1" ht="18" customHeight="1" x14ac:dyDescent="0.15">
      <c r="A74" s="115" t="s">
        <v>287</v>
      </c>
      <c r="B74" s="382" t="s">
        <v>193</v>
      </c>
      <c r="C74" s="383">
        <v>7210</v>
      </c>
      <c r="D74" s="383">
        <f t="shared" ref="D74:D76" si="60">C74*0.94</f>
        <v>6777.4</v>
      </c>
      <c r="E74" s="383">
        <f t="shared" ref="E74:E76" si="61">+D74*1.06</f>
        <v>7184.0439999999999</v>
      </c>
      <c r="F74" s="384">
        <f t="shared" ref="F74:F76" si="62">C74</f>
        <v>7210</v>
      </c>
    </row>
    <row r="75" spans="1:6" s="116" customFormat="1" ht="18" customHeight="1" x14ac:dyDescent="0.15">
      <c r="A75" s="115" t="s">
        <v>331</v>
      </c>
      <c r="B75" s="382" t="s">
        <v>73</v>
      </c>
      <c r="C75" s="383">
        <v>2700</v>
      </c>
      <c r="D75" s="383">
        <f t="shared" si="60"/>
        <v>2538</v>
      </c>
      <c r="E75" s="383">
        <f t="shared" si="61"/>
        <v>2690.28</v>
      </c>
      <c r="F75" s="384">
        <f t="shared" si="62"/>
        <v>2700</v>
      </c>
    </row>
    <row r="76" spans="1:6" s="116" customFormat="1" ht="18" customHeight="1" x14ac:dyDescent="0.15">
      <c r="A76" s="115" t="s">
        <v>332</v>
      </c>
      <c r="B76" s="382" t="s">
        <v>73</v>
      </c>
      <c r="C76" s="383">
        <v>5400</v>
      </c>
      <c r="D76" s="383">
        <f t="shared" si="60"/>
        <v>5076</v>
      </c>
      <c r="E76" s="383">
        <f t="shared" si="61"/>
        <v>5380.56</v>
      </c>
      <c r="F76" s="384">
        <f t="shared" si="62"/>
        <v>5400</v>
      </c>
    </row>
    <row r="77" spans="1:6" s="116" customFormat="1" ht="18" customHeight="1" x14ac:dyDescent="0.15">
      <c r="A77" s="115" t="s">
        <v>920</v>
      </c>
      <c r="B77" s="382" t="s">
        <v>193</v>
      </c>
      <c r="C77" s="383">
        <v>650000</v>
      </c>
      <c r="D77" s="383">
        <f t="shared" ref="D77:D81" si="63">C77*0.94</f>
        <v>611000</v>
      </c>
      <c r="E77" s="383">
        <f t="shared" ref="E77:E81" si="64">+D77*1.06</f>
        <v>647660</v>
      </c>
      <c r="F77" s="384">
        <f t="shared" ref="F77:F81" si="65">C77</f>
        <v>650000</v>
      </c>
    </row>
    <row r="78" spans="1:6" s="116" customFormat="1" ht="18" customHeight="1" x14ac:dyDescent="0.15">
      <c r="A78" s="115" t="s">
        <v>285</v>
      </c>
      <c r="B78" s="382" t="s">
        <v>193</v>
      </c>
      <c r="C78" s="383">
        <v>420000</v>
      </c>
      <c r="D78" s="383">
        <f t="shared" ref="D78" si="66">C78*0.94</f>
        <v>394800</v>
      </c>
      <c r="E78" s="383">
        <f t="shared" ref="E78" si="67">+D78*1.06</f>
        <v>418488</v>
      </c>
      <c r="F78" s="384">
        <f t="shared" ref="F78" si="68">C78</f>
        <v>420000</v>
      </c>
    </row>
    <row r="79" spans="1:6" s="116" customFormat="1" ht="18" customHeight="1" x14ac:dyDescent="0.15">
      <c r="A79" s="115" t="s">
        <v>286</v>
      </c>
      <c r="B79" s="382" t="s">
        <v>73</v>
      </c>
      <c r="C79" s="383">
        <f>78900*1.3</f>
        <v>102570</v>
      </c>
      <c r="D79" s="383">
        <f t="shared" si="63"/>
        <v>96415.799999999988</v>
      </c>
      <c r="E79" s="383">
        <f t="shared" si="64"/>
        <v>102200.74799999999</v>
      </c>
      <c r="F79" s="384">
        <f t="shared" si="65"/>
        <v>102570</v>
      </c>
    </row>
    <row r="80" spans="1:6" s="116" customFormat="1" ht="18" customHeight="1" x14ac:dyDescent="0.15">
      <c r="A80" s="115" t="s">
        <v>288</v>
      </c>
      <c r="B80" s="382" t="s">
        <v>73</v>
      </c>
      <c r="C80" s="383">
        <v>13800</v>
      </c>
      <c r="D80" s="383">
        <f t="shared" si="63"/>
        <v>12972</v>
      </c>
      <c r="E80" s="383">
        <f t="shared" si="64"/>
        <v>13750.320000000002</v>
      </c>
      <c r="F80" s="384">
        <f t="shared" si="65"/>
        <v>13800</v>
      </c>
    </row>
    <row r="81" spans="1:6" s="116" customFormat="1" ht="18" customHeight="1" x14ac:dyDescent="0.15">
      <c r="A81" s="115" t="s">
        <v>289</v>
      </c>
      <c r="B81" s="382" t="s">
        <v>73</v>
      </c>
      <c r="C81" s="383">
        <v>19600</v>
      </c>
      <c r="D81" s="383">
        <f t="shared" si="63"/>
        <v>18424</v>
      </c>
      <c r="E81" s="383">
        <f t="shared" si="64"/>
        <v>19529.440000000002</v>
      </c>
      <c r="F81" s="384">
        <f t="shared" si="65"/>
        <v>19600</v>
      </c>
    </row>
    <row r="82" spans="1:6" s="116" customFormat="1" ht="47.25" customHeight="1" x14ac:dyDescent="0.15">
      <c r="A82" s="385" t="s">
        <v>290</v>
      </c>
      <c r="B82" s="382" t="s">
        <v>73</v>
      </c>
      <c r="C82" s="383">
        <f>94400*1.5</f>
        <v>141600</v>
      </c>
      <c r="D82" s="383">
        <f t="shared" ref="D82:D83" si="69">C82*0.94</f>
        <v>133104</v>
      </c>
      <c r="E82" s="383">
        <f t="shared" ref="E82:E83" si="70">+D82*1.06</f>
        <v>141090.24000000002</v>
      </c>
      <c r="F82" s="384">
        <f t="shared" ref="F82:F83" si="71">C82</f>
        <v>141600</v>
      </c>
    </row>
    <row r="83" spans="1:6" s="116" customFormat="1" ht="18" customHeight="1" x14ac:dyDescent="0.15">
      <c r="A83" s="115" t="s">
        <v>291</v>
      </c>
      <c r="B83" s="382" t="s">
        <v>73</v>
      </c>
      <c r="C83" s="383">
        <f>56300*1.5</f>
        <v>84450</v>
      </c>
      <c r="D83" s="383">
        <f t="shared" si="69"/>
        <v>79383</v>
      </c>
      <c r="E83" s="383">
        <f t="shared" si="70"/>
        <v>84145.98000000001</v>
      </c>
      <c r="F83" s="384">
        <f t="shared" si="71"/>
        <v>84450</v>
      </c>
    </row>
    <row r="84" spans="1:6" s="116" customFormat="1" ht="18" customHeight="1" x14ac:dyDescent="0.15">
      <c r="A84" s="115" t="s">
        <v>927</v>
      </c>
      <c r="B84" s="382" t="s">
        <v>73</v>
      </c>
      <c r="C84" s="383">
        <f>450000*1.5</f>
        <v>675000</v>
      </c>
      <c r="D84" s="383">
        <f t="shared" ref="D84" si="72">C84*0.94</f>
        <v>634500</v>
      </c>
      <c r="E84" s="383">
        <f t="shared" ref="E84" si="73">+D84*1.06</f>
        <v>672570</v>
      </c>
      <c r="F84" s="384">
        <f t="shared" ref="F84" si="74">C84</f>
        <v>675000</v>
      </c>
    </row>
    <row r="85" spans="1:6" s="116" customFormat="1" ht="18" customHeight="1" x14ac:dyDescent="0.15">
      <c r="A85" s="115" t="s">
        <v>292</v>
      </c>
      <c r="B85" s="382" t="s">
        <v>193</v>
      </c>
      <c r="C85" s="383">
        <v>11650</v>
      </c>
      <c r="D85" s="383">
        <f t="shared" ref="D85:D89" si="75">C85*0.94</f>
        <v>10951</v>
      </c>
      <c r="E85" s="383">
        <f t="shared" ref="E85:E89" si="76">+D85*1.06</f>
        <v>11608.060000000001</v>
      </c>
      <c r="F85" s="384">
        <f t="shared" ref="F85:F89" si="77">C85</f>
        <v>11650</v>
      </c>
    </row>
    <row r="86" spans="1:6" s="116" customFormat="1" ht="18" customHeight="1" x14ac:dyDescent="0.15">
      <c r="A86" s="115" t="s">
        <v>293</v>
      </c>
      <c r="B86" s="382" t="s">
        <v>73</v>
      </c>
      <c r="C86" s="383">
        <v>4050</v>
      </c>
      <c r="D86" s="383">
        <f t="shared" si="75"/>
        <v>3807</v>
      </c>
      <c r="E86" s="383">
        <f t="shared" si="76"/>
        <v>4035.42</v>
      </c>
      <c r="F86" s="384">
        <f t="shared" si="77"/>
        <v>4050</v>
      </c>
    </row>
    <row r="87" spans="1:6" s="116" customFormat="1" ht="18" customHeight="1" x14ac:dyDescent="0.15">
      <c r="A87" s="115" t="s">
        <v>294</v>
      </c>
      <c r="B87" s="382" t="s">
        <v>73</v>
      </c>
      <c r="C87" s="383">
        <v>3990</v>
      </c>
      <c r="D87" s="383">
        <f t="shared" si="75"/>
        <v>3750.6</v>
      </c>
      <c r="E87" s="383">
        <f t="shared" si="76"/>
        <v>3975.636</v>
      </c>
      <c r="F87" s="384">
        <f t="shared" si="77"/>
        <v>3990</v>
      </c>
    </row>
    <row r="88" spans="1:6" s="116" customFormat="1" ht="18" customHeight="1" x14ac:dyDescent="0.15">
      <c r="A88" s="115" t="s">
        <v>295</v>
      </c>
      <c r="B88" s="382" t="s">
        <v>73</v>
      </c>
      <c r="C88" s="383">
        <v>2086</v>
      </c>
      <c r="D88" s="383">
        <f t="shared" si="75"/>
        <v>1960.84</v>
      </c>
      <c r="E88" s="383">
        <f t="shared" si="76"/>
        <v>2078.4904000000001</v>
      </c>
      <c r="F88" s="384">
        <f t="shared" si="77"/>
        <v>2086</v>
      </c>
    </row>
    <row r="89" spans="1:6" s="116" customFormat="1" ht="18" customHeight="1" x14ac:dyDescent="0.15">
      <c r="A89" s="115" t="s">
        <v>296</v>
      </c>
      <c r="B89" s="382" t="s">
        <v>73</v>
      </c>
      <c r="C89" s="383">
        <v>12460</v>
      </c>
      <c r="D89" s="383">
        <f t="shared" si="75"/>
        <v>11712.4</v>
      </c>
      <c r="E89" s="383">
        <f t="shared" si="76"/>
        <v>12415.144</v>
      </c>
      <c r="F89" s="384">
        <f t="shared" si="77"/>
        <v>12460</v>
      </c>
    </row>
    <row r="90" spans="1:6" s="116" customFormat="1" ht="18" customHeight="1" x14ac:dyDescent="0.15">
      <c r="A90" s="115" t="s">
        <v>297</v>
      </c>
      <c r="B90" s="382" t="s">
        <v>193</v>
      </c>
      <c r="C90" s="383">
        <v>17500</v>
      </c>
      <c r="D90" s="383">
        <f t="shared" ref="D90:D96" si="78">C90*0.94</f>
        <v>16450</v>
      </c>
      <c r="E90" s="383">
        <f t="shared" ref="E90:E96" si="79">+D90*1.06</f>
        <v>17437</v>
      </c>
      <c r="F90" s="384">
        <f t="shared" ref="F90:F96" si="80">C90</f>
        <v>17500</v>
      </c>
    </row>
    <row r="91" spans="1:6" s="116" customFormat="1" ht="18" customHeight="1" x14ac:dyDescent="0.15">
      <c r="A91" s="115" t="s">
        <v>298</v>
      </c>
      <c r="B91" s="382" t="s">
        <v>73</v>
      </c>
      <c r="C91" s="383">
        <v>8120</v>
      </c>
      <c r="D91" s="383">
        <f t="shared" si="78"/>
        <v>7632.7999999999993</v>
      </c>
      <c r="E91" s="383">
        <f t="shared" si="79"/>
        <v>8090.768</v>
      </c>
      <c r="F91" s="384">
        <f t="shared" si="80"/>
        <v>8120</v>
      </c>
    </row>
    <row r="92" spans="1:6" s="116" customFormat="1" ht="18" customHeight="1" x14ac:dyDescent="0.15">
      <c r="A92" s="115" t="s">
        <v>299</v>
      </c>
      <c r="B92" s="382" t="s">
        <v>73</v>
      </c>
      <c r="C92" s="383">
        <v>13860</v>
      </c>
      <c r="D92" s="383">
        <f t="shared" si="78"/>
        <v>13028.4</v>
      </c>
      <c r="E92" s="383">
        <f t="shared" si="79"/>
        <v>13810.104000000001</v>
      </c>
      <c r="F92" s="384">
        <f t="shared" si="80"/>
        <v>13860</v>
      </c>
    </row>
    <row r="93" spans="1:6" s="116" customFormat="1" ht="18" customHeight="1" x14ac:dyDescent="0.15">
      <c r="A93" s="115" t="s">
        <v>300</v>
      </c>
      <c r="B93" s="382" t="s">
        <v>73</v>
      </c>
      <c r="C93" s="383">
        <v>12880</v>
      </c>
      <c r="D93" s="383">
        <f t="shared" si="78"/>
        <v>12107.199999999999</v>
      </c>
      <c r="E93" s="383">
        <f t="shared" si="79"/>
        <v>12833.632</v>
      </c>
      <c r="F93" s="384">
        <f t="shared" si="80"/>
        <v>12880</v>
      </c>
    </row>
    <row r="94" spans="1:6" s="116" customFormat="1" ht="18" customHeight="1" x14ac:dyDescent="0.15">
      <c r="A94" s="115" t="s">
        <v>301</v>
      </c>
      <c r="B94" s="382" t="s">
        <v>73</v>
      </c>
      <c r="C94" s="383">
        <v>2660</v>
      </c>
      <c r="D94" s="383">
        <f t="shared" si="78"/>
        <v>2500.3999999999996</v>
      </c>
      <c r="E94" s="383">
        <f t="shared" si="79"/>
        <v>2650.4239999999995</v>
      </c>
      <c r="F94" s="384">
        <f t="shared" si="80"/>
        <v>2660</v>
      </c>
    </row>
    <row r="95" spans="1:6" s="116" customFormat="1" ht="18" customHeight="1" x14ac:dyDescent="0.15">
      <c r="A95" s="115" t="s">
        <v>302</v>
      </c>
      <c r="B95" s="382" t="s">
        <v>73</v>
      </c>
      <c r="C95" s="383">
        <v>19460</v>
      </c>
      <c r="D95" s="383">
        <f t="shared" si="78"/>
        <v>18292.399999999998</v>
      </c>
      <c r="E95" s="383">
        <f t="shared" si="79"/>
        <v>19389.944</v>
      </c>
      <c r="F95" s="384">
        <f t="shared" si="80"/>
        <v>19460</v>
      </c>
    </row>
    <row r="96" spans="1:6" s="116" customFormat="1" ht="18" customHeight="1" x14ac:dyDescent="0.15">
      <c r="A96" s="115" t="s">
        <v>303</v>
      </c>
      <c r="B96" s="382" t="s">
        <v>73</v>
      </c>
      <c r="C96" s="383">
        <v>22260</v>
      </c>
      <c r="D96" s="383">
        <f t="shared" si="78"/>
        <v>20924.399999999998</v>
      </c>
      <c r="E96" s="383">
        <f t="shared" si="79"/>
        <v>22179.863999999998</v>
      </c>
      <c r="F96" s="384">
        <f t="shared" si="80"/>
        <v>22260</v>
      </c>
    </row>
    <row r="97" spans="1:6" s="116" customFormat="1" ht="18" customHeight="1" x14ac:dyDescent="0.15">
      <c r="A97" s="115" t="s">
        <v>78</v>
      </c>
      <c r="B97" s="382" t="s">
        <v>193</v>
      </c>
      <c r="C97" s="383">
        <v>27510</v>
      </c>
      <c r="D97" s="383">
        <f t="shared" ref="D97:D101" si="81">C97*0.94</f>
        <v>25859.399999999998</v>
      </c>
      <c r="E97" s="383">
        <f t="shared" ref="E97:E101" si="82">+D97*1.06</f>
        <v>27410.964</v>
      </c>
      <c r="F97" s="384">
        <f t="shared" ref="F97:F101" si="83">C97</f>
        <v>27510</v>
      </c>
    </row>
    <row r="98" spans="1:6" s="116" customFormat="1" ht="18" customHeight="1" x14ac:dyDescent="0.15">
      <c r="A98" s="115" t="s">
        <v>173</v>
      </c>
      <c r="B98" s="382" t="s">
        <v>73</v>
      </c>
      <c r="C98" s="383">
        <v>14280</v>
      </c>
      <c r="D98" s="383">
        <f t="shared" si="81"/>
        <v>13423.199999999999</v>
      </c>
      <c r="E98" s="383">
        <f t="shared" si="82"/>
        <v>14228.591999999999</v>
      </c>
      <c r="F98" s="384">
        <f t="shared" si="83"/>
        <v>14280</v>
      </c>
    </row>
    <row r="99" spans="1:6" s="116" customFormat="1" ht="18" customHeight="1" x14ac:dyDescent="0.15">
      <c r="A99" s="115" t="s">
        <v>174</v>
      </c>
      <c r="B99" s="382" t="s">
        <v>73</v>
      </c>
      <c r="C99" s="383">
        <v>22260</v>
      </c>
      <c r="D99" s="383">
        <f t="shared" si="81"/>
        <v>20924.399999999998</v>
      </c>
      <c r="E99" s="383">
        <f t="shared" si="82"/>
        <v>22179.863999999998</v>
      </c>
      <c r="F99" s="384">
        <f t="shared" si="83"/>
        <v>22260</v>
      </c>
    </row>
    <row r="100" spans="1:6" s="116" customFormat="1" ht="18" customHeight="1" x14ac:dyDescent="0.15">
      <c r="A100" s="115" t="s">
        <v>175</v>
      </c>
      <c r="B100" s="382" t="s">
        <v>73</v>
      </c>
      <c r="C100" s="383">
        <v>39060</v>
      </c>
      <c r="D100" s="383">
        <f t="shared" si="81"/>
        <v>36716.400000000001</v>
      </c>
      <c r="E100" s="383">
        <f t="shared" si="82"/>
        <v>38919.384000000005</v>
      </c>
      <c r="F100" s="384">
        <f t="shared" si="83"/>
        <v>39060</v>
      </c>
    </row>
    <row r="101" spans="1:6" s="116" customFormat="1" ht="18" customHeight="1" x14ac:dyDescent="0.15">
      <c r="A101" s="115" t="s">
        <v>304</v>
      </c>
      <c r="B101" s="382" t="s">
        <v>73</v>
      </c>
      <c r="C101" s="383">
        <v>4480</v>
      </c>
      <c r="D101" s="383">
        <f t="shared" si="81"/>
        <v>4211.2</v>
      </c>
      <c r="E101" s="383">
        <f t="shared" si="82"/>
        <v>4463.8720000000003</v>
      </c>
      <c r="F101" s="384">
        <f t="shared" si="83"/>
        <v>4480</v>
      </c>
    </row>
    <row r="102" spans="1:6" s="116" customFormat="1" ht="18" customHeight="1" x14ac:dyDescent="0.15">
      <c r="A102" s="115" t="s">
        <v>254</v>
      </c>
      <c r="B102" s="382" t="s">
        <v>73</v>
      </c>
      <c r="C102" s="383">
        <v>135000</v>
      </c>
      <c r="D102" s="383">
        <f t="shared" ref="D102:D105" si="84">C102*0.94</f>
        <v>126900</v>
      </c>
      <c r="E102" s="383">
        <f t="shared" ref="E102:E105" si="85">+D102*1.06</f>
        <v>134514</v>
      </c>
      <c r="F102" s="384">
        <f t="shared" ref="F102:F105" si="86">C102</f>
        <v>135000</v>
      </c>
    </row>
    <row r="103" spans="1:6" s="116" customFormat="1" ht="18" customHeight="1" x14ac:dyDescent="0.15">
      <c r="A103" s="115" t="s">
        <v>256</v>
      </c>
      <c r="B103" s="382" t="s">
        <v>73</v>
      </c>
      <c r="C103" s="383">
        <v>406000</v>
      </c>
      <c r="D103" s="383">
        <f t="shared" si="84"/>
        <v>381640</v>
      </c>
      <c r="E103" s="383">
        <f t="shared" si="85"/>
        <v>404538.4</v>
      </c>
      <c r="F103" s="384">
        <f t="shared" si="86"/>
        <v>406000</v>
      </c>
    </row>
    <row r="104" spans="1:6" s="116" customFormat="1" ht="18" customHeight="1" x14ac:dyDescent="0.15">
      <c r="A104" s="115" t="s">
        <v>168</v>
      </c>
      <c r="B104" s="382" t="s">
        <v>73</v>
      </c>
      <c r="C104" s="383">
        <v>320000</v>
      </c>
      <c r="D104" s="383">
        <f t="shared" si="84"/>
        <v>300800</v>
      </c>
      <c r="E104" s="383">
        <f t="shared" si="85"/>
        <v>318848</v>
      </c>
      <c r="F104" s="384">
        <f t="shared" si="86"/>
        <v>320000</v>
      </c>
    </row>
    <row r="105" spans="1:6" s="116" customFormat="1" ht="18" customHeight="1" x14ac:dyDescent="0.15">
      <c r="A105" s="115" t="s">
        <v>255</v>
      </c>
      <c r="B105" s="382" t="s">
        <v>73</v>
      </c>
      <c r="C105" s="383">
        <v>99260</v>
      </c>
      <c r="D105" s="383">
        <f t="shared" si="84"/>
        <v>93304.4</v>
      </c>
      <c r="E105" s="383">
        <f t="shared" si="85"/>
        <v>98902.664000000004</v>
      </c>
      <c r="F105" s="384">
        <f t="shared" si="86"/>
        <v>99260</v>
      </c>
    </row>
    <row r="106" spans="1:6" s="116" customFormat="1" ht="18" customHeight="1" x14ac:dyDescent="0.15">
      <c r="A106" s="115" t="s">
        <v>74</v>
      </c>
      <c r="B106" s="382" t="s">
        <v>127</v>
      </c>
      <c r="C106" s="383">
        <v>24500</v>
      </c>
      <c r="D106" s="383">
        <f t="shared" ref="D106:D115" si="87">C106*0.94</f>
        <v>23030</v>
      </c>
      <c r="E106" s="383">
        <f t="shared" ref="E106:E115" si="88">+D106*1.06</f>
        <v>24411.800000000003</v>
      </c>
      <c r="F106" s="384">
        <f t="shared" ref="F106:F118" si="89">C106</f>
        <v>24500</v>
      </c>
    </row>
    <row r="107" spans="1:6" s="116" customFormat="1" ht="18" customHeight="1" x14ac:dyDescent="0.15">
      <c r="A107" s="115" t="s">
        <v>605</v>
      </c>
      <c r="B107" s="382" t="s">
        <v>103</v>
      </c>
      <c r="C107" s="383">
        <v>110500</v>
      </c>
      <c r="D107" s="383">
        <f t="shared" si="87"/>
        <v>103870</v>
      </c>
      <c r="E107" s="383">
        <f t="shared" si="88"/>
        <v>110102.20000000001</v>
      </c>
      <c r="F107" s="384">
        <f t="shared" si="89"/>
        <v>110500</v>
      </c>
    </row>
    <row r="108" spans="1:6" s="116" customFormat="1" ht="18" customHeight="1" x14ac:dyDescent="0.15">
      <c r="A108" s="115" t="s">
        <v>604</v>
      </c>
      <c r="B108" s="382" t="s">
        <v>103</v>
      </c>
      <c r="C108" s="383">
        <v>37700</v>
      </c>
      <c r="D108" s="383">
        <f t="shared" ref="D108" si="90">C108*0.94</f>
        <v>35438</v>
      </c>
      <c r="E108" s="383">
        <f t="shared" ref="E108" si="91">+D108*1.06</f>
        <v>37564.28</v>
      </c>
      <c r="F108" s="384">
        <f t="shared" ref="F108" si="92">C108</f>
        <v>37700</v>
      </c>
    </row>
    <row r="109" spans="1:6" s="116" customFormat="1" ht="18" customHeight="1" x14ac:dyDescent="0.15">
      <c r="A109" s="115" t="s">
        <v>75</v>
      </c>
      <c r="B109" s="382" t="s">
        <v>103</v>
      </c>
      <c r="C109" s="383">
        <v>82420</v>
      </c>
      <c r="D109" s="383">
        <f t="shared" si="87"/>
        <v>77474.799999999988</v>
      </c>
      <c r="E109" s="383">
        <f t="shared" si="88"/>
        <v>82123.287999999986</v>
      </c>
      <c r="F109" s="384">
        <f t="shared" si="89"/>
        <v>82420</v>
      </c>
    </row>
    <row r="110" spans="1:6" s="116" customFormat="1" ht="18" customHeight="1" x14ac:dyDescent="0.15">
      <c r="A110" s="115" t="s">
        <v>518</v>
      </c>
      <c r="B110" s="382" t="s">
        <v>103</v>
      </c>
      <c r="C110" s="383">
        <v>366520</v>
      </c>
      <c r="D110" s="383">
        <f t="shared" si="87"/>
        <v>344528.8</v>
      </c>
      <c r="E110" s="383">
        <f t="shared" si="88"/>
        <v>365200.52799999999</v>
      </c>
      <c r="F110" s="384">
        <f t="shared" ref="F110" si="93">C110</f>
        <v>366520</v>
      </c>
    </row>
    <row r="111" spans="1:6" s="116" customFormat="1" ht="18" customHeight="1" x14ac:dyDescent="0.15">
      <c r="A111" s="115" t="s">
        <v>308</v>
      </c>
      <c r="B111" s="382" t="s">
        <v>103</v>
      </c>
      <c r="C111" s="383">
        <v>60000</v>
      </c>
      <c r="D111" s="383">
        <f t="shared" si="87"/>
        <v>56400</v>
      </c>
      <c r="E111" s="383">
        <f t="shared" si="88"/>
        <v>59784</v>
      </c>
      <c r="F111" s="384">
        <f t="shared" si="89"/>
        <v>60000</v>
      </c>
    </row>
    <row r="112" spans="1:6" s="116" customFormat="1" ht="18" customHeight="1" x14ac:dyDescent="0.15">
      <c r="A112" s="115" t="s">
        <v>309</v>
      </c>
      <c r="B112" s="382" t="s">
        <v>73</v>
      </c>
      <c r="C112" s="383">
        <v>4500</v>
      </c>
      <c r="D112" s="383">
        <f t="shared" si="87"/>
        <v>4230</v>
      </c>
      <c r="E112" s="383">
        <f t="shared" si="88"/>
        <v>4483.8</v>
      </c>
      <c r="F112" s="384">
        <f t="shared" si="89"/>
        <v>4500</v>
      </c>
    </row>
    <row r="113" spans="1:13" s="116" customFormat="1" ht="18" customHeight="1" x14ac:dyDescent="0.15">
      <c r="A113" s="115" t="s">
        <v>1208</v>
      </c>
      <c r="B113" s="382" t="s">
        <v>73</v>
      </c>
      <c r="C113" s="383">
        <f>200000*1.35</f>
        <v>270000</v>
      </c>
      <c r="D113" s="383">
        <f t="shared" si="87"/>
        <v>253800</v>
      </c>
      <c r="E113" s="383">
        <f t="shared" si="88"/>
        <v>269028</v>
      </c>
      <c r="F113" s="384">
        <f t="shared" ref="F113" si="94">C113</f>
        <v>270000</v>
      </c>
    </row>
    <row r="114" spans="1:13" s="116" customFormat="1" ht="18" customHeight="1" x14ac:dyDescent="0.15">
      <c r="A114" s="115" t="s">
        <v>957</v>
      </c>
      <c r="B114" s="382" t="s">
        <v>73</v>
      </c>
      <c r="C114" s="383">
        <f>220000*1.35</f>
        <v>297000</v>
      </c>
      <c r="D114" s="383">
        <f t="shared" ref="D114" si="95">C114*0.94</f>
        <v>279180</v>
      </c>
      <c r="E114" s="383">
        <f t="shared" ref="E114" si="96">+D114*1.06</f>
        <v>295930.8</v>
      </c>
      <c r="F114" s="384">
        <f t="shared" si="89"/>
        <v>297000</v>
      </c>
    </row>
    <row r="115" spans="1:13" s="116" customFormat="1" ht="18" customHeight="1" x14ac:dyDescent="0.15">
      <c r="A115" s="115" t="s">
        <v>1204</v>
      </c>
      <c r="B115" s="382" t="s">
        <v>73</v>
      </c>
      <c r="C115" s="383">
        <f>280000*1.35</f>
        <v>378000</v>
      </c>
      <c r="D115" s="383">
        <f t="shared" si="87"/>
        <v>355320</v>
      </c>
      <c r="E115" s="383">
        <f t="shared" si="88"/>
        <v>376639.2</v>
      </c>
      <c r="F115" s="384">
        <f t="shared" ref="F115" si="97">C115</f>
        <v>378000</v>
      </c>
    </row>
    <row r="116" spans="1:13" s="116" customFormat="1" ht="18" customHeight="1" x14ac:dyDescent="0.15">
      <c r="A116" s="115" t="s">
        <v>310</v>
      </c>
      <c r="B116" s="382" t="s">
        <v>73</v>
      </c>
      <c r="C116" s="383">
        <v>78500</v>
      </c>
      <c r="D116" s="383">
        <f t="shared" ref="D116:D118" si="98">C116*0.94</f>
        <v>73790</v>
      </c>
      <c r="E116" s="383">
        <f t="shared" ref="E116:E118" si="99">+D116*1.06</f>
        <v>78217.400000000009</v>
      </c>
      <c r="F116" s="384">
        <f t="shared" si="89"/>
        <v>78500</v>
      </c>
    </row>
    <row r="117" spans="1:13" s="116" customFormat="1" ht="18" customHeight="1" x14ac:dyDescent="0.15">
      <c r="A117" s="115" t="s">
        <v>311</v>
      </c>
      <c r="B117" s="382" t="s">
        <v>193</v>
      </c>
      <c r="C117" s="383">
        <v>5800</v>
      </c>
      <c r="D117" s="383">
        <f t="shared" si="98"/>
        <v>5452</v>
      </c>
      <c r="E117" s="383">
        <f t="shared" si="99"/>
        <v>5779.12</v>
      </c>
      <c r="F117" s="384">
        <f t="shared" si="89"/>
        <v>5800</v>
      </c>
      <c r="M117" s="413"/>
    </row>
    <row r="118" spans="1:13" s="116" customFormat="1" ht="18" customHeight="1" x14ac:dyDescent="0.15">
      <c r="A118" s="115" t="s">
        <v>606</v>
      </c>
      <c r="B118" s="382" t="s">
        <v>73</v>
      </c>
      <c r="C118" s="383">
        <v>227000</v>
      </c>
      <c r="D118" s="383">
        <f t="shared" si="98"/>
        <v>213380</v>
      </c>
      <c r="E118" s="383">
        <f t="shared" si="99"/>
        <v>226182.80000000002</v>
      </c>
      <c r="F118" s="384">
        <f t="shared" si="89"/>
        <v>227000</v>
      </c>
      <c r="M118" s="413"/>
    </row>
    <row r="119" spans="1:13" s="116" customFormat="1" ht="18" customHeight="1" x14ac:dyDescent="0.15">
      <c r="A119" s="115" t="s">
        <v>305</v>
      </c>
      <c r="B119" s="382" t="s">
        <v>193</v>
      </c>
      <c r="C119" s="383">
        <v>8750</v>
      </c>
      <c r="D119" s="383">
        <f>C119*0.94</f>
        <v>8225</v>
      </c>
      <c r="E119" s="383">
        <f>+D119*1.06</f>
        <v>8718.5</v>
      </c>
      <c r="F119" s="384">
        <f>C119</f>
        <v>8750</v>
      </c>
    </row>
    <row r="120" spans="1:13" s="116" customFormat="1" ht="18" customHeight="1" x14ac:dyDescent="0.15">
      <c r="A120" s="115" t="s">
        <v>306</v>
      </c>
      <c r="B120" s="382" t="s">
        <v>193</v>
      </c>
      <c r="C120" s="383">
        <v>17650</v>
      </c>
      <c r="D120" s="383">
        <f>C120*0.94</f>
        <v>16591</v>
      </c>
      <c r="E120" s="383">
        <f>+D120*1.06</f>
        <v>17586.46</v>
      </c>
      <c r="F120" s="384">
        <f>C120</f>
        <v>17650</v>
      </c>
    </row>
    <row r="121" spans="1:13" s="116" customFormat="1" ht="18" customHeight="1" x14ac:dyDescent="0.15">
      <c r="A121" s="115" t="s">
        <v>307</v>
      </c>
      <c r="B121" s="382" t="s">
        <v>193</v>
      </c>
      <c r="C121" s="383">
        <v>27880</v>
      </c>
      <c r="D121" s="383">
        <f>C121*0.94</f>
        <v>26207.199999999997</v>
      </c>
      <c r="E121" s="383">
        <f>+D121*1.06</f>
        <v>27779.631999999998</v>
      </c>
      <c r="F121" s="384">
        <f>C121</f>
        <v>27880</v>
      </c>
    </row>
    <row r="122" spans="1:13" s="116" customFormat="1" ht="18" customHeight="1" x14ac:dyDescent="0.15">
      <c r="A122" s="115" t="s">
        <v>511</v>
      </c>
      <c r="B122" s="382" t="s">
        <v>193</v>
      </c>
      <c r="C122" s="383">
        <v>472579</v>
      </c>
      <c r="D122" s="383">
        <f t="shared" ref="D122:D124" si="100">C122*0.94</f>
        <v>444224.25999999995</v>
      </c>
      <c r="E122" s="383">
        <f t="shared" ref="E122:E124" si="101">+D122*1.06</f>
        <v>470877.7156</v>
      </c>
      <c r="F122" s="384">
        <f t="shared" ref="F122:F124" si="102">C122</f>
        <v>472579</v>
      </c>
      <c r="H122" s="179"/>
      <c r="I122" s="179"/>
    </row>
    <row r="123" spans="1:13" s="116" customFormat="1" ht="18" customHeight="1" x14ac:dyDescent="0.15">
      <c r="A123" s="115" t="s">
        <v>607</v>
      </c>
      <c r="B123" s="382" t="s">
        <v>193</v>
      </c>
      <c r="C123" s="383">
        <v>248707</v>
      </c>
      <c r="D123" s="383">
        <f t="shared" ref="D123" si="103">C123*0.94</f>
        <v>233784.58</v>
      </c>
      <c r="E123" s="383">
        <f t="shared" ref="E123" si="104">+D123*1.06</f>
        <v>247811.65479999999</v>
      </c>
      <c r="F123" s="384">
        <f t="shared" ref="F123" si="105">C123</f>
        <v>248707</v>
      </c>
    </row>
    <row r="124" spans="1:13" s="116" customFormat="1" ht="18" customHeight="1" x14ac:dyDescent="0.15">
      <c r="A124" s="115" t="s">
        <v>608</v>
      </c>
      <c r="B124" s="382" t="s">
        <v>7</v>
      </c>
      <c r="C124" s="383">
        <v>432400</v>
      </c>
      <c r="D124" s="383">
        <f t="shared" si="100"/>
        <v>406456</v>
      </c>
      <c r="E124" s="383">
        <f t="shared" si="101"/>
        <v>430843.36000000004</v>
      </c>
      <c r="F124" s="384">
        <f t="shared" si="102"/>
        <v>432400</v>
      </c>
      <c r="I124" s="414"/>
      <c r="L124" s="414"/>
    </row>
    <row r="125" spans="1:13" s="116" customFormat="1" ht="18" customHeight="1" x14ac:dyDescent="0.15">
      <c r="A125" s="115" t="s">
        <v>1433</v>
      </c>
      <c r="B125" s="382" t="s">
        <v>7</v>
      </c>
      <c r="C125" s="383">
        <v>262500</v>
      </c>
      <c r="D125" s="383">
        <f t="shared" ref="D125" si="106">C125*0.94</f>
        <v>246750</v>
      </c>
      <c r="E125" s="383">
        <f t="shared" ref="E125" si="107">+D125*1.06</f>
        <v>261555</v>
      </c>
      <c r="F125" s="384">
        <f t="shared" ref="F125" si="108">C125</f>
        <v>262500</v>
      </c>
      <c r="I125" s="414"/>
      <c r="L125" s="414"/>
    </row>
    <row r="126" spans="1:13" s="116" customFormat="1" ht="18" customHeight="1" x14ac:dyDescent="0.15">
      <c r="A126" s="115" t="s">
        <v>609</v>
      </c>
      <c r="B126" s="382" t="s">
        <v>501</v>
      </c>
      <c r="C126" s="383">
        <v>156600</v>
      </c>
      <c r="D126" s="383">
        <f t="shared" ref="D126" si="109">C126*0.94</f>
        <v>147204</v>
      </c>
      <c r="E126" s="383">
        <f t="shared" ref="E126" si="110">+D126*1.06</f>
        <v>156036.24000000002</v>
      </c>
      <c r="F126" s="384">
        <f t="shared" ref="F126" si="111">C126</f>
        <v>156600</v>
      </c>
    </row>
    <row r="127" spans="1:13" s="116" customFormat="1" ht="18" customHeight="1" x14ac:dyDescent="0.15">
      <c r="A127" s="115" t="s">
        <v>610</v>
      </c>
      <c r="B127" s="382" t="s">
        <v>501</v>
      </c>
      <c r="C127" s="383">
        <v>125280</v>
      </c>
      <c r="D127" s="383">
        <f t="shared" ref="D127:D128" si="112">C127*0.94</f>
        <v>117763.2</v>
      </c>
      <c r="E127" s="383">
        <f t="shared" ref="E127:E128" si="113">+D127*1.06</f>
        <v>124828.992</v>
      </c>
      <c r="F127" s="384">
        <f t="shared" ref="F127:F128" si="114">C127</f>
        <v>125280</v>
      </c>
    </row>
    <row r="128" spans="1:13" s="116" customFormat="1" ht="18" customHeight="1" x14ac:dyDescent="0.15">
      <c r="A128" s="115" t="s">
        <v>611</v>
      </c>
      <c r="B128" s="382" t="s">
        <v>501</v>
      </c>
      <c r="C128" s="383">
        <v>73900</v>
      </c>
      <c r="D128" s="383">
        <f t="shared" si="112"/>
        <v>69466</v>
      </c>
      <c r="E128" s="383">
        <f t="shared" si="113"/>
        <v>73633.960000000006</v>
      </c>
      <c r="F128" s="384">
        <f t="shared" si="114"/>
        <v>73900</v>
      </c>
    </row>
    <row r="129" spans="1:14" s="116" customFormat="1" ht="18" customHeight="1" x14ac:dyDescent="0.15">
      <c r="A129" s="115" t="s">
        <v>509</v>
      </c>
      <c r="B129" s="382" t="s">
        <v>7</v>
      </c>
      <c r="C129" s="383">
        <v>50259</v>
      </c>
      <c r="D129" s="383">
        <f t="shared" ref="D129:D131" si="115">C129*0.94</f>
        <v>47243.46</v>
      </c>
      <c r="E129" s="383">
        <f t="shared" ref="E129:E131" si="116">+D129*1.06</f>
        <v>50078.067600000002</v>
      </c>
      <c r="F129" s="384">
        <f t="shared" ref="F129:F131" si="117">C129</f>
        <v>50259</v>
      </c>
    </row>
    <row r="130" spans="1:14" s="116" customFormat="1" ht="18" customHeight="1" x14ac:dyDescent="0.15">
      <c r="A130" s="115" t="s">
        <v>636</v>
      </c>
      <c r="B130" s="382" t="s">
        <v>7</v>
      </c>
      <c r="C130" s="383">
        <v>26380</v>
      </c>
      <c r="D130" s="383">
        <f t="shared" ref="D130" si="118">C130*0.94</f>
        <v>24797.199999999997</v>
      </c>
      <c r="E130" s="383">
        <f t="shared" ref="E130" si="119">+D130*1.06</f>
        <v>26285.031999999999</v>
      </c>
      <c r="F130" s="384">
        <f t="shared" ref="F130" si="120">C130</f>
        <v>26380</v>
      </c>
    </row>
    <row r="131" spans="1:14" s="116" customFormat="1" ht="18" customHeight="1" x14ac:dyDescent="0.15">
      <c r="A131" s="115" t="s">
        <v>515</v>
      </c>
      <c r="B131" s="382" t="s">
        <v>193</v>
      </c>
      <c r="C131" s="383">
        <v>114360</v>
      </c>
      <c r="D131" s="383">
        <f t="shared" si="115"/>
        <v>107498.4</v>
      </c>
      <c r="E131" s="383">
        <f t="shared" si="116"/>
        <v>113948.304</v>
      </c>
      <c r="F131" s="384">
        <f t="shared" si="117"/>
        <v>114360</v>
      </c>
    </row>
    <row r="132" spans="1:14" s="116" customFormat="1" ht="18" customHeight="1" x14ac:dyDescent="0.15">
      <c r="A132" s="115" t="s">
        <v>538</v>
      </c>
      <c r="B132" s="382" t="s">
        <v>193</v>
      </c>
      <c r="C132" s="383">
        <v>86494</v>
      </c>
      <c r="D132" s="383">
        <f t="shared" ref="D132" si="121">C132*0.94</f>
        <v>81304.36</v>
      </c>
      <c r="E132" s="383">
        <f t="shared" ref="E132" si="122">+D132*1.06</f>
        <v>86182.621599999999</v>
      </c>
      <c r="F132" s="384">
        <f t="shared" ref="F132" si="123">C132</f>
        <v>86494</v>
      </c>
    </row>
    <row r="133" spans="1:14" s="116" customFormat="1" ht="18" customHeight="1" x14ac:dyDescent="0.15">
      <c r="A133" s="115" t="s">
        <v>516</v>
      </c>
      <c r="B133" s="382" t="s">
        <v>193</v>
      </c>
      <c r="C133" s="383">
        <v>87502</v>
      </c>
      <c r="D133" s="383">
        <f t="shared" ref="D133" si="124">C133*0.94</f>
        <v>82251.87999999999</v>
      </c>
      <c r="E133" s="383">
        <f t="shared" ref="E133" si="125">+D133*1.06</f>
        <v>87186.992799999993</v>
      </c>
      <c r="F133" s="384">
        <f t="shared" ref="F133" si="126">C133</f>
        <v>87502</v>
      </c>
    </row>
    <row r="134" spans="1:14" s="116" customFormat="1" ht="18" customHeight="1" x14ac:dyDescent="0.15">
      <c r="A134" s="115" t="s">
        <v>517</v>
      </c>
      <c r="B134" s="382" t="s">
        <v>193</v>
      </c>
      <c r="C134" s="383">
        <v>66395</v>
      </c>
      <c r="D134" s="383">
        <f t="shared" ref="D134" si="127">C134*0.94</f>
        <v>62411.299999999996</v>
      </c>
      <c r="E134" s="383">
        <f t="shared" ref="E134" si="128">+D134*1.06</f>
        <v>66155.978000000003</v>
      </c>
      <c r="F134" s="384">
        <f t="shared" ref="F134" si="129">C134</f>
        <v>66395</v>
      </c>
    </row>
    <row r="135" spans="1:14" s="116" customFormat="1" ht="18" customHeight="1" x14ac:dyDescent="0.15">
      <c r="A135" s="115" t="s">
        <v>612</v>
      </c>
      <c r="B135" s="382" t="s">
        <v>193</v>
      </c>
      <c r="C135" s="383">
        <v>56979</v>
      </c>
      <c r="D135" s="383">
        <f t="shared" ref="D135" si="130">C135*0.94</f>
        <v>53560.259999999995</v>
      </c>
      <c r="E135" s="383">
        <f t="shared" ref="E135" si="131">+D135*1.06</f>
        <v>56773.875599999999</v>
      </c>
      <c r="F135" s="384">
        <f t="shared" ref="F135" si="132">C135</f>
        <v>56979</v>
      </c>
    </row>
    <row r="136" spans="1:14" s="116" customFormat="1" ht="18" customHeight="1" x14ac:dyDescent="0.15">
      <c r="A136" s="115" t="s">
        <v>510</v>
      </c>
      <c r="B136" s="382" t="s">
        <v>193</v>
      </c>
      <c r="C136" s="383">
        <v>47650</v>
      </c>
      <c r="D136" s="383">
        <f t="shared" ref="D136" si="133">C136*0.94</f>
        <v>44791</v>
      </c>
      <c r="E136" s="383">
        <f t="shared" ref="E136" si="134">+D136*1.06</f>
        <v>47478.46</v>
      </c>
      <c r="F136" s="384">
        <f t="shared" ref="F136:F137" si="135">C136</f>
        <v>47650</v>
      </c>
    </row>
    <row r="137" spans="1:14" s="116" customFormat="1" ht="18" customHeight="1" x14ac:dyDescent="0.15">
      <c r="A137" s="115" t="s">
        <v>613</v>
      </c>
      <c r="B137" s="382" t="s">
        <v>193</v>
      </c>
      <c r="C137" s="383">
        <v>37300</v>
      </c>
      <c r="D137" s="383">
        <f>C137*0.94</f>
        <v>35062</v>
      </c>
      <c r="E137" s="383">
        <f>+D137*1.06</f>
        <v>37165.72</v>
      </c>
      <c r="F137" s="384">
        <f t="shared" si="135"/>
        <v>37300</v>
      </c>
    </row>
    <row r="138" spans="1:14" s="116" customFormat="1" ht="18" customHeight="1" x14ac:dyDescent="0.15">
      <c r="A138" s="115" t="s">
        <v>324</v>
      </c>
      <c r="B138" s="382" t="s">
        <v>193</v>
      </c>
      <c r="C138" s="383">
        <v>30125</v>
      </c>
      <c r="D138" s="383">
        <f>C138*0.94</f>
        <v>28317.5</v>
      </c>
      <c r="E138" s="383">
        <f>+D138*1.06</f>
        <v>30016.550000000003</v>
      </c>
      <c r="F138" s="384">
        <f t="shared" ref="F138" si="136">C138</f>
        <v>30125</v>
      </c>
    </row>
    <row r="139" spans="1:14" s="116" customFormat="1" ht="18" customHeight="1" x14ac:dyDescent="0.15">
      <c r="A139" s="115" t="s">
        <v>614</v>
      </c>
      <c r="B139" s="382" t="s">
        <v>193</v>
      </c>
      <c r="C139" s="383">
        <v>43400</v>
      </c>
      <c r="D139" s="383">
        <f>C139*0.94</f>
        <v>40796</v>
      </c>
      <c r="E139" s="383">
        <f>+D139*1.06</f>
        <v>43243.76</v>
      </c>
      <c r="F139" s="384">
        <f t="shared" ref="F139:F142" si="137">C139</f>
        <v>43400</v>
      </c>
      <c r="M139" s="413"/>
    </row>
    <row r="140" spans="1:14" s="116" customFormat="1" ht="36.75" customHeight="1" x14ac:dyDescent="0.15">
      <c r="A140" s="385" t="s">
        <v>513</v>
      </c>
      <c r="B140" s="382" t="s">
        <v>193</v>
      </c>
      <c r="C140" s="383">
        <v>319870</v>
      </c>
      <c r="D140" s="383">
        <f t="shared" ref="D140:D142" si="138">C140*0.94</f>
        <v>300677.8</v>
      </c>
      <c r="E140" s="383">
        <f t="shared" ref="E140:E142" si="139">+D140*1.06</f>
        <v>318718.46799999999</v>
      </c>
      <c r="F140" s="383">
        <f t="shared" si="137"/>
        <v>319870</v>
      </c>
    </row>
    <row r="141" spans="1:14" s="116" customFormat="1" ht="18" customHeight="1" x14ac:dyDescent="0.15">
      <c r="A141" s="115" t="s">
        <v>617</v>
      </c>
      <c r="B141" s="382" t="s">
        <v>193</v>
      </c>
      <c r="C141" s="383">
        <v>64066</v>
      </c>
      <c r="D141" s="383">
        <f t="shared" si="138"/>
        <v>60222.039999999994</v>
      </c>
      <c r="E141" s="383">
        <f t="shared" si="139"/>
        <v>63835.362399999998</v>
      </c>
      <c r="F141" s="384">
        <f t="shared" si="137"/>
        <v>64066</v>
      </c>
      <c r="M141" s="413"/>
    </row>
    <row r="142" spans="1:14" s="116" customFormat="1" ht="18" customHeight="1" x14ac:dyDescent="0.15">
      <c r="A142" s="115" t="s">
        <v>616</v>
      </c>
      <c r="B142" s="382" t="s">
        <v>193</v>
      </c>
      <c r="C142" s="383">
        <v>41019</v>
      </c>
      <c r="D142" s="383">
        <f t="shared" si="138"/>
        <v>38557.86</v>
      </c>
      <c r="E142" s="383">
        <f t="shared" si="139"/>
        <v>40871.331600000005</v>
      </c>
      <c r="F142" s="384">
        <f t="shared" si="137"/>
        <v>41019</v>
      </c>
      <c r="M142" s="414"/>
    </row>
    <row r="143" spans="1:14" s="116" customFormat="1" ht="18" customHeight="1" x14ac:dyDescent="0.15">
      <c r="A143" s="115" t="s">
        <v>618</v>
      </c>
      <c r="B143" s="382" t="s">
        <v>193</v>
      </c>
      <c r="C143" s="383">
        <v>33917</v>
      </c>
      <c r="D143" s="383">
        <f t="shared" ref="D143" si="140">C143*0.94</f>
        <v>31881.98</v>
      </c>
      <c r="E143" s="383">
        <f t="shared" ref="E143" si="141">+D143*1.06</f>
        <v>33794.898800000003</v>
      </c>
      <c r="F143" s="384">
        <f t="shared" ref="F143" si="142">C143</f>
        <v>33917</v>
      </c>
      <c r="M143" s="414"/>
      <c r="N143" s="414"/>
    </row>
    <row r="144" spans="1:14" s="116" customFormat="1" ht="18" customHeight="1" x14ac:dyDescent="0.15">
      <c r="A144" s="115" t="s">
        <v>619</v>
      </c>
      <c r="B144" s="382" t="s">
        <v>5</v>
      </c>
      <c r="C144" s="383">
        <v>248700</v>
      </c>
      <c r="D144" s="383">
        <f>C144*0.94</f>
        <v>233778</v>
      </c>
      <c r="E144" s="383">
        <f>+D144*1.06</f>
        <v>247804.68000000002</v>
      </c>
      <c r="F144" s="383">
        <f>C144</f>
        <v>248700</v>
      </c>
      <c r="M144" s="414"/>
      <c r="N144" s="414"/>
    </row>
    <row r="145" spans="1:14" s="116" customFormat="1" ht="18" customHeight="1" x14ac:dyDescent="0.15">
      <c r="A145" s="115" t="s">
        <v>620</v>
      </c>
      <c r="B145" s="382" t="s">
        <v>615</v>
      </c>
      <c r="C145" s="383">
        <v>38700</v>
      </c>
      <c r="D145" s="383">
        <f>C145*0.94</f>
        <v>36378</v>
      </c>
      <c r="E145" s="383">
        <f>+D145*1.06</f>
        <v>38560.68</v>
      </c>
      <c r="F145" s="383">
        <f>C145</f>
        <v>38700</v>
      </c>
      <c r="M145" s="414"/>
      <c r="N145" s="414"/>
    </row>
    <row r="146" spans="1:14" s="116" customFormat="1" ht="18" customHeight="1" x14ac:dyDescent="0.15">
      <c r="A146" s="115" t="s">
        <v>952</v>
      </c>
      <c r="B146" s="382" t="s">
        <v>5</v>
      </c>
      <c r="C146" s="383">
        <f>45000*1.35</f>
        <v>60750.000000000007</v>
      </c>
      <c r="D146" s="383">
        <f t="shared" ref="D146:D147" si="143">C146*0.94</f>
        <v>57105</v>
      </c>
      <c r="E146" s="383">
        <f t="shared" ref="E146:E147" si="144">+D146*1.06</f>
        <v>60531.3</v>
      </c>
      <c r="F146" s="384">
        <f t="shared" ref="F146:F147" si="145">C146</f>
        <v>60750.000000000007</v>
      </c>
      <c r="M146" s="414"/>
    </row>
    <row r="147" spans="1:14" s="116" customFormat="1" ht="18" customHeight="1" x14ac:dyDescent="0.15">
      <c r="A147" s="115" t="s">
        <v>598</v>
      </c>
      <c r="B147" s="382" t="s">
        <v>193</v>
      </c>
      <c r="C147" s="383">
        <f>35371*1.1</f>
        <v>38908.100000000006</v>
      </c>
      <c r="D147" s="383">
        <f t="shared" si="143"/>
        <v>36573.614000000001</v>
      </c>
      <c r="E147" s="383">
        <f t="shared" si="144"/>
        <v>38768.030840000007</v>
      </c>
      <c r="F147" s="384">
        <f t="shared" si="145"/>
        <v>38908.100000000006</v>
      </c>
      <c r="M147" s="414"/>
    </row>
    <row r="148" spans="1:14" s="116" customFormat="1" ht="36.75" customHeight="1" x14ac:dyDescent="0.15">
      <c r="A148" s="385" t="s">
        <v>334</v>
      </c>
      <c r="B148" s="382" t="s">
        <v>5</v>
      </c>
      <c r="C148" s="383">
        <v>293696</v>
      </c>
      <c r="D148" s="383">
        <f t="shared" ref="D148" si="146">C148*0.94</f>
        <v>276074.23999999999</v>
      </c>
      <c r="E148" s="383">
        <f t="shared" ref="E148" si="147">+D148*1.06</f>
        <v>292638.69439999998</v>
      </c>
      <c r="F148" s="384">
        <f t="shared" ref="F148" si="148">C148</f>
        <v>293696</v>
      </c>
      <c r="M148" s="414"/>
    </row>
    <row r="149" spans="1:14" s="116" customFormat="1" ht="18" customHeight="1" x14ac:dyDescent="0.15">
      <c r="A149" s="385" t="s">
        <v>574</v>
      </c>
      <c r="B149" s="382" t="s">
        <v>5</v>
      </c>
      <c r="C149" s="383">
        <v>43982</v>
      </c>
      <c r="D149" s="383">
        <f t="shared" ref="D149:D150" si="149">C149*0.94</f>
        <v>41343.079999999994</v>
      </c>
      <c r="E149" s="383">
        <f t="shared" ref="E149:E150" si="150">+D149*1.06</f>
        <v>43823.664799999999</v>
      </c>
      <c r="F149" s="384">
        <f t="shared" ref="F149:F150" si="151">C149</f>
        <v>43982</v>
      </c>
    </row>
    <row r="150" spans="1:14" s="116" customFormat="1" ht="24.75" customHeight="1" x14ac:dyDescent="0.15">
      <c r="A150" s="385" t="s">
        <v>675</v>
      </c>
      <c r="B150" s="382" t="s">
        <v>326</v>
      </c>
      <c r="C150" s="383">
        <f>73700*1.19*1.35</f>
        <v>118399.05</v>
      </c>
      <c r="D150" s="383">
        <f t="shared" si="149"/>
        <v>111295.107</v>
      </c>
      <c r="E150" s="383">
        <f t="shared" si="150"/>
        <v>117972.81342000001</v>
      </c>
      <c r="F150" s="384">
        <f t="shared" si="151"/>
        <v>118399.05</v>
      </c>
      <c r="M150" s="414"/>
    </row>
    <row r="151" spans="1:14" s="116" customFormat="1" ht="24.75" customHeight="1" x14ac:dyDescent="0.15">
      <c r="A151" s="385" t="s">
        <v>676</v>
      </c>
      <c r="B151" s="382" t="s">
        <v>680</v>
      </c>
      <c r="C151" s="383">
        <f>181000*1.19*1.35</f>
        <v>290776.5</v>
      </c>
      <c r="D151" s="383">
        <f t="shared" ref="D151" si="152">C151*0.94</f>
        <v>273329.90999999997</v>
      </c>
      <c r="E151" s="383">
        <f t="shared" ref="E151" si="153">+D151*1.06</f>
        <v>289729.7046</v>
      </c>
      <c r="F151" s="384">
        <f t="shared" ref="F151" si="154">C151</f>
        <v>290776.5</v>
      </c>
      <c r="M151" s="414"/>
    </row>
    <row r="152" spans="1:14" s="116" customFormat="1" ht="32.25" customHeight="1" x14ac:dyDescent="0.15">
      <c r="A152" s="385" t="s">
        <v>682</v>
      </c>
      <c r="B152" s="382" t="s">
        <v>681</v>
      </c>
      <c r="C152" s="383">
        <f>266000*1.19*1.35</f>
        <v>427329</v>
      </c>
      <c r="D152" s="383">
        <f t="shared" ref="D152" si="155">C152*0.94</f>
        <v>401689.25999999995</v>
      </c>
      <c r="E152" s="383">
        <f t="shared" ref="E152" si="156">+D152*1.06</f>
        <v>425790.61559999996</v>
      </c>
      <c r="F152" s="384">
        <f t="shared" ref="F152" si="157">C152</f>
        <v>427329</v>
      </c>
      <c r="M152" s="414"/>
    </row>
    <row r="153" spans="1:14" s="116" customFormat="1" ht="32.25" customHeight="1" x14ac:dyDescent="0.15">
      <c r="A153" s="385" t="s">
        <v>678</v>
      </c>
      <c r="B153" s="382" t="s">
        <v>615</v>
      </c>
      <c r="C153" s="383">
        <f>379200*1.19*1.35</f>
        <v>609184.80000000005</v>
      </c>
      <c r="D153" s="383">
        <f t="shared" ref="D153" si="158">C153*0.94</f>
        <v>572633.71200000006</v>
      </c>
      <c r="E153" s="383">
        <f t="shared" ref="E153" si="159">+D153*1.06</f>
        <v>606991.73472000007</v>
      </c>
      <c r="F153" s="384">
        <f t="shared" ref="F153" si="160">C153</f>
        <v>609184.80000000005</v>
      </c>
      <c r="M153" s="414"/>
    </row>
    <row r="154" spans="1:14" s="116" customFormat="1" ht="32.25" customHeight="1" x14ac:dyDescent="0.15">
      <c r="A154" s="385" t="s">
        <v>683</v>
      </c>
      <c r="B154" s="382" t="s">
        <v>615</v>
      </c>
      <c r="C154" s="383">
        <f>289200*1.19*1.35</f>
        <v>464599.80000000005</v>
      </c>
      <c r="D154" s="383">
        <f t="shared" ref="D154:D158" si="161">C154*0.94</f>
        <v>436723.81200000003</v>
      </c>
      <c r="E154" s="383">
        <f t="shared" ref="E154:E158" si="162">+D154*1.06</f>
        <v>462927.24072000006</v>
      </c>
      <c r="F154" s="384">
        <f t="shared" ref="F154:F158" si="163">C154</f>
        <v>464599.80000000005</v>
      </c>
      <c r="M154" s="414"/>
    </row>
    <row r="155" spans="1:14" s="116" customFormat="1" ht="18" customHeight="1" x14ac:dyDescent="0.15">
      <c r="A155" s="385" t="s">
        <v>654</v>
      </c>
      <c r="B155" s="382" t="s">
        <v>5</v>
      </c>
      <c r="C155" s="383">
        <f>18000*1.35</f>
        <v>24300</v>
      </c>
      <c r="D155" s="383">
        <f t="shared" si="161"/>
        <v>22842</v>
      </c>
      <c r="E155" s="383">
        <f t="shared" si="162"/>
        <v>24212.52</v>
      </c>
      <c r="F155" s="483">
        <f t="shared" si="163"/>
        <v>24300</v>
      </c>
    </row>
    <row r="156" spans="1:14" s="116" customFormat="1" ht="18" customHeight="1" x14ac:dyDescent="0.15">
      <c r="A156" s="385" t="s">
        <v>655</v>
      </c>
      <c r="B156" s="382" t="s">
        <v>326</v>
      </c>
      <c r="C156" s="383">
        <f>15000*1.35</f>
        <v>20250</v>
      </c>
      <c r="D156" s="383">
        <f t="shared" si="161"/>
        <v>19035</v>
      </c>
      <c r="E156" s="383">
        <f t="shared" si="162"/>
        <v>20177.100000000002</v>
      </c>
      <c r="F156" s="483">
        <f t="shared" si="163"/>
        <v>20250</v>
      </c>
    </row>
    <row r="157" spans="1:14" s="116" customFormat="1" ht="18" customHeight="1" x14ac:dyDescent="0.15">
      <c r="A157" s="385" t="s">
        <v>729</v>
      </c>
      <c r="B157" s="382" t="s">
        <v>319</v>
      </c>
      <c r="C157" s="383">
        <f>90000*1.35</f>
        <v>121500.00000000001</v>
      </c>
      <c r="D157" s="383">
        <f t="shared" si="161"/>
        <v>114210</v>
      </c>
      <c r="E157" s="383">
        <f t="shared" si="162"/>
        <v>121062.6</v>
      </c>
      <c r="F157" s="483">
        <f t="shared" si="163"/>
        <v>121500.00000000001</v>
      </c>
    </row>
    <row r="158" spans="1:14" s="116" customFormat="1" ht="18" customHeight="1" x14ac:dyDescent="0.15">
      <c r="A158" s="385" t="s">
        <v>653</v>
      </c>
      <c r="B158" s="382" t="s">
        <v>319</v>
      </c>
      <c r="C158" s="383">
        <f>30000*1.35</f>
        <v>40500</v>
      </c>
      <c r="D158" s="383">
        <f t="shared" si="161"/>
        <v>38070</v>
      </c>
      <c r="E158" s="383">
        <f t="shared" si="162"/>
        <v>40354.200000000004</v>
      </c>
      <c r="F158" s="483">
        <f t="shared" si="163"/>
        <v>40500</v>
      </c>
    </row>
    <row r="159" spans="1:14" s="116" customFormat="1" ht="18" customHeight="1" x14ac:dyDescent="0.15">
      <c r="A159" s="385" t="s">
        <v>903</v>
      </c>
      <c r="B159" s="382" t="s">
        <v>319</v>
      </c>
      <c r="C159" s="383">
        <f>63400*1.35</f>
        <v>85590</v>
      </c>
      <c r="D159" s="383">
        <f t="shared" ref="D159" si="164">C159*0.94</f>
        <v>80454.599999999991</v>
      </c>
      <c r="E159" s="383">
        <f t="shared" ref="E159" si="165">+D159*1.06</f>
        <v>85281.875999999989</v>
      </c>
      <c r="F159" s="483">
        <f t="shared" ref="F159" si="166">C159</f>
        <v>85590</v>
      </c>
    </row>
    <row r="160" spans="1:14" s="116" customFormat="1" ht="18" customHeight="1" x14ac:dyDescent="0.15">
      <c r="A160" s="385" t="s">
        <v>904</v>
      </c>
      <c r="B160" s="382" t="s">
        <v>319</v>
      </c>
      <c r="C160" s="383">
        <f>13000*1.35</f>
        <v>17550</v>
      </c>
      <c r="D160" s="383">
        <f t="shared" ref="D160" si="167">C160*0.94</f>
        <v>16497</v>
      </c>
      <c r="E160" s="383">
        <f t="shared" ref="E160" si="168">+D160*1.06</f>
        <v>17486.82</v>
      </c>
      <c r="F160" s="483">
        <f t="shared" ref="F160" si="169">C160</f>
        <v>17550</v>
      </c>
    </row>
    <row r="161" spans="1:6" s="116" customFormat="1" ht="18" customHeight="1" x14ac:dyDescent="0.15">
      <c r="A161" s="385" t="s">
        <v>905</v>
      </c>
      <c r="B161" s="382" t="s">
        <v>319</v>
      </c>
      <c r="C161" s="383">
        <f>8000*1.35</f>
        <v>10800</v>
      </c>
      <c r="D161" s="383">
        <f t="shared" ref="D161" si="170">C161*0.94</f>
        <v>10152</v>
      </c>
      <c r="E161" s="383">
        <f t="shared" ref="E161" si="171">+D161*1.06</f>
        <v>10761.12</v>
      </c>
      <c r="F161" s="483">
        <f t="shared" ref="F161" si="172">C161</f>
        <v>10800</v>
      </c>
    </row>
    <row r="162" spans="1:6" s="116" customFormat="1" ht="18" customHeight="1" x14ac:dyDescent="0.15">
      <c r="A162" s="385" t="s">
        <v>906</v>
      </c>
      <c r="B162" s="382" t="s">
        <v>319</v>
      </c>
      <c r="C162" s="383">
        <f>250*1.35</f>
        <v>337.5</v>
      </c>
      <c r="D162" s="383">
        <f t="shared" ref="D162" si="173">C162*0.94</f>
        <v>317.25</v>
      </c>
      <c r="E162" s="383">
        <f t="shared" ref="E162" si="174">+D162*1.06</f>
        <v>336.28500000000003</v>
      </c>
      <c r="F162" s="483">
        <f t="shared" ref="F162" si="175">C162</f>
        <v>337.5</v>
      </c>
    </row>
    <row r="163" spans="1:6" s="116" customFormat="1" ht="18" customHeight="1" x14ac:dyDescent="0.15">
      <c r="A163" s="385" t="s">
        <v>930</v>
      </c>
      <c r="B163" s="382" t="s">
        <v>319</v>
      </c>
      <c r="C163" s="383">
        <f>4736900*1.3</f>
        <v>6157970</v>
      </c>
      <c r="D163" s="383">
        <f t="shared" ref="D163" si="176">C163*0.94</f>
        <v>5788491.7999999998</v>
      </c>
      <c r="E163" s="383">
        <f t="shared" ref="E163" si="177">+D163*1.06</f>
        <v>6135801.3080000002</v>
      </c>
      <c r="F163" s="483">
        <f t="shared" ref="F163" si="178">C163</f>
        <v>6157970</v>
      </c>
    </row>
    <row r="164" spans="1:6" s="116" customFormat="1" ht="18" customHeight="1" x14ac:dyDescent="0.15">
      <c r="A164" s="385" t="s">
        <v>932</v>
      </c>
      <c r="B164" s="382" t="s">
        <v>319</v>
      </c>
      <c r="C164" s="383">
        <f>2400*1.35</f>
        <v>3240</v>
      </c>
      <c r="D164" s="383">
        <f t="shared" ref="D164" si="179">C164*0.94</f>
        <v>3045.6</v>
      </c>
      <c r="E164" s="383">
        <f t="shared" ref="E164" si="180">+D164*1.06</f>
        <v>3228.3360000000002</v>
      </c>
      <c r="F164" s="483">
        <f t="shared" ref="F164" si="181">C164</f>
        <v>3240</v>
      </c>
    </row>
    <row r="165" spans="1:6" s="116" customFormat="1" ht="18" customHeight="1" x14ac:dyDescent="0.15">
      <c r="A165" s="385" t="s">
        <v>934</v>
      </c>
      <c r="B165" s="382" t="s">
        <v>319</v>
      </c>
      <c r="C165" s="383">
        <f>20000*1.35</f>
        <v>27000</v>
      </c>
      <c r="D165" s="383">
        <f t="shared" ref="D165" si="182">C165*0.94</f>
        <v>25380</v>
      </c>
      <c r="E165" s="383">
        <f t="shared" ref="E165" si="183">+D165*1.06</f>
        <v>26902.800000000003</v>
      </c>
      <c r="F165" s="483">
        <f t="shared" ref="F165" si="184">C165</f>
        <v>27000</v>
      </c>
    </row>
    <row r="166" spans="1:6" s="116" customFormat="1" ht="18" customHeight="1" x14ac:dyDescent="0.15">
      <c r="A166" s="385" t="s">
        <v>935</v>
      </c>
      <c r="B166" s="382" t="s">
        <v>319</v>
      </c>
      <c r="C166" s="383">
        <f>2500*1.35</f>
        <v>3375</v>
      </c>
      <c r="D166" s="383">
        <f t="shared" ref="D166" si="185">C166*0.94</f>
        <v>3172.5</v>
      </c>
      <c r="E166" s="383">
        <f t="shared" ref="E166" si="186">+D166*1.06</f>
        <v>3362.8500000000004</v>
      </c>
      <c r="F166" s="483">
        <f t="shared" ref="F166" si="187">C166</f>
        <v>3375</v>
      </c>
    </row>
    <row r="167" spans="1:6" s="116" customFormat="1" ht="24.75" customHeight="1" x14ac:dyDescent="0.15">
      <c r="A167" s="385" t="s">
        <v>938</v>
      </c>
      <c r="B167" s="382" t="s">
        <v>319</v>
      </c>
      <c r="C167" s="383">
        <v>650000</v>
      </c>
      <c r="D167" s="383">
        <f t="shared" ref="D167:D168" si="188">C167*0.94</f>
        <v>611000</v>
      </c>
      <c r="E167" s="383">
        <f t="shared" ref="E167:E168" si="189">+D167*1.06</f>
        <v>647660</v>
      </c>
      <c r="F167" s="483">
        <f t="shared" ref="F167:F168" si="190">C167</f>
        <v>650000</v>
      </c>
    </row>
    <row r="168" spans="1:6" s="116" customFormat="1" ht="18" customHeight="1" x14ac:dyDescent="0.15">
      <c r="A168" s="385" t="s">
        <v>176</v>
      </c>
      <c r="B168" s="382" t="s">
        <v>193</v>
      </c>
      <c r="C168" s="383">
        <f>(5000*1.35)/3</f>
        <v>2250</v>
      </c>
      <c r="D168" s="383">
        <f t="shared" si="188"/>
        <v>2115</v>
      </c>
      <c r="E168" s="383">
        <f t="shared" si="189"/>
        <v>2241.9</v>
      </c>
      <c r="F168" s="483">
        <f t="shared" si="190"/>
        <v>2250</v>
      </c>
    </row>
    <row r="169" spans="1:6" s="116" customFormat="1" ht="18" customHeight="1" x14ac:dyDescent="0.15">
      <c r="A169" s="385" t="s">
        <v>118</v>
      </c>
      <c r="B169" s="382" t="s">
        <v>319</v>
      </c>
      <c r="C169" s="383">
        <f>(2500*1.35)</f>
        <v>3375</v>
      </c>
      <c r="D169" s="383">
        <f t="shared" ref="D169" si="191">C169*0.94</f>
        <v>3172.5</v>
      </c>
      <c r="E169" s="383">
        <f t="shared" ref="E169" si="192">+D169*1.06</f>
        <v>3362.8500000000004</v>
      </c>
      <c r="F169" s="483">
        <f t="shared" ref="F169" si="193">C169</f>
        <v>3375</v>
      </c>
    </row>
    <row r="170" spans="1:6" s="116" customFormat="1" ht="18" customHeight="1" x14ac:dyDescent="0.15">
      <c r="A170" s="385" t="s">
        <v>89</v>
      </c>
      <c r="B170" s="382" t="s">
        <v>319</v>
      </c>
      <c r="C170" s="383">
        <f>(1900*1.35)</f>
        <v>2565</v>
      </c>
      <c r="D170" s="383">
        <f t="shared" ref="D170:D171" si="194">C170*0.94</f>
        <v>2411.1</v>
      </c>
      <c r="E170" s="383">
        <f t="shared" ref="E170:E171" si="195">+D170*1.06</f>
        <v>2555.7660000000001</v>
      </c>
      <c r="F170" s="483">
        <f t="shared" ref="F170:F171" si="196">C170</f>
        <v>2565</v>
      </c>
    </row>
    <row r="171" spans="1:6" s="116" customFormat="1" ht="18" customHeight="1" x14ac:dyDescent="0.15">
      <c r="A171" s="385" t="s">
        <v>1355</v>
      </c>
      <c r="B171" s="382" t="s">
        <v>319</v>
      </c>
      <c r="C171" s="383">
        <f>(15000*1.35)</f>
        <v>20250</v>
      </c>
      <c r="D171" s="383">
        <f t="shared" si="194"/>
        <v>19035</v>
      </c>
      <c r="E171" s="383">
        <f t="shared" si="195"/>
        <v>20177.100000000002</v>
      </c>
      <c r="F171" s="483">
        <f t="shared" si="196"/>
        <v>20250</v>
      </c>
    </row>
    <row r="172" spans="1:6" s="116" customFormat="1" ht="18" customHeight="1" x14ac:dyDescent="0.15">
      <c r="A172" s="385" t="s">
        <v>940</v>
      </c>
      <c r="B172" s="382" t="s">
        <v>319</v>
      </c>
      <c r="C172" s="383">
        <f>(14000*1.35)</f>
        <v>18900</v>
      </c>
      <c r="D172" s="383">
        <f t="shared" ref="D172" si="197">C172*0.94</f>
        <v>17766</v>
      </c>
      <c r="E172" s="383">
        <f t="shared" ref="E172" si="198">+D172*1.06</f>
        <v>18831.960000000003</v>
      </c>
      <c r="F172" s="483">
        <f t="shared" ref="F172" si="199">C172</f>
        <v>18900</v>
      </c>
    </row>
    <row r="173" spans="1:6" s="116" customFormat="1" ht="18" customHeight="1" x14ac:dyDescent="0.15">
      <c r="A173" s="385" t="s">
        <v>943</v>
      </c>
      <c r="B173" s="382" t="s">
        <v>319</v>
      </c>
      <c r="C173" s="383">
        <f>(8000*1.35)</f>
        <v>10800</v>
      </c>
      <c r="D173" s="383">
        <f t="shared" ref="D173" si="200">C173*0.94</f>
        <v>10152</v>
      </c>
      <c r="E173" s="383">
        <f t="shared" ref="E173" si="201">+D173*1.06</f>
        <v>10761.12</v>
      </c>
      <c r="F173" s="483">
        <f t="shared" ref="F173" si="202">C173</f>
        <v>10800</v>
      </c>
    </row>
    <row r="174" spans="1:6" s="116" customFormat="1" ht="18" customHeight="1" x14ac:dyDescent="0.15">
      <c r="A174" s="385" t="s">
        <v>1364</v>
      </c>
      <c r="B174" s="382" t="s">
        <v>319</v>
      </c>
      <c r="C174" s="383">
        <f>(10500*1.35)</f>
        <v>14175.000000000002</v>
      </c>
      <c r="D174" s="383">
        <f t="shared" ref="D174" si="203">C174*0.94</f>
        <v>13324.500000000002</v>
      </c>
      <c r="E174" s="383">
        <f t="shared" ref="E174" si="204">+D174*1.06</f>
        <v>14123.970000000003</v>
      </c>
      <c r="F174" s="483">
        <f t="shared" ref="F174" si="205">C174</f>
        <v>14175.000000000002</v>
      </c>
    </row>
    <row r="175" spans="1:6" s="116" customFormat="1" ht="18" customHeight="1" x14ac:dyDescent="0.15">
      <c r="A175" s="385" t="s">
        <v>944</v>
      </c>
      <c r="B175" s="382" t="s">
        <v>319</v>
      </c>
      <c r="C175" s="383">
        <f>(25000*1.35)</f>
        <v>33750</v>
      </c>
      <c r="D175" s="383">
        <f t="shared" ref="D175" si="206">C175*0.94</f>
        <v>31725</v>
      </c>
      <c r="E175" s="383">
        <f t="shared" ref="E175" si="207">+D175*1.06</f>
        <v>33628.5</v>
      </c>
      <c r="F175" s="483">
        <f t="shared" ref="F175" si="208">C175</f>
        <v>33750</v>
      </c>
    </row>
    <row r="176" spans="1:6" s="116" customFormat="1" ht="18" customHeight="1" x14ac:dyDescent="0.15">
      <c r="A176" s="385" t="s">
        <v>947</v>
      </c>
      <c r="B176" s="382" t="s">
        <v>319</v>
      </c>
      <c r="C176" s="383">
        <f>(290000*1.35)</f>
        <v>391500</v>
      </c>
      <c r="D176" s="383">
        <f t="shared" ref="D176" si="209">C176*0.94</f>
        <v>368010</v>
      </c>
      <c r="E176" s="383">
        <f t="shared" ref="E176" si="210">+D176*1.06</f>
        <v>390090.60000000003</v>
      </c>
      <c r="F176" s="483">
        <f t="shared" ref="F176" si="211">C176</f>
        <v>391500</v>
      </c>
    </row>
    <row r="177" spans="1:6" s="116" customFormat="1" ht="18" customHeight="1" x14ac:dyDescent="0.15">
      <c r="A177" s="385" t="s">
        <v>953</v>
      </c>
      <c r="B177" s="382" t="s">
        <v>319</v>
      </c>
      <c r="C177" s="383">
        <f>(659900*1.35)</f>
        <v>890865.00000000012</v>
      </c>
      <c r="D177" s="383">
        <f t="shared" ref="D177:D178" si="212">C177*0.94</f>
        <v>837413.10000000009</v>
      </c>
      <c r="E177" s="383">
        <f t="shared" ref="E177:E178" si="213">+D177*1.06</f>
        <v>887657.88600000017</v>
      </c>
      <c r="F177" s="483">
        <f t="shared" ref="F177:F178" si="214">C177</f>
        <v>890865.00000000012</v>
      </c>
    </row>
    <row r="178" spans="1:6" s="116" customFormat="1" ht="18" customHeight="1" x14ac:dyDescent="0.15">
      <c r="A178" s="385" t="s">
        <v>1354</v>
      </c>
      <c r="B178" s="382" t="s">
        <v>319</v>
      </c>
      <c r="C178" s="383">
        <f>(22000*1.35)</f>
        <v>29700.000000000004</v>
      </c>
      <c r="D178" s="383">
        <f t="shared" si="212"/>
        <v>27918.000000000004</v>
      </c>
      <c r="E178" s="383">
        <f t="shared" si="213"/>
        <v>29593.080000000005</v>
      </c>
      <c r="F178" s="483">
        <f t="shared" si="214"/>
        <v>29700.000000000004</v>
      </c>
    </row>
    <row r="179" spans="1:6" s="116" customFormat="1" ht="18" customHeight="1" x14ac:dyDescent="0.15">
      <c r="A179" s="385" t="s">
        <v>1595</v>
      </c>
      <c r="B179" s="382" t="s">
        <v>319</v>
      </c>
      <c r="C179" s="383">
        <v>85000</v>
      </c>
      <c r="D179" s="383">
        <f t="shared" ref="D179" si="215">C179*0.94</f>
        <v>79900</v>
      </c>
      <c r="E179" s="383">
        <f t="shared" ref="E179" si="216">+D179*1.06</f>
        <v>84694</v>
      </c>
      <c r="F179" s="483">
        <f t="shared" ref="F179" si="217">C179</f>
        <v>85000</v>
      </c>
    </row>
    <row r="180" spans="1:6" s="116" customFormat="1" ht="18" customHeight="1" x14ac:dyDescent="0.15">
      <c r="A180" s="385" t="s">
        <v>1357</v>
      </c>
      <c r="B180" s="382" t="s">
        <v>319</v>
      </c>
      <c r="C180" s="383">
        <f>(1800000*1.35)</f>
        <v>2430000</v>
      </c>
      <c r="D180" s="383">
        <f t="shared" ref="D180" si="218">C180*0.94</f>
        <v>2284200</v>
      </c>
      <c r="E180" s="383">
        <f t="shared" ref="E180" si="219">+D180*1.06</f>
        <v>2421252</v>
      </c>
      <c r="F180" s="483">
        <f t="shared" ref="F180" si="220">C180</f>
        <v>2430000</v>
      </c>
    </row>
    <row r="181" spans="1:6" s="116" customFormat="1" ht="18" customHeight="1" x14ac:dyDescent="0.15">
      <c r="A181" s="385" t="s">
        <v>962</v>
      </c>
      <c r="B181" s="382" t="s">
        <v>58</v>
      </c>
      <c r="C181" s="383">
        <f>(9500*1.35)</f>
        <v>12825</v>
      </c>
      <c r="D181" s="383">
        <f t="shared" ref="D181:D183" si="221">C181*0.94</f>
        <v>12055.5</v>
      </c>
      <c r="E181" s="383">
        <f t="shared" ref="E181:E183" si="222">+D181*1.06</f>
        <v>12778.83</v>
      </c>
      <c r="F181" s="483">
        <f t="shared" ref="F181:F183" si="223">C181</f>
        <v>12825</v>
      </c>
    </row>
    <row r="182" spans="1:6" s="116" customFormat="1" ht="18" customHeight="1" x14ac:dyDescent="0.15">
      <c r="A182" s="385" t="s">
        <v>963</v>
      </c>
      <c r="B182" s="382" t="s">
        <v>134</v>
      </c>
      <c r="C182" s="383">
        <f>(2500.35)</f>
        <v>2500.35</v>
      </c>
      <c r="D182" s="383">
        <f t="shared" si="221"/>
        <v>2350.3289999999997</v>
      </c>
      <c r="E182" s="383">
        <f t="shared" si="222"/>
        <v>2491.3487399999999</v>
      </c>
      <c r="F182" s="483">
        <f t="shared" si="223"/>
        <v>2500.35</v>
      </c>
    </row>
    <row r="183" spans="1:6" s="116" customFormat="1" ht="18" customHeight="1" x14ac:dyDescent="0.15">
      <c r="A183" s="385" t="s">
        <v>964</v>
      </c>
      <c r="B183" s="382" t="s">
        <v>103</v>
      </c>
      <c r="C183" s="383">
        <f>(59900*1.35)</f>
        <v>80865</v>
      </c>
      <c r="D183" s="383">
        <f t="shared" si="221"/>
        <v>76013.099999999991</v>
      </c>
      <c r="E183" s="383">
        <f t="shared" si="222"/>
        <v>80573.885999999999</v>
      </c>
      <c r="F183" s="483">
        <f t="shared" si="223"/>
        <v>80865</v>
      </c>
    </row>
    <row r="184" spans="1:6" s="116" customFormat="1" ht="18" customHeight="1" x14ac:dyDescent="0.15">
      <c r="A184" s="385" t="s">
        <v>1105</v>
      </c>
      <c r="B184" s="382" t="s">
        <v>103</v>
      </c>
      <c r="C184" s="383">
        <f>(69900*1.35)</f>
        <v>94365</v>
      </c>
      <c r="D184" s="383">
        <f t="shared" ref="D184:D185" si="224">C184*0.94</f>
        <v>88703.099999999991</v>
      </c>
      <c r="E184" s="383">
        <f t="shared" ref="E184:E185" si="225">+D184*1.06</f>
        <v>94025.285999999993</v>
      </c>
      <c r="F184" s="483">
        <f t="shared" ref="F184:F185" si="226">C184</f>
        <v>94365</v>
      </c>
    </row>
    <row r="185" spans="1:6" s="116" customFormat="1" ht="18" customHeight="1" x14ac:dyDescent="0.15">
      <c r="A185" s="385" t="s">
        <v>1108</v>
      </c>
      <c r="B185" s="382" t="s">
        <v>44</v>
      </c>
      <c r="C185" s="383">
        <f>35900*1.35</f>
        <v>48465</v>
      </c>
      <c r="D185" s="383">
        <f t="shared" si="224"/>
        <v>45557.1</v>
      </c>
      <c r="E185" s="383">
        <f t="shared" si="225"/>
        <v>48290.525999999998</v>
      </c>
      <c r="F185" s="483">
        <f t="shared" si="226"/>
        <v>48465</v>
      </c>
    </row>
    <row r="186" spans="1:6" s="116" customFormat="1" ht="18" customHeight="1" x14ac:dyDescent="0.15">
      <c r="A186" s="385" t="s">
        <v>1135</v>
      </c>
      <c r="B186" s="382" t="s">
        <v>5</v>
      </c>
      <c r="C186" s="383">
        <f>85000*1.35</f>
        <v>114750.00000000001</v>
      </c>
      <c r="D186" s="383">
        <f t="shared" ref="D186" si="227">C186*0.94</f>
        <v>107865.00000000001</v>
      </c>
      <c r="E186" s="383">
        <f t="shared" ref="E186" si="228">+D186*1.06</f>
        <v>114336.90000000002</v>
      </c>
      <c r="F186" s="483">
        <f t="shared" ref="F186" si="229">C186</f>
        <v>114750.00000000001</v>
      </c>
    </row>
    <row r="187" spans="1:6" s="116" customFormat="1" ht="18" customHeight="1" x14ac:dyDescent="0.15">
      <c r="A187" s="385" t="s">
        <v>1155</v>
      </c>
      <c r="B187" s="382" t="s">
        <v>319</v>
      </c>
      <c r="C187" s="383">
        <f>160000*1.35</f>
        <v>216000</v>
      </c>
      <c r="D187" s="383">
        <f t="shared" ref="D187:D189" si="230">C187*0.94</f>
        <v>203040</v>
      </c>
      <c r="E187" s="383">
        <f t="shared" ref="E187:E189" si="231">+D187*1.06</f>
        <v>215222.40000000002</v>
      </c>
      <c r="F187" s="483">
        <f t="shared" ref="F187:F189" si="232">C187</f>
        <v>216000</v>
      </c>
    </row>
    <row r="188" spans="1:6" s="116" customFormat="1" ht="18" customHeight="1" x14ac:dyDescent="0.15">
      <c r="A188" s="385" t="s">
        <v>1495</v>
      </c>
      <c r="B188" s="382" t="s">
        <v>319</v>
      </c>
      <c r="C188" s="383">
        <f>180000*1.35</f>
        <v>243000.00000000003</v>
      </c>
      <c r="D188" s="383">
        <f t="shared" ref="D188" si="233">C188*0.94</f>
        <v>228420</v>
      </c>
      <c r="E188" s="383">
        <f t="shared" ref="E188" si="234">+D188*1.06</f>
        <v>242125.2</v>
      </c>
      <c r="F188" s="483">
        <f t="shared" ref="F188" si="235">C188</f>
        <v>243000.00000000003</v>
      </c>
    </row>
    <row r="189" spans="1:6" s="116" customFormat="1" ht="18" customHeight="1" x14ac:dyDescent="0.15">
      <c r="A189" s="115" t="s">
        <v>1426</v>
      </c>
      <c r="B189" s="382" t="s">
        <v>5</v>
      </c>
      <c r="C189" s="383">
        <f>350000*1.35</f>
        <v>472500.00000000006</v>
      </c>
      <c r="D189" s="383">
        <f t="shared" si="230"/>
        <v>444150.00000000006</v>
      </c>
      <c r="E189" s="383">
        <f t="shared" si="231"/>
        <v>470799.00000000006</v>
      </c>
      <c r="F189" s="384">
        <f t="shared" si="232"/>
        <v>472500.00000000006</v>
      </c>
    </row>
  </sheetData>
  <mergeCells count="6">
    <mergeCell ref="A5:F5"/>
    <mergeCell ref="A1:D1"/>
    <mergeCell ref="E1:F4"/>
    <mergeCell ref="A2:D2"/>
    <mergeCell ref="A3:D3"/>
    <mergeCell ref="A4:D4"/>
  </mergeCells>
  <pageMargins left="0.51181102362204722" right="0.51181102362204722" top="0.74803149606299213" bottom="0.74803149606299213" header="0.31496062992125984" footer="0.31496062992125984"/>
  <pageSetup scale="75" orientation="portrait" r:id="rId1"/>
  <colBreaks count="1" manualBreakCount="1">
    <brk id="6" max="1048575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7">
    <tabColor rgb="FF66FF33"/>
  </sheetPr>
  <dimension ref="A1:D52"/>
  <sheetViews>
    <sheetView view="pageBreakPreview" topLeftCell="A7" zoomScale="145" zoomScaleNormal="100" zoomScaleSheetLayoutView="145" workbookViewId="0">
      <selection activeCell="A29" sqref="A29"/>
    </sheetView>
  </sheetViews>
  <sheetFormatPr baseColWidth="10" defaultRowHeight="13" x14ac:dyDescent="0.15"/>
  <cols>
    <col min="1" max="1" width="53.6640625" style="11" customWidth="1"/>
    <col min="2" max="2" width="16.6640625" style="76" customWidth="1"/>
    <col min="3" max="3" width="16.6640625" style="11" customWidth="1"/>
    <col min="4" max="243" width="11.5" style="11"/>
    <col min="244" max="244" width="48.6640625" style="11" customWidth="1"/>
    <col min="245" max="245" width="13.5" style="11" customWidth="1"/>
    <col min="246" max="246" width="13" style="11" bestFit="1" customWidth="1"/>
    <col min="247" max="247" width="11.6640625" style="11" bestFit="1" customWidth="1"/>
    <col min="248" max="499" width="11.5" style="11"/>
    <col min="500" max="500" width="48.6640625" style="11" customWidth="1"/>
    <col min="501" max="501" width="13.5" style="11" customWidth="1"/>
    <col min="502" max="502" width="13" style="11" bestFit="1" customWidth="1"/>
    <col min="503" max="503" width="11.6640625" style="11" bestFit="1" customWidth="1"/>
    <col min="504" max="755" width="11.5" style="11"/>
    <col min="756" max="756" width="48.6640625" style="11" customWidth="1"/>
    <col min="757" max="757" width="13.5" style="11" customWidth="1"/>
    <col min="758" max="758" width="13" style="11" bestFit="1" customWidth="1"/>
    <col min="759" max="759" width="11.6640625" style="11" bestFit="1" customWidth="1"/>
    <col min="760" max="1011" width="11.5" style="11"/>
    <col min="1012" max="1012" width="48.6640625" style="11" customWidth="1"/>
    <col min="1013" max="1013" width="13.5" style="11" customWidth="1"/>
    <col min="1014" max="1014" width="13" style="11" bestFit="1" customWidth="1"/>
    <col min="1015" max="1015" width="11.6640625" style="11" bestFit="1" customWidth="1"/>
    <col min="1016" max="1267" width="11.5" style="11"/>
    <col min="1268" max="1268" width="48.6640625" style="11" customWidth="1"/>
    <col min="1269" max="1269" width="13.5" style="11" customWidth="1"/>
    <col min="1270" max="1270" width="13" style="11" bestFit="1" customWidth="1"/>
    <col min="1271" max="1271" width="11.6640625" style="11" bestFit="1" customWidth="1"/>
    <col min="1272" max="1523" width="11.5" style="11"/>
    <col min="1524" max="1524" width="48.6640625" style="11" customWidth="1"/>
    <col min="1525" max="1525" width="13.5" style="11" customWidth="1"/>
    <col min="1526" max="1526" width="13" style="11" bestFit="1" customWidth="1"/>
    <col min="1527" max="1527" width="11.6640625" style="11" bestFit="1" customWidth="1"/>
    <col min="1528" max="1779" width="11.5" style="11"/>
    <col min="1780" max="1780" width="48.6640625" style="11" customWidth="1"/>
    <col min="1781" max="1781" width="13.5" style="11" customWidth="1"/>
    <col min="1782" max="1782" width="13" style="11" bestFit="1" customWidth="1"/>
    <col min="1783" max="1783" width="11.6640625" style="11" bestFit="1" customWidth="1"/>
    <col min="1784" max="2035" width="11.5" style="11"/>
    <col min="2036" max="2036" width="48.6640625" style="11" customWidth="1"/>
    <col min="2037" max="2037" width="13.5" style="11" customWidth="1"/>
    <col min="2038" max="2038" width="13" style="11" bestFit="1" customWidth="1"/>
    <col min="2039" max="2039" width="11.6640625" style="11" bestFit="1" customWidth="1"/>
    <col min="2040" max="2291" width="11.5" style="11"/>
    <col min="2292" max="2292" width="48.6640625" style="11" customWidth="1"/>
    <col min="2293" max="2293" width="13.5" style="11" customWidth="1"/>
    <col min="2294" max="2294" width="13" style="11" bestFit="1" customWidth="1"/>
    <col min="2295" max="2295" width="11.6640625" style="11" bestFit="1" customWidth="1"/>
    <col min="2296" max="2547" width="11.5" style="11"/>
    <col min="2548" max="2548" width="48.6640625" style="11" customWidth="1"/>
    <col min="2549" max="2549" width="13.5" style="11" customWidth="1"/>
    <col min="2550" max="2550" width="13" style="11" bestFit="1" customWidth="1"/>
    <col min="2551" max="2551" width="11.6640625" style="11" bestFit="1" customWidth="1"/>
    <col min="2552" max="2803" width="11.5" style="11"/>
    <col min="2804" max="2804" width="48.6640625" style="11" customWidth="1"/>
    <col min="2805" max="2805" width="13.5" style="11" customWidth="1"/>
    <col min="2806" max="2806" width="13" style="11" bestFit="1" customWidth="1"/>
    <col min="2807" max="2807" width="11.6640625" style="11" bestFit="1" customWidth="1"/>
    <col min="2808" max="3059" width="11.5" style="11"/>
    <col min="3060" max="3060" width="48.6640625" style="11" customWidth="1"/>
    <col min="3061" max="3061" width="13.5" style="11" customWidth="1"/>
    <col min="3062" max="3062" width="13" style="11" bestFit="1" customWidth="1"/>
    <col min="3063" max="3063" width="11.6640625" style="11" bestFit="1" customWidth="1"/>
    <col min="3064" max="3315" width="11.5" style="11"/>
    <col min="3316" max="3316" width="48.6640625" style="11" customWidth="1"/>
    <col min="3317" max="3317" width="13.5" style="11" customWidth="1"/>
    <col min="3318" max="3318" width="13" style="11" bestFit="1" customWidth="1"/>
    <col min="3319" max="3319" width="11.6640625" style="11" bestFit="1" customWidth="1"/>
    <col min="3320" max="3571" width="11.5" style="11"/>
    <col min="3572" max="3572" width="48.6640625" style="11" customWidth="1"/>
    <col min="3573" max="3573" width="13.5" style="11" customWidth="1"/>
    <col min="3574" max="3574" width="13" style="11" bestFit="1" customWidth="1"/>
    <col min="3575" max="3575" width="11.6640625" style="11" bestFit="1" customWidth="1"/>
    <col min="3576" max="3827" width="11.5" style="11"/>
    <col min="3828" max="3828" width="48.6640625" style="11" customWidth="1"/>
    <col min="3829" max="3829" width="13.5" style="11" customWidth="1"/>
    <col min="3830" max="3830" width="13" style="11" bestFit="1" customWidth="1"/>
    <col min="3831" max="3831" width="11.6640625" style="11" bestFit="1" customWidth="1"/>
    <col min="3832" max="4083" width="11.5" style="11"/>
    <col min="4084" max="4084" width="48.6640625" style="11" customWidth="1"/>
    <col min="4085" max="4085" width="13.5" style="11" customWidth="1"/>
    <col min="4086" max="4086" width="13" style="11" bestFit="1" customWidth="1"/>
    <col min="4087" max="4087" width="11.6640625" style="11" bestFit="1" customWidth="1"/>
    <col min="4088" max="4339" width="11.5" style="11"/>
    <col min="4340" max="4340" width="48.6640625" style="11" customWidth="1"/>
    <col min="4341" max="4341" width="13.5" style="11" customWidth="1"/>
    <col min="4342" max="4342" width="13" style="11" bestFit="1" customWidth="1"/>
    <col min="4343" max="4343" width="11.6640625" style="11" bestFit="1" customWidth="1"/>
    <col min="4344" max="4595" width="11.5" style="11"/>
    <col min="4596" max="4596" width="48.6640625" style="11" customWidth="1"/>
    <col min="4597" max="4597" width="13.5" style="11" customWidth="1"/>
    <col min="4598" max="4598" width="13" style="11" bestFit="1" customWidth="1"/>
    <col min="4599" max="4599" width="11.6640625" style="11" bestFit="1" customWidth="1"/>
    <col min="4600" max="4851" width="11.5" style="11"/>
    <col min="4852" max="4852" width="48.6640625" style="11" customWidth="1"/>
    <col min="4853" max="4853" width="13.5" style="11" customWidth="1"/>
    <col min="4854" max="4854" width="13" style="11" bestFit="1" customWidth="1"/>
    <col min="4855" max="4855" width="11.6640625" style="11" bestFit="1" customWidth="1"/>
    <col min="4856" max="5107" width="11.5" style="11"/>
    <col min="5108" max="5108" width="48.6640625" style="11" customWidth="1"/>
    <col min="5109" max="5109" width="13.5" style="11" customWidth="1"/>
    <col min="5110" max="5110" width="13" style="11" bestFit="1" customWidth="1"/>
    <col min="5111" max="5111" width="11.6640625" style="11" bestFit="1" customWidth="1"/>
    <col min="5112" max="5363" width="11.5" style="11"/>
    <col min="5364" max="5364" width="48.6640625" style="11" customWidth="1"/>
    <col min="5365" max="5365" width="13.5" style="11" customWidth="1"/>
    <col min="5366" max="5366" width="13" style="11" bestFit="1" customWidth="1"/>
    <col min="5367" max="5367" width="11.6640625" style="11" bestFit="1" customWidth="1"/>
    <col min="5368" max="5619" width="11.5" style="11"/>
    <col min="5620" max="5620" width="48.6640625" style="11" customWidth="1"/>
    <col min="5621" max="5621" width="13.5" style="11" customWidth="1"/>
    <col min="5622" max="5622" width="13" style="11" bestFit="1" customWidth="1"/>
    <col min="5623" max="5623" width="11.6640625" style="11" bestFit="1" customWidth="1"/>
    <col min="5624" max="5875" width="11.5" style="11"/>
    <col min="5876" max="5876" width="48.6640625" style="11" customWidth="1"/>
    <col min="5877" max="5877" width="13.5" style="11" customWidth="1"/>
    <col min="5878" max="5878" width="13" style="11" bestFit="1" customWidth="1"/>
    <col min="5879" max="5879" width="11.6640625" style="11" bestFit="1" customWidth="1"/>
    <col min="5880" max="6131" width="11.5" style="11"/>
    <col min="6132" max="6132" width="48.6640625" style="11" customWidth="1"/>
    <col min="6133" max="6133" width="13.5" style="11" customWidth="1"/>
    <col min="6134" max="6134" width="13" style="11" bestFit="1" customWidth="1"/>
    <col min="6135" max="6135" width="11.6640625" style="11" bestFit="1" customWidth="1"/>
    <col min="6136" max="6387" width="11.5" style="11"/>
    <col min="6388" max="6388" width="48.6640625" style="11" customWidth="1"/>
    <col min="6389" max="6389" width="13.5" style="11" customWidth="1"/>
    <col min="6390" max="6390" width="13" style="11" bestFit="1" customWidth="1"/>
    <col min="6391" max="6391" width="11.6640625" style="11" bestFit="1" customWidth="1"/>
    <col min="6392" max="6643" width="11.5" style="11"/>
    <col min="6644" max="6644" width="48.6640625" style="11" customWidth="1"/>
    <col min="6645" max="6645" width="13.5" style="11" customWidth="1"/>
    <col min="6646" max="6646" width="13" style="11" bestFit="1" customWidth="1"/>
    <col min="6647" max="6647" width="11.6640625" style="11" bestFit="1" customWidth="1"/>
    <col min="6648" max="6899" width="11.5" style="11"/>
    <col min="6900" max="6900" width="48.6640625" style="11" customWidth="1"/>
    <col min="6901" max="6901" width="13.5" style="11" customWidth="1"/>
    <col min="6902" max="6902" width="13" style="11" bestFit="1" customWidth="1"/>
    <col min="6903" max="6903" width="11.6640625" style="11" bestFit="1" customWidth="1"/>
    <col min="6904" max="7155" width="11.5" style="11"/>
    <col min="7156" max="7156" width="48.6640625" style="11" customWidth="1"/>
    <col min="7157" max="7157" width="13.5" style="11" customWidth="1"/>
    <col min="7158" max="7158" width="13" style="11" bestFit="1" customWidth="1"/>
    <col min="7159" max="7159" width="11.6640625" style="11" bestFit="1" customWidth="1"/>
    <col min="7160" max="7411" width="11.5" style="11"/>
    <col min="7412" max="7412" width="48.6640625" style="11" customWidth="1"/>
    <col min="7413" max="7413" width="13.5" style="11" customWidth="1"/>
    <col min="7414" max="7414" width="13" style="11" bestFit="1" customWidth="1"/>
    <col min="7415" max="7415" width="11.6640625" style="11" bestFit="1" customWidth="1"/>
    <col min="7416" max="7667" width="11.5" style="11"/>
    <col min="7668" max="7668" width="48.6640625" style="11" customWidth="1"/>
    <col min="7669" max="7669" width="13.5" style="11" customWidth="1"/>
    <col min="7670" max="7670" width="13" style="11" bestFit="1" customWidth="1"/>
    <col min="7671" max="7671" width="11.6640625" style="11" bestFit="1" customWidth="1"/>
    <col min="7672" max="7923" width="11.5" style="11"/>
    <col min="7924" max="7924" width="48.6640625" style="11" customWidth="1"/>
    <col min="7925" max="7925" width="13.5" style="11" customWidth="1"/>
    <col min="7926" max="7926" width="13" style="11" bestFit="1" customWidth="1"/>
    <col min="7927" max="7927" width="11.6640625" style="11" bestFit="1" customWidth="1"/>
    <col min="7928" max="8179" width="11.5" style="11"/>
    <col min="8180" max="8180" width="48.6640625" style="11" customWidth="1"/>
    <col min="8181" max="8181" width="13.5" style="11" customWidth="1"/>
    <col min="8182" max="8182" width="13" style="11" bestFit="1" customWidth="1"/>
    <col min="8183" max="8183" width="11.6640625" style="11" bestFit="1" customWidth="1"/>
    <col min="8184" max="8435" width="11.5" style="11"/>
    <col min="8436" max="8436" width="48.6640625" style="11" customWidth="1"/>
    <col min="8437" max="8437" width="13.5" style="11" customWidth="1"/>
    <col min="8438" max="8438" width="13" style="11" bestFit="1" customWidth="1"/>
    <col min="8439" max="8439" width="11.6640625" style="11" bestFit="1" customWidth="1"/>
    <col min="8440" max="8691" width="11.5" style="11"/>
    <col min="8692" max="8692" width="48.6640625" style="11" customWidth="1"/>
    <col min="8693" max="8693" width="13.5" style="11" customWidth="1"/>
    <col min="8694" max="8694" width="13" style="11" bestFit="1" customWidth="1"/>
    <col min="8695" max="8695" width="11.6640625" style="11" bestFit="1" customWidth="1"/>
    <col min="8696" max="8947" width="11.5" style="11"/>
    <col min="8948" max="8948" width="48.6640625" style="11" customWidth="1"/>
    <col min="8949" max="8949" width="13.5" style="11" customWidth="1"/>
    <col min="8950" max="8950" width="13" style="11" bestFit="1" customWidth="1"/>
    <col min="8951" max="8951" width="11.6640625" style="11" bestFit="1" customWidth="1"/>
    <col min="8952" max="9203" width="11.5" style="11"/>
    <col min="9204" max="9204" width="48.6640625" style="11" customWidth="1"/>
    <col min="9205" max="9205" width="13.5" style="11" customWidth="1"/>
    <col min="9206" max="9206" width="13" style="11" bestFit="1" customWidth="1"/>
    <col min="9207" max="9207" width="11.6640625" style="11" bestFit="1" customWidth="1"/>
    <col min="9208" max="9459" width="11.5" style="11"/>
    <col min="9460" max="9460" width="48.6640625" style="11" customWidth="1"/>
    <col min="9461" max="9461" width="13.5" style="11" customWidth="1"/>
    <col min="9462" max="9462" width="13" style="11" bestFit="1" customWidth="1"/>
    <col min="9463" max="9463" width="11.6640625" style="11" bestFit="1" customWidth="1"/>
    <col min="9464" max="9715" width="11.5" style="11"/>
    <col min="9716" max="9716" width="48.6640625" style="11" customWidth="1"/>
    <col min="9717" max="9717" width="13.5" style="11" customWidth="1"/>
    <col min="9718" max="9718" width="13" style="11" bestFit="1" customWidth="1"/>
    <col min="9719" max="9719" width="11.6640625" style="11" bestFit="1" customWidth="1"/>
    <col min="9720" max="9971" width="11.5" style="11"/>
    <col min="9972" max="9972" width="48.6640625" style="11" customWidth="1"/>
    <col min="9973" max="9973" width="13.5" style="11" customWidth="1"/>
    <col min="9974" max="9974" width="13" style="11" bestFit="1" customWidth="1"/>
    <col min="9975" max="9975" width="11.6640625" style="11" bestFit="1" customWidth="1"/>
    <col min="9976" max="10227" width="11.5" style="11"/>
    <col min="10228" max="10228" width="48.6640625" style="11" customWidth="1"/>
    <col min="10229" max="10229" width="13.5" style="11" customWidth="1"/>
    <col min="10230" max="10230" width="13" style="11" bestFit="1" customWidth="1"/>
    <col min="10231" max="10231" width="11.6640625" style="11" bestFit="1" customWidth="1"/>
    <col min="10232" max="10483" width="11.5" style="11"/>
    <col min="10484" max="10484" width="48.6640625" style="11" customWidth="1"/>
    <col min="10485" max="10485" width="13.5" style="11" customWidth="1"/>
    <col min="10486" max="10486" width="13" style="11" bestFit="1" customWidth="1"/>
    <col min="10487" max="10487" width="11.6640625" style="11" bestFit="1" customWidth="1"/>
    <col min="10488" max="10739" width="11.5" style="11"/>
    <col min="10740" max="10740" width="48.6640625" style="11" customWidth="1"/>
    <col min="10741" max="10741" width="13.5" style="11" customWidth="1"/>
    <col min="10742" max="10742" width="13" style="11" bestFit="1" customWidth="1"/>
    <col min="10743" max="10743" width="11.6640625" style="11" bestFit="1" customWidth="1"/>
    <col min="10744" max="10995" width="11.5" style="11"/>
    <col min="10996" max="10996" width="48.6640625" style="11" customWidth="1"/>
    <col min="10997" max="10997" width="13.5" style="11" customWidth="1"/>
    <col min="10998" max="10998" width="13" style="11" bestFit="1" customWidth="1"/>
    <col min="10999" max="10999" width="11.6640625" style="11" bestFit="1" customWidth="1"/>
    <col min="11000" max="11251" width="11.5" style="11"/>
    <col min="11252" max="11252" width="48.6640625" style="11" customWidth="1"/>
    <col min="11253" max="11253" width="13.5" style="11" customWidth="1"/>
    <col min="11254" max="11254" width="13" style="11" bestFit="1" customWidth="1"/>
    <col min="11255" max="11255" width="11.6640625" style="11" bestFit="1" customWidth="1"/>
    <col min="11256" max="11507" width="11.5" style="11"/>
    <col min="11508" max="11508" width="48.6640625" style="11" customWidth="1"/>
    <col min="11509" max="11509" width="13.5" style="11" customWidth="1"/>
    <col min="11510" max="11510" width="13" style="11" bestFit="1" customWidth="1"/>
    <col min="11511" max="11511" width="11.6640625" style="11" bestFit="1" customWidth="1"/>
    <col min="11512" max="11763" width="11.5" style="11"/>
    <col min="11764" max="11764" width="48.6640625" style="11" customWidth="1"/>
    <col min="11765" max="11765" width="13.5" style="11" customWidth="1"/>
    <col min="11766" max="11766" width="13" style="11" bestFit="1" customWidth="1"/>
    <col min="11767" max="11767" width="11.6640625" style="11" bestFit="1" customWidth="1"/>
    <col min="11768" max="12019" width="11.5" style="11"/>
    <col min="12020" max="12020" width="48.6640625" style="11" customWidth="1"/>
    <col min="12021" max="12021" width="13.5" style="11" customWidth="1"/>
    <col min="12022" max="12022" width="13" style="11" bestFit="1" customWidth="1"/>
    <col min="12023" max="12023" width="11.6640625" style="11" bestFit="1" customWidth="1"/>
    <col min="12024" max="12275" width="11.5" style="11"/>
    <col min="12276" max="12276" width="48.6640625" style="11" customWidth="1"/>
    <col min="12277" max="12277" width="13.5" style="11" customWidth="1"/>
    <col min="12278" max="12278" width="13" style="11" bestFit="1" customWidth="1"/>
    <col min="12279" max="12279" width="11.6640625" style="11" bestFit="1" customWidth="1"/>
    <col min="12280" max="12531" width="11.5" style="11"/>
    <col min="12532" max="12532" width="48.6640625" style="11" customWidth="1"/>
    <col min="12533" max="12533" width="13.5" style="11" customWidth="1"/>
    <col min="12534" max="12534" width="13" style="11" bestFit="1" customWidth="1"/>
    <col min="12535" max="12535" width="11.6640625" style="11" bestFit="1" customWidth="1"/>
    <col min="12536" max="12787" width="11.5" style="11"/>
    <col min="12788" max="12788" width="48.6640625" style="11" customWidth="1"/>
    <col min="12789" max="12789" width="13.5" style="11" customWidth="1"/>
    <col min="12790" max="12790" width="13" style="11" bestFit="1" customWidth="1"/>
    <col min="12791" max="12791" width="11.6640625" style="11" bestFit="1" customWidth="1"/>
    <col min="12792" max="13043" width="11.5" style="11"/>
    <col min="13044" max="13044" width="48.6640625" style="11" customWidth="1"/>
    <col min="13045" max="13045" width="13.5" style="11" customWidth="1"/>
    <col min="13046" max="13046" width="13" style="11" bestFit="1" customWidth="1"/>
    <col min="13047" max="13047" width="11.6640625" style="11" bestFit="1" customWidth="1"/>
    <col min="13048" max="13299" width="11.5" style="11"/>
    <col min="13300" max="13300" width="48.6640625" style="11" customWidth="1"/>
    <col min="13301" max="13301" width="13.5" style="11" customWidth="1"/>
    <col min="13302" max="13302" width="13" style="11" bestFit="1" customWidth="1"/>
    <col min="13303" max="13303" width="11.6640625" style="11" bestFit="1" customWidth="1"/>
    <col min="13304" max="13555" width="11.5" style="11"/>
    <col min="13556" max="13556" width="48.6640625" style="11" customWidth="1"/>
    <col min="13557" max="13557" width="13.5" style="11" customWidth="1"/>
    <col min="13558" max="13558" width="13" style="11" bestFit="1" customWidth="1"/>
    <col min="13559" max="13559" width="11.6640625" style="11" bestFit="1" customWidth="1"/>
    <col min="13560" max="13811" width="11.5" style="11"/>
    <col min="13812" max="13812" width="48.6640625" style="11" customWidth="1"/>
    <col min="13813" max="13813" width="13.5" style="11" customWidth="1"/>
    <col min="13814" max="13814" width="13" style="11" bestFit="1" customWidth="1"/>
    <col min="13815" max="13815" width="11.6640625" style="11" bestFit="1" customWidth="1"/>
    <col min="13816" max="14067" width="11.5" style="11"/>
    <col min="14068" max="14068" width="48.6640625" style="11" customWidth="1"/>
    <col min="14069" max="14069" width="13.5" style="11" customWidth="1"/>
    <col min="14070" max="14070" width="13" style="11" bestFit="1" customWidth="1"/>
    <col min="14071" max="14071" width="11.6640625" style="11" bestFit="1" customWidth="1"/>
    <col min="14072" max="14323" width="11.5" style="11"/>
    <col min="14324" max="14324" width="48.6640625" style="11" customWidth="1"/>
    <col min="14325" max="14325" width="13.5" style="11" customWidth="1"/>
    <col min="14326" max="14326" width="13" style="11" bestFit="1" customWidth="1"/>
    <col min="14327" max="14327" width="11.6640625" style="11" bestFit="1" customWidth="1"/>
    <col min="14328" max="14579" width="11.5" style="11"/>
    <col min="14580" max="14580" width="48.6640625" style="11" customWidth="1"/>
    <col min="14581" max="14581" width="13.5" style="11" customWidth="1"/>
    <col min="14582" max="14582" width="13" style="11" bestFit="1" customWidth="1"/>
    <col min="14583" max="14583" width="11.6640625" style="11" bestFit="1" customWidth="1"/>
    <col min="14584" max="14835" width="11.5" style="11"/>
    <col min="14836" max="14836" width="48.6640625" style="11" customWidth="1"/>
    <col min="14837" max="14837" width="13.5" style="11" customWidth="1"/>
    <col min="14838" max="14838" width="13" style="11" bestFit="1" customWidth="1"/>
    <col min="14839" max="14839" width="11.6640625" style="11" bestFit="1" customWidth="1"/>
    <col min="14840" max="15091" width="11.5" style="11"/>
    <col min="15092" max="15092" width="48.6640625" style="11" customWidth="1"/>
    <col min="15093" max="15093" width="13.5" style="11" customWidth="1"/>
    <col min="15094" max="15094" width="13" style="11" bestFit="1" customWidth="1"/>
    <col min="15095" max="15095" width="11.6640625" style="11" bestFit="1" customWidth="1"/>
    <col min="15096" max="15347" width="11.5" style="11"/>
    <col min="15348" max="15348" width="48.6640625" style="11" customWidth="1"/>
    <col min="15349" max="15349" width="13.5" style="11" customWidth="1"/>
    <col min="15350" max="15350" width="13" style="11" bestFit="1" customWidth="1"/>
    <col min="15351" max="15351" width="11.6640625" style="11" bestFit="1" customWidth="1"/>
    <col min="15352" max="15603" width="11.5" style="11"/>
    <col min="15604" max="15604" width="48.6640625" style="11" customWidth="1"/>
    <col min="15605" max="15605" width="13.5" style="11" customWidth="1"/>
    <col min="15606" max="15606" width="13" style="11" bestFit="1" customWidth="1"/>
    <col min="15607" max="15607" width="11.6640625" style="11" bestFit="1" customWidth="1"/>
    <col min="15608" max="15859" width="11.5" style="11"/>
    <col min="15860" max="15860" width="48.6640625" style="11" customWidth="1"/>
    <col min="15861" max="15861" width="13.5" style="11" customWidth="1"/>
    <col min="15862" max="15862" width="13" style="11" bestFit="1" customWidth="1"/>
    <col min="15863" max="15863" width="11.6640625" style="11" bestFit="1" customWidth="1"/>
    <col min="15864" max="16115" width="11.5" style="11"/>
    <col min="16116" max="16116" width="48.6640625" style="11" customWidth="1"/>
    <col min="16117" max="16117" width="13.5" style="11" customWidth="1"/>
    <col min="16118" max="16118" width="13" style="11" bestFit="1" customWidth="1"/>
    <col min="16119" max="16119" width="11.6640625" style="11" bestFit="1" customWidth="1"/>
    <col min="16120" max="16384" width="11.5" style="11"/>
  </cols>
  <sheetData>
    <row r="1" spans="1:4" customFormat="1" ht="21" customHeight="1" x14ac:dyDescent="0.15">
      <c r="A1" s="393" t="s">
        <v>874</v>
      </c>
      <c r="B1" s="765"/>
      <c r="C1" s="765"/>
      <c r="D1" s="198"/>
    </row>
    <row r="2" spans="1:4" customFormat="1" ht="14.25" customHeight="1" x14ac:dyDescent="0.15">
      <c r="A2" s="389" t="s">
        <v>875</v>
      </c>
      <c r="B2" s="765"/>
      <c r="C2" s="765"/>
      <c r="D2" s="92"/>
    </row>
    <row r="3" spans="1:4" customFormat="1" ht="14.25" customHeight="1" x14ac:dyDescent="0.15">
      <c r="A3" s="389" t="s">
        <v>876</v>
      </c>
      <c r="B3" s="765"/>
      <c r="C3" s="765"/>
      <c r="D3" s="92"/>
    </row>
    <row r="4" spans="1:4" customFormat="1" ht="60" customHeight="1" x14ac:dyDescent="0.15">
      <c r="A4" s="386" t="s">
        <v>836</v>
      </c>
      <c r="B4" s="765"/>
      <c r="C4" s="765"/>
      <c r="D4" s="199"/>
    </row>
    <row r="5" spans="1:4" customFormat="1" ht="15" hidden="1" customHeight="1" x14ac:dyDescent="0.15">
      <c r="A5" s="1133"/>
      <c r="B5" s="1133"/>
      <c r="C5" s="1133"/>
    </row>
    <row r="6" spans="1:4" customFormat="1" ht="3" hidden="1" customHeight="1" x14ac:dyDescent="0.15">
      <c r="A6" s="1133"/>
      <c r="B6" s="1133"/>
      <c r="C6" s="1133"/>
    </row>
    <row r="7" spans="1:4" customFormat="1" ht="19.5" customHeight="1" x14ac:dyDescent="0.15">
      <c r="A7" s="1150" t="s">
        <v>550</v>
      </c>
      <c r="B7" s="1150"/>
      <c r="C7" s="1150"/>
    </row>
    <row r="8" spans="1:4" s="76" customFormat="1" x14ac:dyDescent="0.15">
      <c r="A8" s="75" t="s">
        <v>418</v>
      </c>
      <c r="B8" s="75" t="s">
        <v>73</v>
      </c>
      <c r="C8" s="75" t="s">
        <v>91</v>
      </c>
    </row>
    <row r="9" spans="1:4" s="118" customFormat="1" ht="13.5" customHeight="1" x14ac:dyDescent="0.15">
      <c r="A9" s="115" t="s">
        <v>137</v>
      </c>
      <c r="B9" s="319"/>
      <c r="C9" s="392" t="s">
        <v>138</v>
      </c>
    </row>
    <row r="10" spans="1:4" s="118" customFormat="1" ht="13.5" customHeight="1" x14ac:dyDescent="0.15">
      <c r="A10" s="115" t="s">
        <v>139</v>
      </c>
      <c r="B10" s="319" t="s">
        <v>140</v>
      </c>
      <c r="C10" s="392">
        <v>75000</v>
      </c>
    </row>
    <row r="11" spans="1:4" s="118" customFormat="1" ht="13.5" customHeight="1" x14ac:dyDescent="0.15">
      <c r="A11" s="115" t="s">
        <v>141</v>
      </c>
      <c r="B11" s="319" t="s">
        <v>92</v>
      </c>
      <c r="C11" s="392">
        <v>150000</v>
      </c>
    </row>
    <row r="12" spans="1:4" s="118" customFormat="1" ht="13.5" customHeight="1" x14ac:dyDescent="0.15">
      <c r="A12" s="115" t="s">
        <v>112</v>
      </c>
      <c r="B12" s="319" t="s">
        <v>92</v>
      </c>
      <c r="C12" s="392">
        <v>130000</v>
      </c>
    </row>
    <row r="13" spans="1:4" s="118" customFormat="1" ht="13.5" customHeight="1" x14ac:dyDescent="0.15">
      <c r="A13" s="115" t="s">
        <v>313</v>
      </c>
      <c r="B13" s="319" t="s">
        <v>92</v>
      </c>
      <c r="C13" s="392">
        <v>240000</v>
      </c>
    </row>
    <row r="14" spans="1:4" s="118" customFormat="1" ht="13.5" customHeight="1" x14ac:dyDescent="0.15">
      <c r="A14" s="115" t="s">
        <v>314</v>
      </c>
      <c r="B14" s="319" t="s">
        <v>92</v>
      </c>
      <c r="C14" s="392">
        <v>180000</v>
      </c>
    </row>
    <row r="15" spans="1:4" s="118" customFormat="1" ht="13.5" customHeight="1" x14ac:dyDescent="0.15">
      <c r="A15" s="115" t="s">
        <v>142</v>
      </c>
      <c r="B15" s="319" t="s">
        <v>92</v>
      </c>
      <c r="C15" s="392">
        <v>240000</v>
      </c>
    </row>
    <row r="16" spans="1:4" s="118" customFormat="1" ht="13.5" customHeight="1" x14ac:dyDescent="0.15">
      <c r="A16" s="115" t="s">
        <v>143</v>
      </c>
      <c r="B16" s="319" t="s">
        <v>92</v>
      </c>
      <c r="C16" s="392">
        <v>240000</v>
      </c>
    </row>
    <row r="17" spans="1:3" s="118" customFormat="1" ht="13.5" customHeight="1" x14ac:dyDescent="0.15">
      <c r="A17" s="115" t="s">
        <v>539</v>
      </c>
      <c r="B17" s="319" t="s">
        <v>92</v>
      </c>
      <c r="C17" s="392">
        <v>120000</v>
      </c>
    </row>
    <row r="18" spans="1:3" s="118" customFormat="1" ht="13.5" customHeight="1" x14ac:dyDescent="0.15">
      <c r="A18" s="115" t="s">
        <v>540</v>
      </c>
      <c r="B18" s="319" t="s">
        <v>92</v>
      </c>
      <c r="C18" s="392">
        <v>180000</v>
      </c>
    </row>
    <row r="19" spans="1:3" s="118" customFormat="1" ht="13.5" customHeight="1" x14ac:dyDescent="0.15">
      <c r="A19" s="115" t="s">
        <v>113</v>
      </c>
      <c r="B19" s="319" t="s">
        <v>140</v>
      </c>
      <c r="C19" s="392">
        <v>70000</v>
      </c>
    </row>
    <row r="20" spans="1:3" s="118" customFormat="1" ht="13.5" customHeight="1" x14ac:dyDescent="0.15">
      <c r="A20" s="115" t="s">
        <v>316</v>
      </c>
      <c r="B20" s="319" t="s">
        <v>140</v>
      </c>
      <c r="C20" s="392">
        <v>100000</v>
      </c>
    </row>
    <row r="21" spans="1:3" s="118" customFormat="1" ht="13.5" customHeight="1" x14ac:dyDescent="0.15">
      <c r="A21" s="115" t="s">
        <v>57</v>
      </c>
      <c r="B21" s="319" t="s">
        <v>140</v>
      </c>
      <c r="C21" s="392">
        <v>100000</v>
      </c>
    </row>
    <row r="22" spans="1:3" s="118" customFormat="1" ht="13.5" customHeight="1" x14ac:dyDescent="0.15">
      <c r="A22" s="115" t="s">
        <v>497</v>
      </c>
      <c r="B22" s="319" t="s">
        <v>140</v>
      </c>
      <c r="C22" s="392">
        <v>700000</v>
      </c>
    </row>
    <row r="23" spans="1:3" s="118" customFormat="1" ht="13.5" customHeight="1" x14ac:dyDescent="0.15">
      <c r="A23" s="115" t="s">
        <v>541</v>
      </c>
      <c r="B23" s="319" t="s">
        <v>542</v>
      </c>
      <c r="C23" s="392">
        <v>6000</v>
      </c>
    </row>
    <row r="24" spans="1:3" s="118" customFormat="1" ht="13.5" customHeight="1" x14ac:dyDescent="0.15">
      <c r="A24" s="115" t="s">
        <v>196</v>
      </c>
      <c r="B24" s="319" t="s">
        <v>542</v>
      </c>
      <c r="C24" s="392">
        <v>4500</v>
      </c>
    </row>
    <row r="25" spans="1:3" s="118" customFormat="1" ht="13.5" customHeight="1" x14ac:dyDescent="0.15">
      <c r="A25" s="115" t="s">
        <v>549</v>
      </c>
      <c r="B25" s="319" t="s">
        <v>140</v>
      </c>
      <c r="C25" s="392">
        <f>7500*6</f>
        <v>45000</v>
      </c>
    </row>
    <row r="26" spans="1:3" s="118" customFormat="1" ht="13.5" customHeight="1" x14ac:dyDescent="0.15">
      <c r="A26" s="115" t="s">
        <v>544</v>
      </c>
      <c r="B26" s="319" t="s">
        <v>140</v>
      </c>
      <c r="C26" s="392">
        <v>150000</v>
      </c>
    </row>
    <row r="27" spans="1:3" s="118" customFormat="1" ht="13.5" customHeight="1" x14ac:dyDescent="0.15">
      <c r="A27" s="115" t="s">
        <v>325</v>
      </c>
      <c r="B27" s="319" t="s">
        <v>140</v>
      </c>
      <c r="C27" s="392">
        <v>180000</v>
      </c>
    </row>
    <row r="28" spans="1:3" s="118" customFormat="1" ht="13.5" customHeight="1" x14ac:dyDescent="0.15">
      <c r="A28" s="115" t="s">
        <v>545</v>
      </c>
      <c r="B28" s="319" t="s">
        <v>140</v>
      </c>
      <c r="C28" s="392">
        <v>377500</v>
      </c>
    </row>
    <row r="29" spans="1:3" s="118" customFormat="1" ht="13.5" customHeight="1" x14ac:dyDescent="0.15">
      <c r="A29" s="115" t="s">
        <v>546</v>
      </c>
      <c r="B29" s="319" t="s">
        <v>140</v>
      </c>
      <c r="C29" s="392">
        <v>20000</v>
      </c>
    </row>
    <row r="30" spans="1:3" s="118" customFormat="1" ht="13.5" customHeight="1" x14ac:dyDescent="0.15">
      <c r="A30" s="115" t="s">
        <v>547</v>
      </c>
      <c r="B30" s="319" t="s">
        <v>140</v>
      </c>
      <c r="C30" s="392">
        <v>300000</v>
      </c>
    </row>
    <row r="31" spans="1:3" s="118" customFormat="1" ht="13.5" customHeight="1" x14ac:dyDescent="0.15">
      <c r="A31" s="115" t="s">
        <v>548</v>
      </c>
      <c r="B31" s="319" t="s">
        <v>140</v>
      </c>
      <c r="C31" s="392">
        <v>108000</v>
      </c>
    </row>
    <row r="32" spans="1:3" s="118" customFormat="1" ht="13.5" customHeight="1" x14ac:dyDescent="0.15">
      <c r="A32" s="115" t="s">
        <v>197</v>
      </c>
      <c r="B32" s="319" t="s">
        <v>140</v>
      </c>
      <c r="C32" s="392">
        <v>180000</v>
      </c>
    </row>
    <row r="33" spans="1:3" s="118" customFormat="1" ht="13.5" customHeight="1" x14ac:dyDescent="0.15">
      <c r="A33" s="115" t="s">
        <v>198</v>
      </c>
      <c r="B33" s="319" t="s">
        <v>140</v>
      </c>
      <c r="C33" s="392">
        <v>75000</v>
      </c>
    </row>
    <row r="34" spans="1:3" s="118" customFormat="1" ht="13.5" customHeight="1" x14ac:dyDescent="0.15">
      <c r="A34" s="115" t="s">
        <v>199</v>
      </c>
      <c r="B34" s="319" t="s">
        <v>140</v>
      </c>
      <c r="C34" s="392">
        <v>75000</v>
      </c>
    </row>
    <row r="35" spans="1:3" s="118" customFormat="1" ht="13.5" customHeight="1" x14ac:dyDescent="0.15">
      <c r="A35" s="115" t="s">
        <v>200</v>
      </c>
      <c r="B35" s="319" t="s">
        <v>140</v>
      </c>
      <c r="C35" s="392">
        <v>180000</v>
      </c>
    </row>
    <row r="36" spans="1:3" s="118" customFormat="1" ht="13.5" customHeight="1" x14ac:dyDescent="0.15">
      <c r="A36" s="115" t="s">
        <v>317</v>
      </c>
      <c r="B36" s="319" t="s">
        <v>140</v>
      </c>
      <c r="C36" s="392">
        <v>80000</v>
      </c>
    </row>
    <row r="37" spans="1:3" s="118" customFormat="1" ht="13.5" customHeight="1" x14ac:dyDescent="0.15">
      <c r="A37" s="115" t="s">
        <v>325</v>
      </c>
      <c r="B37" s="319" t="s">
        <v>140</v>
      </c>
      <c r="C37" s="392">
        <v>180000</v>
      </c>
    </row>
    <row r="38" spans="1:3" s="118" customFormat="1" ht="13.5" customHeight="1" x14ac:dyDescent="0.15">
      <c r="A38" s="115" t="s">
        <v>327</v>
      </c>
      <c r="B38" s="319" t="s">
        <v>140</v>
      </c>
      <c r="C38" s="392">
        <v>150000</v>
      </c>
    </row>
    <row r="39" spans="1:3" s="118" customFormat="1" ht="13.5" customHeight="1" x14ac:dyDescent="0.15">
      <c r="A39" s="115" t="s">
        <v>543</v>
      </c>
      <c r="B39" s="319" t="s">
        <v>140</v>
      </c>
      <c r="C39" s="392">
        <v>15000</v>
      </c>
    </row>
    <row r="40" spans="1:3" ht="15.75" customHeight="1" x14ac:dyDescent="0.15">
      <c r="A40" s="1149"/>
      <c r="B40" s="1149"/>
      <c r="C40" s="1149"/>
    </row>
    <row r="41" spans="1:3" ht="16" x14ac:dyDescent="0.2">
      <c r="B41" s="77"/>
    </row>
    <row r="42" spans="1:3" ht="16" x14ac:dyDescent="0.2">
      <c r="B42" s="77"/>
    </row>
    <row r="43" spans="1:3" ht="16" x14ac:dyDescent="0.2">
      <c r="B43" s="77"/>
    </row>
    <row r="44" spans="1:3" ht="16" x14ac:dyDescent="0.2">
      <c r="B44" s="77"/>
    </row>
    <row r="45" spans="1:3" ht="16" x14ac:dyDescent="0.2">
      <c r="A45" s="102" t="s">
        <v>644</v>
      </c>
      <c r="B45" s="77"/>
    </row>
    <row r="46" spans="1:3" ht="16" x14ac:dyDescent="0.2">
      <c r="A46" s="83" t="s">
        <v>531</v>
      </c>
      <c r="B46" s="77"/>
    </row>
    <row r="47" spans="1:3" ht="16" x14ac:dyDescent="0.2">
      <c r="A47" s="119"/>
      <c r="B47" s="77"/>
    </row>
    <row r="48" spans="1:3" ht="16" x14ac:dyDescent="0.2">
      <c r="A48" s="78"/>
      <c r="B48" s="77"/>
    </row>
    <row r="49" spans="1:2" ht="16" x14ac:dyDescent="0.2">
      <c r="A49" s="78"/>
      <c r="B49" s="77"/>
    </row>
    <row r="50" spans="1:2" ht="16" x14ac:dyDescent="0.2">
      <c r="A50" s="78"/>
      <c r="B50" s="77"/>
    </row>
    <row r="51" spans="1:2" ht="16" x14ac:dyDescent="0.2">
      <c r="A51" s="78"/>
      <c r="B51" s="77"/>
    </row>
    <row r="52" spans="1:2" ht="16" x14ac:dyDescent="0.2">
      <c r="A52" s="78"/>
      <c r="B52" s="77"/>
    </row>
  </sheetData>
  <mergeCells count="4">
    <mergeCell ref="A40:C40"/>
    <mergeCell ref="B1:C4"/>
    <mergeCell ref="A7:C7"/>
    <mergeCell ref="A5:C6"/>
  </mergeCells>
  <pageMargins left="0.7" right="0.7" top="0.75" bottom="0.75" header="0.3" footer="0.3"/>
  <pageSetup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9">
    <tabColor rgb="FF66FF33"/>
  </sheetPr>
  <dimension ref="A1:G22"/>
  <sheetViews>
    <sheetView view="pageBreakPreview" zoomScale="115" zoomScaleNormal="100" zoomScaleSheetLayoutView="115" workbookViewId="0">
      <selection activeCell="E25" sqref="E25"/>
    </sheetView>
  </sheetViews>
  <sheetFormatPr baseColWidth="10" defaultRowHeight="13" x14ac:dyDescent="0.15"/>
  <cols>
    <col min="2" max="2" width="21" customWidth="1"/>
    <col min="3" max="6" width="17.83203125" customWidth="1"/>
  </cols>
  <sheetData>
    <row r="1" spans="1:7" ht="33.75" customHeight="1" x14ac:dyDescent="0.15">
      <c r="A1" s="765" t="s">
        <v>874</v>
      </c>
      <c r="B1" s="765"/>
      <c r="C1" s="765"/>
      <c r="D1" s="765"/>
      <c r="E1" s="765"/>
      <c r="F1" s="765"/>
      <c r="G1" s="198"/>
    </row>
    <row r="2" spans="1:7" ht="14.25" customHeight="1" x14ac:dyDescent="0.15">
      <c r="A2" s="798" t="s">
        <v>875</v>
      </c>
      <c r="B2" s="798"/>
      <c r="C2" s="798"/>
      <c r="D2" s="798"/>
      <c r="E2" s="765"/>
      <c r="F2" s="765"/>
      <c r="G2" s="92"/>
    </row>
    <row r="3" spans="1:7" ht="14.25" customHeight="1" x14ac:dyDescent="0.15">
      <c r="A3" s="798" t="s">
        <v>876</v>
      </c>
      <c r="B3" s="798"/>
      <c r="C3" s="798"/>
      <c r="D3" s="798"/>
      <c r="E3" s="765"/>
      <c r="F3" s="765"/>
      <c r="G3" s="92"/>
    </row>
    <row r="4" spans="1:7" ht="62.25" customHeight="1" x14ac:dyDescent="0.15">
      <c r="A4" s="768" t="s">
        <v>836</v>
      </c>
      <c r="B4" s="768"/>
      <c r="C4" s="768"/>
      <c r="D4" s="768"/>
      <c r="E4" s="765"/>
      <c r="F4" s="765"/>
      <c r="G4" s="199"/>
    </row>
    <row r="5" spans="1:7" ht="26.25" hidden="1" customHeight="1" x14ac:dyDescent="0.15">
      <c r="A5" s="1133"/>
      <c r="B5" s="1133"/>
      <c r="C5" s="1133"/>
      <c r="D5" s="1133"/>
      <c r="E5" s="1133"/>
      <c r="F5" s="1133"/>
    </row>
    <row r="6" spans="1:7" ht="15" hidden="1" customHeight="1" x14ac:dyDescent="0.15">
      <c r="A6" s="1133"/>
      <c r="B6" s="1133"/>
      <c r="C6" s="1133"/>
      <c r="D6" s="1133"/>
      <c r="E6" s="1133"/>
      <c r="F6" s="1133"/>
    </row>
    <row r="7" spans="1:7" ht="10.5" customHeight="1" x14ac:dyDescent="0.15">
      <c r="A7" s="1152" t="s">
        <v>1390</v>
      </c>
      <c r="B7" s="1152"/>
      <c r="C7" s="1152"/>
      <c r="D7" s="1152"/>
      <c r="E7" s="1152"/>
      <c r="F7" s="1152"/>
    </row>
    <row r="8" spans="1:7" x14ac:dyDescent="0.15">
      <c r="A8" s="797"/>
      <c r="B8" s="797"/>
      <c r="C8" s="797"/>
      <c r="D8" s="797"/>
      <c r="E8" s="797"/>
      <c r="F8" s="797"/>
    </row>
    <row r="9" spans="1:7" ht="26" x14ac:dyDescent="0.15">
      <c r="A9" s="1016" t="s">
        <v>145</v>
      </c>
      <c r="B9" s="1016"/>
      <c r="C9" s="319" t="s">
        <v>73</v>
      </c>
      <c r="D9" s="319" t="s">
        <v>145</v>
      </c>
      <c r="E9" s="319" t="s">
        <v>551</v>
      </c>
      <c r="F9" s="394" t="s">
        <v>552</v>
      </c>
    </row>
    <row r="10" spans="1:7" s="116" customFormat="1" ht="18" customHeight="1" x14ac:dyDescent="0.15">
      <c r="A10" s="1151" t="s">
        <v>553</v>
      </c>
      <c r="B10" s="1151"/>
      <c r="C10" s="395" t="s">
        <v>146</v>
      </c>
      <c r="D10" s="396">
        <f>918*1.035</f>
        <v>950.12999999999988</v>
      </c>
      <c r="E10" s="396">
        <f>ROUND((D10),0)</f>
        <v>950</v>
      </c>
      <c r="F10" s="396">
        <f>(ROUND((E10*1.1577),0))</f>
        <v>1100</v>
      </c>
    </row>
    <row r="11" spans="1:7" ht="10.5" customHeight="1" x14ac:dyDescent="0.15">
      <c r="A11" s="797"/>
      <c r="B11" s="797"/>
      <c r="C11" s="797"/>
      <c r="D11" s="797"/>
      <c r="E11" s="797"/>
      <c r="F11" s="797"/>
    </row>
    <row r="20" spans="1:4" ht="14" x14ac:dyDescent="0.15">
      <c r="A20" s="102"/>
      <c r="D20" s="102"/>
    </row>
    <row r="21" spans="1:4" ht="14" x14ac:dyDescent="0.15">
      <c r="A21" s="83"/>
      <c r="D21" s="119"/>
    </row>
    <row r="22" spans="1:4" x14ac:dyDescent="0.15">
      <c r="A22" s="119"/>
    </row>
  </sheetData>
  <mergeCells count="11">
    <mergeCell ref="A10:B10"/>
    <mergeCell ref="A11:F11"/>
    <mergeCell ref="A1:D1"/>
    <mergeCell ref="E1:F4"/>
    <mergeCell ref="A2:D2"/>
    <mergeCell ref="A3:D3"/>
    <mergeCell ref="A4:D4"/>
    <mergeCell ref="A9:B9"/>
    <mergeCell ref="A5:F6"/>
    <mergeCell ref="A7:F7"/>
    <mergeCell ref="A8:F8"/>
  </mergeCells>
  <pageMargins left="0.7" right="0.7" top="0.75" bottom="0.75" header="0.3" footer="0.3"/>
  <pageSetup scale="87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FF0000"/>
  </sheetPr>
  <dimension ref="A1:M62"/>
  <sheetViews>
    <sheetView view="pageBreakPreview" zoomScale="115" zoomScaleNormal="130" zoomScaleSheetLayoutView="115" workbookViewId="0">
      <selection sqref="A1:XFD4"/>
    </sheetView>
  </sheetViews>
  <sheetFormatPr baseColWidth="10" defaultRowHeight="13" x14ac:dyDescent="0.15"/>
  <cols>
    <col min="1" max="1" width="6.1640625" style="348" customWidth="1"/>
    <col min="2" max="2" width="45" customWidth="1"/>
    <col min="3" max="4" width="13.1640625" customWidth="1"/>
    <col min="5" max="5" width="10.5" customWidth="1"/>
    <col min="6" max="6" width="7.5" customWidth="1"/>
    <col min="7" max="7" width="14.1640625" style="14" customWidth="1"/>
    <col min="8" max="8" width="15.5" style="9" customWidth="1"/>
    <col min="9" max="9" width="14.6640625" style="9" customWidth="1"/>
    <col min="10" max="10" width="11.83203125" customWidth="1"/>
    <col min="11" max="11" width="18.5" customWidth="1"/>
    <col min="13" max="13" width="36.5" customWidth="1"/>
  </cols>
  <sheetData>
    <row r="1" spans="1:11" ht="21" customHeight="1" x14ac:dyDescent="0.15">
      <c r="A1" s="765" t="s">
        <v>527</v>
      </c>
      <c r="B1" s="765"/>
      <c r="C1" s="765"/>
      <c r="D1" s="765"/>
      <c r="E1" s="765"/>
      <c r="F1" s="765"/>
      <c r="G1" s="765"/>
      <c r="H1" s="765"/>
      <c r="I1" s="797"/>
      <c r="J1" s="797"/>
      <c r="K1" s="797"/>
    </row>
    <row r="2" spans="1:11" ht="14.25" customHeight="1" x14ac:dyDescent="0.15">
      <c r="A2" s="798" t="s">
        <v>528</v>
      </c>
      <c r="B2" s="798"/>
      <c r="C2" s="798"/>
      <c r="D2" s="798"/>
      <c r="E2" s="798"/>
      <c r="F2" s="798"/>
      <c r="G2" s="798"/>
      <c r="H2" s="798"/>
      <c r="I2" s="797"/>
      <c r="J2" s="797"/>
      <c r="K2" s="797"/>
    </row>
    <row r="3" spans="1:11" ht="14.25" customHeight="1" x14ac:dyDescent="0.15">
      <c r="A3" s="798" t="s">
        <v>529</v>
      </c>
      <c r="B3" s="798"/>
      <c r="C3" s="798"/>
      <c r="D3" s="798"/>
      <c r="E3" s="798"/>
      <c r="F3" s="798"/>
      <c r="G3" s="798"/>
      <c r="H3" s="798"/>
      <c r="I3" s="797"/>
      <c r="J3" s="797"/>
      <c r="K3" s="797"/>
    </row>
    <row r="4" spans="1:11" ht="30.75" customHeight="1" x14ac:dyDescent="0.15">
      <c r="A4" s="768" t="s">
        <v>526</v>
      </c>
      <c r="B4" s="768"/>
      <c r="C4" s="768"/>
      <c r="D4" s="768"/>
      <c r="E4" s="768"/>
      <c r="F4" s="768"/>
      <c r="G4" s="768"/>
      <c r="H4" s="768"/>
      <c r="I4" s="797"/>
      <c r="J4" s="797"/>
      <c r="K4" s="797"/>
    </row>
    <row r="5" spans="1:11" ht="20.25" customHeight="1" x14ac:dyDescent="0.15">
      <c r="A5" s="1035" t="s">
        <v>419</v>
      </c>
      <c r="B5" s="1036"/>
      <c r="C5" s="1036"/>
      <c r="D5" s="1036"/>
      <c r="E5" s="1036"/>
      <c r="F5" s="1036"/>
      <c r="G5" s="1036"/>
      <c r="H5" s="1036"/>
      <c r="I5" s="1036"/>
      <c r="J5" s="1036"/>
      <c r="K5" s="1036"/>
    </row>
    <row r="6" spans="1:11" x14ac:dyDescent="0.15">
      <c r="A6" s="713"/>
      <c r="B6" s="713"/>
      <c r="C6" s="713"/>
      <c r="D6" s="713"/>
      <c r="E6" s="713"/>
      <c r="F6" s="713"/>
      <c r="G6" s="713"/>
      <c r="H6" s="713"/>
      <c r="I6" s="713"/>
      <c r="J6" s="713"/>
      <c r="K6" s="713"/>
    </row>
    <row r="7" spans="1:11" s="116" customFormat="1" ht="19.5" customHeight="1" x14ac:dyDescent="0.15">
      <c r="A7" s="723" t="s">
        <v>576</v>
      </c>
      <c r="B7" s="723"/>
      <c r="C7" s="723"/>
      <c r="D7" s="723"/>
      <c r="E7" s="723"/>
      <c r="F7" s="723"/>
      <c r="G7" s="723"/>
      <c r="H7" s="723"/>
      <c r="I7" s="723"/>
      <c r="J7" s="723"/>
      <c r="K7" s="317" t="e">
        <f>'PRESUPUESTO OBRA'!#REF!</f>
        <v>#REF!</v>
      </c>
    </row>
    <row r="8" spans="1:11" s="116" customFormat="1" ht="19.5" customHeight="1" x14ac:dyDescent="0.15">
      <c r="A8" s="723" t="s">
        <v>525</v>
      </c>
      <c r="B8" s="723"/>
      <c r="C8" s="723"/>
      <c r="D8" s="723"/>
      <c r="E8" s="723"/>
      <c r="F8" s="723"/>
      <c r="G8" s="723"/>
      <c r="H8" s="723"/>
      <c r="I8" s="723"/>
      <c r="J8" s="723"/>
      <c r="K8" s="318" t="e">
        <f>'PRESUPUESTO OBRA'!#REF!</f>
        <v>#REF!</v>
      </c>
    </row>
    <row r="9" spans="1:11" x14ac:dyDescent="0.15">
      <c r="A9" s="713"/>
      <c r="B9" s="713"/>
      <c r="C9" s="713"/>
      <c r="D9" s="713"/>
      <c r="E9" s="713"/>
      <c r="F9" s="713"/>
      <c r="G9" s="713"/>
      <c r="H9" s="713"/>
      <c r="I9" s="713"/>
      <c r="J9" s="713"/>
      <c r="K9" s="713"/>
    </row>
    <row r="10" spans="1:11" x14ac:dyDescent="0.15">
      <c r="A10" s="319">
        <v>1</v>
      </c>
      <c r="B10" s="726" t="s">
        <v>420</v>
      </c>
      <c r="C10" s="726"/>
      <c r="D10" s="726"/>
      <c r="E10" s="726"/>
      <c r="F10" s="726"/>
      <c r="G10" s="726"/>
      <c r="H10" s="726"/>
      <c r="I10" s="726"/>
      <c r="J10" s="726"/>
      <c r="K10" s="320">
        <f>I19+I27</f>
        <v>54290098.400000006</v>
      </c>
    </row>
    <row r="11" spans="1:11" s="270" customFormat="1" x14ac:dyDescent="0.15">
      <c r="A11" s="321" t="s">
        <v>185</v>
      </c>
      <c r="B11" s="1174" t="s">
        <v>421</v>
      </c>
      <c r="C11" s="1174"/>
      <c r="D11" s="1174"/>
      <c r="E11" s="1174"/>
      <c r="F11" s="1174"/>
      <c r="G11" s="1174"/>
      <c r="H11" s="1174"/>
      <c r="I11" s="1174"/>
      <c r="J11" s="322" t="s">
        <v>62</v>
      </c>
      <c r="K11" s="323"/>
    </row>
    <row r="12" spans="1:11" s="270" customFormat="1" ht="12" x14ac:dyDescent="0.15">
      <c r="A12" s="324" t="s">
        <v>351</v>
      </c>
      <c r="B12" s="324" t="s">
        <v>352</v>
      </c>
      <c r="C12" s="324" t="s">
        <v>185</v>
      </c>
      <c r="D12" s="324" t="s">
        <v>247</v>
      </c>
      <c r="E12" s="324" t="s">
        <v>270</v>
      </c>
      <c r="F12" s="324" t="s">
        <v>271</v>
      </c>
      <c r="G12" s="324" t="s">
        <v>353</v>
      </c>
      <c r="H12" s="324" t="s">
        <v>354</v>
      </c>
      <c r="I12" s="324" t="s">
        <v>355</v>
      </c>
      <c r="J12" s="1172" t="e">
        <f>K10/K7</f>
        <v>#REF!</v>
      </c>
      <c r="K12" s="1022"/>
    </row>
    <row r="13" spans="1:11" s="270" customFormat="1" ht="12" x14ac:dyDescent="0.15">
      <c r="A13" s="1033"/>
      <c r="B13" s="1030" t="s">
        <v>350</v>
      </c>
      <c r="C13" s="1030" t="s">
        <v>356</v>
      </c>
      <c r="D13" s="1030" t="s">
        <v>357</v>
      </c>
      <c r="E13" s="1030" t="s">
        <v>358</v>
      </c>
      <c r="F13" s="1030" t="s">
        <v>359</v>
      </c>
      <c r="G13" s="1030" t="s">
        <v>360</v>
      </c>
      <c r="H13" s="1030" t="s">
        <v>361</v>
      </c>
      <c r="I13" s="1030" t="s">
        <v>362</v>
      </c>
      <c r="J13" s="1172"/>
      <c r="K13" s="1022"/>
    </row>
    <row r="14" spans="1:11" s="270" customFormat="1" ht="24" customHeight="1" x14ac:dyDescent="0.15">
      <c r="A14" s="1033"/>
      <c r="B14" s="1030"/>
      <c r="C14" s="1030"/>
      <c r="D14" s="1030"/>
      <c r="E14" s="1030"/>
      <c r="F14" s="1030"/>
      <c r="G14" s="1030"/>
      <c r="H14" s="1030"/>
      <c r="I14" s="1030"/>
      <c r="J14" s="1172"/>
      <c r="K14" s="1022"/>
    </row>
    <row r="15" spans="1:11" s="270" customFormat="1" x14ac:dyDescent="0.15">
      <c r="A15" s="325">
        <v>1</v>
      </c>
      <c r="B15" s="326" t="s">
        <v>422</v>
      </c>
      <c r="C15" s="327">
        <f>1050505*2.5</f>
        <v>2626262.5</v>
      </c>
      <c r="D15" s="327">
        <f t="shared" ref="D15:D16" si="0">C15*A15</f>
        <v>2626262.5</v>
      </c>
      <c r="E15" s="325">
        <v>40</v>
      </c>
      <c r="F15" s="328">
        <v>1.9</v>
      </c>
      <c r="G15" s="327">
        <f>+D15*E15*F15/100</f>
        <v>1995959.5</v>
      </c>
      <c r="H15" s="325">
        <v>8</v>
      </c>
      <c r="I15" s="327">
        <f t="shared" ref="I15:I16" si="1">+G15*H15</f>
        <v>15967676</v>
      </c>
      <c r="J15" s="1172"/>
      <c r="K15" s="1022"/>
    </row>
    <row r="16" spans="1:11" s="270" customFormat="1" x14ac:dyDescent="0.15">
      <c r="A16" s="325">
        <v>1</v>
      </c>
      <c r="B16" s="326" t="s">
        <v>423</v>
      </c>
      <c r="C16" s="327">
        <f>1050505*2</f>
        <v>2101010</v>
      </c>
      <c r="D16" s="327">
        <f t="shared" si="0"/>
        <v>2101010</v>
      </c>
      <c r="E16" s="325">
        <v>100</v>
      </c>
      <c r="F16" s="328">
        <v>1.9</v>
      </c>
      <c r="G16" s="327">
        <f t="shared" ref="G16" si="2">+D16*E16*F16/100</f>
        <v>3991919</v>
      </c>
      <c r="H16" s="325">
        <v>6</v>
      </c>
      <c r="I16" s="327">
        <f t="shared" si="1"/>
        <v>23951514</v>
      </c>
      <c r="J16" s="1172"/>
      <c r="K16" s="1022"/>
    </row>
    <row r="17" spans="1:13" s="270" customFormat="1" x14ac:dyDescent="0.15">
      <c r="A17" s="325">
        <v>1</v>
      </c>
      <c r="B17" s="326" t="s">
        <v>417</v>
      </c>
      <c r="C17" s="327">
        <f>1050505*1.5</f>
        <v>1575757.5</v>
      </c>
      <c r="D17" s="327">
        <f t="shared" ref="D17" si="3">C17*A17</f>
        <v>1575757.5</v>
      </c>
      <c r="E17" s="325">
        <v>40</v>
      </c>
      <c r="F17" s="328">
        <v>1.9</v>
      </c>
      <c r="G17" s="327">
        <f t="shared" ref="G17" si="4">+D17*E17*F17/100</f>
        <v>1197575.7</v>
      </c>
      <c r="H17" s="325">
        <v>6</v>
      </c>
      <c r="I17" s="327">
        <f t="shared" ref="I17" si="5">+G17*H17</f>
        <v>7185454.1999999993</v>
      </c>
      <c r="J17" s="1172"/>
      <c r="K17" s="1022"/>
    </row>
    <row r="18" spans="1:13" s="270" customFormat="1" ht="12" x14ac:dyDescent="0.15">
      <c r="A18" s="1031"/>
      <c r="B18" s="1031"/>
      <c r="C18" s="1031"/>
      <c r="D18" s="1031"/>
      <c r="E18" s="1031"/>
      <c r="F18" s="1031"/>
      <c r="G18" s="1031"/>
      <c r="H18" s="1031"/>
      <c r="I18" s="1031"/>
      <c r="J18" s="1172"/>
      <c r="K18" s="1022"/>
    </row>
    <row r="19" spans="1:13" s="270" customFormat="1" ht="12" x14ac:dyDescent="0.15">
      <c r="A19" s="325"/>
      <c r="B19" s="1029" t="s">
        <v>424</v>
      </c>
      <c r="C19" s="1029"/>
      <c r="D19" s="1029"/>
      <c r="E19" s="1029"/>
      <c r="F19" s="1029"/>
      <c r="G19" s="1029"/>
      <c r="H19" s="1029"/>
      <c r="I19" s="329">
        <f>SUM(I15:I17)</f>
        <v>47104644.200000003</v>
      </c>
      <c r="J19" s="1172"/>
      <c r="K19" s="1022"/>
    </row>
    <row r="20" spans="1:13" s="270" customFormat="1" ht="12" x14ac:dyDescent="0.15">
      <c r="A20" s="1031"/>
      <c r="B20" s="1031"/>
      <c r="C20" s="1031"/>
      <c r="D20" s="1031"/>
      <c r="E20" s="1031"/>
      <c r="F20" s="1031"/>
      <c r="G20" s="1031"/>
      <c r="H20" s="1031"/>
      <c r="I20" s="1031"/>
      <c r="J20" s="1172"/>
      <c r="K20" s="1022"/>
    </row>
    <row r="21" spans="1:13" s="270" customFormat="1" ht="12" x14ac:dyDescent="0.15">
      <c r="A21" s="321" t="s">
        <v>247</v>
      </c>
      <c r="B21" s="1174" t="s">
        <v>425</v>
      </c>
      <c r="C21" s="1174"/>
      <c r="D21" s="1174"/>
      <c r="E21" s="1174"/>
      <c r="F21" s="1174"/>
      <c r="G21" s="1174"/>
      <c r="H21" s="1174"/>
      <c r="I21" s="1174"/>
      <c r="J21" s="1172"/>
      <c r="K21" s="1022"/>
    </row>
    <row r="22" spans="1:13" s="270" customFormat="1" ht="12" x14ac:dyDescent="0.15">
      <c r="A22" s="325"/>
      <c r="B22" s="324" t="s">
        <v>352</v>
      </c>
      <c r="C22" s="324" t="s">
        <v>185</v>
      </c>
      <c r="D22" s="324" t="s">
        <v>247</v>
      </c>
      <c r="E22" s="324" t="s">
        <v>270</v>
      </c>
      <c r="F22" s="324" t="s">
        <v>271</v>
      </c>
      <c r="G22" s="324" t="s">
        <v>353</v>
      </c>
      <c r="H22" s="324" t="s">
        <v>354</v>
      </c>
      <c r="I22" s="324" t="s">
        <v>355</v>
      </c>
      <c r="J22" s="1172"/>
      <c r="K22" s="1022"/>
    </row>
    <row r="23" spans="1:13" s="270" customFormat="1" ht="12" x14ac:dyDescent="0.15">
      <c r="A23" s="1033"/>
      <c r="B23" s="1030" t="s">
        <v>350</v>
      </c>
      <c r="C23" s="1030" t="s">
        <v>356</v>
      </c>
      <c r="D23" s="1030" t="s">
        <v>357</v>
      </c>
      <c r="E23" s="1030" t="s">
        <v>358</v>
      </c>
      <c r="F23" s="1030" t="s">
        <v>359</v>
      </c>
      <c r="G23" s="1030" t="s">
        <v>360</v>
      </c>
      <c r="H23" s="1030" t="s">
        <v>361</v>
      </c>
      <c r="I23" s="1030" t="s">
        <v>362</v>
      </c>
      <c r="J23" s="1172"/>
      <c r="K23" s="1022"/>
    </row>
    <row r="24" spans="1:13" s="270" customFormat="1" ht="24" customHeight="1" x14ac:dyDescent="0.15">
      <c r="A24" s="1033"/>
      <c r="B24" s="1030"/>
      <c r="C24" s="1030"/>
      <c r="D24" s="1030"/>
      <c r="E24" s="1030"/>
      <c r="F24" s="1030"/>
      <c r="G24" s="1030"/>
      <c r="H24" s="1030"/>
      <c r="I24" s="1030"/>
      <c r="J24" s="1172"/>
      <c r="K24" s="1022"/>
    </row>
    <row r="25" spans="1:13" s="270" customFormat="1" ht="12" x14ac:dyDescent="0.15">
      <c r="A25" s="325">
        <v>1</v>
      </c>
      <c r="B25" s="330" t="s">
        <v>426</v>
      </c>
      <c r="C25" s="327">
        <f>1050505*1.5</f>
        <v>1575757.5</v>
      </c>
      <c r="D25" s="327">
        <f>C25*A25</f>
        <v>1575757.5</v>
      </c>
      <c r="E25" s="325">
        <v>40</v>
      </c>
      <c r="F25" s="328">
        <v>1.9</v>
      </c>
      <c r="G25" s="327">
        <f>+D25*E25*F25/100</f>
        <v>1197575.7</v>
      </c>
      <c r="H25" s="325">
        <v>6</v>
      </c>
      <c r="I25" s="327">
        <f>+G25*H25</f>
        <v>7185454.1999999993</v>
      </c>
      <c r="J25" s="1172"/>
      <c r="K25" s="1022"/>
    </row>
    <row r="26" spans="1:13" s="270" customFormat="1" ht="12" x14ac:dyDescent="0.15">
      <c r="A26" s="1031"/>
      <c r="B26" s="1031"/>
      <c r="C26" s="1031"/>
      <c r="D26" s="1031"/>
      <c r="E26" s="1031"/>
      <c r="F26" s="1031"/>
      <c r="G26" s="1031"/>
      <c r="H26" s="1031"/>
      <c r="I26" s="1031"/>
      <c r="J26" s="1172"/>
      <c r="K26" s="1022"/>
    </row>
    <row r="27" spans="1:13" s="270" customFormat="1" ht="12" x14ac:dyDescent="0.15">
      <c r="A27" s="325"/>
      <c r="B27" s="1029" t="s">
        <v>427</v>
      </c>
      <c r="C27" s="1029"/>
      <c r="D27" s="1029"/>
      <c r="E27" s="1029"/>
      <c r="F27" s="1029"/>
      <c r="G27" s="1029"/>
      <c r="H27" s="1029"/>
      <c r="I27" s="329">
        <f>SUM(I25:I25)</f>
        <v>7185454.1999999993</v>
      </c>
      <c r="J27" s="1172"/>
      <c r="K27" s="1022"/>
    </row>
    <row r="28" spans="1:13" s="270" customFormat="1" ht="14.25" customHeight="1" x14ac:dyDescent="0.15">
      <c r="A28" s="1022"/>
      <c r="B28" s="1022"/>
      <c r="C28" s="1022"/>
      <c r="D28" s="1022"/>
      <c r="E28" s="1022"/>
      <c r="F28" s="1022"/>
      <c r="G28" s="1022"/>
      <c r="H28" s="1022"/>
      <c r="I28" s="1022"/>
      <c r="J28" s="1172"/>
      <c r="K28" s="1022"/>
    </row>
    <row r="29" spans="1:13" s="270" customFormat="1" ht="14.25" customHeight="1" x14ac:dyDescent="0.15">
      <c r="A29" s="1022"/>
      <c r="B29" s="1022"/>
      <c r="C29" s="1022"/>
      <c r="D29" s="1022"/>
      <c r="E29" s="1022"/>
      <c r="F29" s="1022"/>
      <c r="G29" s="1022"/>
      <c r="H29" s="1022"/>
      <c r="I29" s="1022"/>
      <c r="J29" s="1172"/>
      <c r="K29" s="1022"/>
    </row>
    <row r="30" spans="1:13" x14ac:dyDescent="0.15">
      <c r="A30" s="1016"/>
      <c r="B30" s="1016"/>
      <c r="C30" s="1016"/>
      <c r="D30" s="1016"/>
      <c r="E30" s="1016"/>
      <c r="F30" s="1016"/>
      <c r="G30" s="1016"/>
      <c r="H30" s="1016"/>
      <c r="I30" s="1016"/>
      <c r="J30" s="1016"/>
      <c r="K30" s="1016"/>
    </row>
    <row r="31" spans="1:13" x14ac:dyDescent="0.15">
      <c r="A31" s="319">
        <v>2</v>
      </c>
      <c r="B31" s="726" t="s">
        <v>428</v>
      </c>
      <c r="C31" s="726"/>
      <c r="D31" s="726"/>
      <c r="E31" s="726"/>
      <c r="F31" s="726"/>
      <c r="G31" s="726"/>
      <c r="H31" s="726"/>
      <c r="I31" s="726"/>
      <c r="J31" s="726"/>
      <c r="K31" s="320">
        <f>SUM(I32:I35)</f>
        <v>11468900.947999999</v>
      </c>
    </row>
    <row r="32" spans="1:13" ht="13.5" customHeight="1" x14ac:dyDescent="0.15">
      <c r="A32" s="319">
        <v>2.1</v>
      </c>
      <c r="B32" s="1169" t="s">
        <v>577</v>
      </c>
      <c r="C32" s="1170"/>
      <c r="D32" s="1170"/>
      <c r="E32" s="1171"/>
      <c r="F32" s="53" t="s">
        <v>346</v>
      </c>
      <c r="G32" s="70">
        <v>6</v>
      </c>
      <c r="H32" s="331">
        <v>88150.157999999996</v>
      </c>
      <c r="I32" s="8">
        <f t="shared" ref="I32:I45" si="6">H32*G32</f>
        <v>528900.94799999997</v>
      </c>
      <c r="J32" s="1172" t="e">
        <f>K31/K7</f>
        <v>#REF!</v>
      </c>
      <c r="K32" s="1173"/>
      <c r="M32" s="106"/>
    </row>
    <row r="33" spans="1:13" ht="13.5" customHeight="1" x14ac:dyDescent="0.15">
      <c r="A33" s="319">
        <v>2.2000000000000002</v>
      </c>
      <c r="B33" s="1169" t="s">
        <v>553</v>
      </c>
      <c r="C33" s="1170"/>
      <c r="D33" s="1170"/>
      <c r="E33" s="1171"/>
      <c r="F33" s="53" t="s">
        <v>346</v>
      </c>
      <c r="G33" s="70">
        <v>6</v>
      </c>
      <c r="H33" s="331">
        <v>1200000</v>
      </c>
      <c r="I33" s="8">
        <f t="shared" ref="I33" si="7">H33*G33</f>
        <v>7200000</v>
      </c>
      <c r="J33" s="1172"/>
      <c r="K33" s="1173"/>
      <c r="M33" s="106"/>
    </row>
    <row r="34" spans="1:13" ht="13.5" customHeight="1" x14ac:dyDescent="0.15">
      <c r="A34" s="319">
        <v>2.2999999999999998</v>
      </c>
      <c r="B34" s="1154" t="s">
        <v>429</v>
      </c>
      <c r="C34" s="1155"/>
      <c r="D34" s="1155"/>
      <c r="E34" s="1156"/>
      <c r="F34" s="53" t="s">
        <v>319</v>
      </c>
      <c r="G34" s="70">
        <v>20</v>
      </c>
      <c r="H34" s="331">
        <v>158500</v>
      </c>
      <c r="I34" s="8">
        <f t="shared" si="6"/>
        <v>3170000</v>
      </c>
      <c r="J34" s="1172"/>
      <c r="K34" s="1173"/>
    </row>
    <row r="35" spans="1:13" ht="13.5" customHeight="1" x14ac:dyDescent="0.15">
      <c r="A35" s="332">
        <v>2.4</v>
      </c>
      <c r="B35" s="1154" t="s">
        <v>430</v>
      </c>
      <c r="C35" s="1155"/>
      <c r="D35" s="1155"/>
      <c r="E35" s="1156"/>
      <c r="F35" s="53" t="s">
        <v>319</v>
      </c>
      <c r="G35" s="70">
        <v>20</v>
      </c>
      <c r="H35" s="331">
        <v>28500</v>
      </c>
      <c r="I35" s="8">
        <f t="shared" si="6"/>
        <v>570000</v>
      </c>
      <c r="J35" s="1172"/>
      <c r="K35" s="1173"/>
    </row>
    <row r="36" spans="1:13" x14ac:dyDescent="0.15">
      <c r="A36" s="713"/>
      <c r="B36" s="713"/>
      <c r="C36" s="713"/>
      <c r="D36" s="713"/>
      <c r="E36" s="713"/>
      <c r="F36" s="713"/>
      <c r="G36" s="713"/>
      <c r="H36" s="713"/>
      <c r="I36" s="713"/>
      <c r="J36" s="713"/>
      <c r="K36" s="713"/>
    </row>
    <row r="37" spans="1:13" x14ac:dyDescent="0.15">
      <c r="A37" s="713"/>
      <c r="B37" s="713"/>
      <c r="C37" s="713"/>
      <c r="D37" s="713"/>
      <c r="E37" s="713"/>
      <c r="F37" s="713"/>
      <c r="G37" s="713"/>
      <c r="H37" s="713"/>
      <c r="I37" s="713"/>
      <c r="J37" s="713"/>
      <c r="K37" s="713"/>
    </row>
    <row r="38" spans="1:13" ht="39" x14ac:dyDescent="0.15">
      <c r="A38" s="333" t="s">
        <v>0</v>
      </c>
      <c r="B38" s="1160" t="s">
        <v>1</v>
      </c>
      <c r="C38" s="1161"/>
      <c r="D38" s="1161"/>
      <c r="E38" s="1162"/>
      <c r="F38" s="334" t="s">
        <v>62</v>
      </c>
      <c r="G38" s="335" t="s">
        <v>431</v>
      </c>
      <c r="H38" s="336" t="s">
        <v>432</v>
      </c>
      <c r="I38" s="337" t="s">
        <v>433</v>
      </c>
      <c r="J38" s="338" t="s">
        <v>62</v>
      </c>
      <c r="K38" s="339" t="s">
        <v>4</v>
      </c>
    </row>
    <row r="39" spans="1:13" x14ac:dyDescent="0.15">
      <c r="A39" s="319">
        <v>3</v>
      </c>
      <c r="B39" s="726" t="s">
        <v>434</v>
      </c>
      <c r="C39" s="726"/>
      <c r="D39" s="726"/>
      <c r="E39" s="726"/>
      <c r="F39" s="726"/>
      <c r="G39" s="726"/>
      <c r="H39" s="726"/>
      <c r="I39" s="726"/>
      <c r="J39" s="726"/>
      <c r="K39" s="320" t="e">
        <f>SUM(I40:I45)</f>
        <v>#REF!</v>
      </c>
    </row>
    <row r="40" spans="1:13" x14ac:dyDescent="0.15">
      <c r="A40" s="332">
        <v>3.1</v>
      </c>
      <c r="B40" s="1154" t="s">
        <v>435</v>
      </c>
      <c r="C40" s="1155"/>
      <c r="D40" s="1155"/>
      <c r="E40" s="1156"/>
      <c r="F40" s="340">
        <v>1</v>
      </c>
      <c r="G40" s="70" t="e">
        <f>K8*F40</f>
        <v>#REF!</v>
      </c>
      <c r="H40" s="341">
        <v>3.5000000000000003E-2</v>
      </c>
      <c r="I40" s="8" t="e">
        <f>H40*G40</f>
        <v>#REF!</v>
      </c>
      <c r="J40" s="1163" t="e">
        <f>K39/K7</f>
        <v>#REF!</v>
      </c>
      <c r="K40" s="1166"/>
    </row>
    <row r="41" spans="1:13" x14ac:dyDescent="0.15">
      <c r="A41" s="332">
        <v>3.2</v>
      </c>
      <c r="B41" s="1154" t="s">
        <v>436</v>
      </c>
      <c r="C41" s="1155"/>
      <c r="D41" s="1155"/>
      <c r="E41" s="1156"/>
      <c r="F41" s="340">
        <v>0.4</v>
      </c>
      <c r="G41" s="70" t="e">
        <f>K8*F41</f>
        <v>#REF!</v>
      </c>
      <c r="H41" s="341">
        <v>8.9999999999999998E-4</v>
      </c>
      <c r="I41" s="8" t="e">
        <f>H41*G41</f>
        <v>#REF!</v>
      </c>
      <c r="J41" s="1164"/>
      <c r="K41" s="1167"/>
    </row>
    <row r="42" spans="1:13" x14ac:dyDescent="0.15">
      <c r="A42" s="332">
        <v>3.3</v>
      </c>
      <c r="B42" s="1154" t="s">
        <v>437</v>
      </c>
      <c r="C42" s="1155"/>
      <c r="D42" s="1155"/>
      <c r="E42" s="1156"/>
      <c r="F42" s="340">
        <v>0.1</v>
      </c>
      <c r="G42" s="70" t="e">
        <f>K8*F42</f>
        <v>#REF!</v>
      </c>
      <c r="H42" s="341">
        <v>6.9999999999999999E-4</v>
      </c>
      <c r="I42" s="8" t="e">
        <f t="shared" ref="I42:I43" si="8">H42*G42</f>
        <v>#REF!</v>
      </c>
      <c r="J42" s="1164"/>
      <c r="K42" s="1167"/>
    </row>
    <row r="43" spans="1:13" x14ac:dyDescent="0.15">
      <c r="A43" s="332">
        <v>3.4</v>
      </c>
      <c r="B43" s="1154" t="s">
        <v>438</v>
      </c>
      <c r="C43" s="1155"/>
      <c r="D43" s="1155"/>
      <c r="E43" s="1156"/>
      <c r="F43" s="340">
        <v>0.1</v>
      </c>
      <c r="G43" s="70" t="e">
        <f>K8*F43</f>
        <v>#REF!</v>
      </c>
      <c r="H43" s="341">
        <v>3.0000000000000001E-3</v>
      </c>
      <c r="I43" s="8" t="e">
        <f t="shared" si="8"/>
        <v>#REF!</v>
      </c>
      <c r="J43" s="1164"/>
      <c r="K43" s="1167"/>
    </row>
    <row r="44" spans="1:13" x14ac:dyDescent="0.15">
      <c r="A44" s="332">
        <v>3.5</v>
      </c>
      <c r="B44" s="1154" t="s">
        <v>439</v>
      </c>
      <c r="C44" s="1155"/>
      <c r="D44" s="1155"/>
      <c r="E44" s="1156"/>
      <c r="F44" s="340">
        <v>0.5</v>
      </c>
      <c r="G44" s="70" t="e">
        <f>K8*F44</f>
        <v>#REF!</v>
      </c>
      <c r="H44" s="342">
        <v>1.1999999999999999E-3</v>
      </c>
      <c r="I44" s="8" t="e">
        <f t="shared" si="6"/>
        <v>#REF!</v>
      </c>
      <c r="J44" s="1164"/>
      <c r="K44" s="1167"/>
    </row>
    <row r="45" spans="1:13" x14ac:dyDescent="0.15">
      <c r="A45" s="332">
        <v>3.6</v>
      </c>
      <c r="B45" s="1154" t="s">
        <v>440</v>
      </c>
      <c r="C45" s="1155"/>
      <c r="D45" s="1155"/>
      <c r="E45" s="1156"/>
      <c r="F45" s="340">
        <v>0.5</v>
      </c>
      <c r="G45" s="70" t="e">
        <f>K8*F45</f>
        <v>#REF!</v>
      </c>
      <c r="H45" s="342">
        <v>8.0000000000000004E-4</v>
      </c>
      <c r="I45" s="8" t="e">
        <f t="shared" si="6"/>
        <v>#REF!</v>
      </c>
      <c r="J45" s="1165"/>
      <c r="K45" s="1168"/>
    </row>
    <row r="46" spans="1:13" x14ac:dyDescent="0.15">
      <c r="A46" s="1016"/>
      <c r="B46" s="1016"/>
      <c r="C46" s="1016"/>
      <c r="D46" s="1016"/>
      <c r="E46" s="1016"/>
      <c r="F46" s="1016"/>
      <c r="G46" s="1016"/>
      <c r="H46" s="1016"/>
      <c r="I46" s="1016"/>
      <c r="J46" s="1016"/>
      <c r="K46" s="1016"/>
    </row>
    <row r="47" spans="1:13" x14ac:dyDescent="0.15">
      <c r="A47" s="319">
        <v>1</v>
      </c>
      <c r="B47" s="716" t="s">
        <v>441</v>
      </c>
      <c r="C47" s="716"/>
      <c r="D47" s="716"/>
      <c r="E47" s="716"/>
      <c r="F47" s="716"/>
      <c r="G47" s="716"/>
      <c r="H47" s="716"/>
      <c r="I47" s="716"/>
      <c r="J47" s="343" t="e">
        <f>J40+J32+J12</f>
        <v>#REF!</v>
      </c>
      <c r="K47" s="320" t="e">
        <f>K39+K31+K10</f>
        <v>#REF!</v>
      </c>
    </row>
    <row r="48" spans="1:13" x14ac:dyDescent="0.15">
      <c r="A48" s="319">
        <v>2</v>
      </c>
      <c r="B48" s="716" t="s">
        <v>442</v>
      </c>
      <c r="C48" s="716"/>
      <c r="D48" s="716"/>
      <c r="E48" s="716"/>
      <c r="F48" s="716"/>
      <c r="G48" s="716"/>
      <c r="H48" s="716"/>
      <c r="I48" s="716"/>
      <c r="J48" s="343" t="e">
        <f>K48/K7</f>
        <v>#REF!</v>
      </c>
      <c r="K48" s="320" t="e">
        <f>K47*0.19</f>
        <v>#REF!</v>
      </c>
    </row>
    <row r="49" spans="1:11" x14ac:dyDescent="0.15">
      <c r="A49" s="1157"/>
      <c r="B49" s="1158"/>
      <c r="C49" s="1158"/>
      <c r="D49" s="1158"/>
      <c r="E49" s="1158"/>
      <c r="F49" s="1158"/>
      <c r="G49" s="1158"/>
      <c r="H49" s="1158"/>
      <c r="I49" s="1158"/>
      <c r="J49" s="1158"/>
      <c r="K49" s="1159"/>
    </row>
    <row r="50" spans="1:11" s="159" customFormat="1" ht="20.25" customHeight="1" x14ac:dyDescent="0.15">
      <c r="A50" s="344"/>
      <c r="B50" s="1153" t="s">
        <v>443</v>
      </c>
      <c r="C50" s="1153"/>
      <c r="D50" s="1153"/>
      <c r="E50" s="1153"/>
      <c r="F50" s="1153"/>
      <c r="G50" s="1153"/>
      <c r="H50" s="1153"/>
      <c r="I50" s="1153"/>
      <c r="J50" s="1153"/>
      <c r="K50" s="353" t="e">
        <f>K47+K48</f>
        <v>#REF!</v>
      </c>
    </row>
    <row r="51" spans="1:11" x14ac:dyDescent="0.15">
      <c r="A51" s="1016"/>
      <c r="B51" s="1016"/>
      <c r="C51" s="1016"/>
      <c r="D51" s="1016"/>
      <c r="E51" s="1016"/>
      <c r="F51" s="1016"/>
      <c r="G51" s="1016"/>
      <c r="H51" s="1016"/>
      <c r="I51" s="1016"/>
      <c r="J51" s="1016"/>
      <c r="K51" s="1016"/>
    </row>
    <row r="52" spans="1:11" x14ac:dyDescent="0.15">
      <c r="A52" s="345"/>
      <c r="B52" s="345"/>
      <c r="C52" s="345"/>
      <c r="D52" s="345"/>
      <c r="E52" s="345"/>
      <c r="F52" s="345"/>
      <c r="G52" s="345"/>
      <c r="H52" s="345"/>
      <c r="I52" s="345"/>
      <c r="J52" s="345"/>
      <c r="K52" s="345"/>
    </row>
    <row r="53" spans="1:11" x14ac:dyDescent="0.15">
      <c r="A53" s="345"/>
      <c r="B53" s="345"/>
      <c r="C53" s="345"/>
      <c r="D53" s="345"/>
      <c r="E53" s="345"/>
      <c r="F53" s="345"/>
      <c r="G53" s="345"/>
      <c r="H53" s="345"/>
      <c r="I53" s="345"/>
      <c r="J53" s="345"/>
      <c r="K53" s="346"/>
    </row>
    <row r="54" spans="1:11" x14ac:dyDescent="0.15">
      <c r="A54" s="345"/>
      <c r="B54" s="345"/>
      <c r="C54" s="345"/>
      <c r="D54" s="345"/>
      <c r="E54" s="345"/>
      <c r="F54" s="345"/>
      <c r="G54" s="345"/>
      <c r="H54" s="345"/>
      <c r="I54" s="345"/>
      <c r="J54" s="347"/>
      <c r="K54" s="346"/>
    </row>
    <row r="55" spans="1:11" x14ac:dyDescent="0.15">
      <c r="G55" s="71"/>
      <c r="J55" s="349"/>
      <c r="K55" s="71"/>
    </row>
    <row r="56" spans="1:11" x14ac:dyDescent="0.15">
      <c r="G56" s="71"/>
      <c r="H56" s="350"/>
      <c r="I56" s="351"/>
      <c r="J56" s="349"/>
      <c r="K56" s="42"/>
    </row>
    <row r="57" spans="1:11" x14ac:dyDescent="0.15">
      <c r="G57" s="71"/>
      <c r="H57" s="352"/>
      <c r="I57" s="352"/>
      <c r="J57" s="349"/>
      <c r="K57" s="71"/>
    </row>
    <row r="58" spans="1:11" x14ac:dyDescent="0.15">
      <c r="G58" s="71"/>
      <c r="H58" s="352"/>
      <c r="I58" s="352"/>
      <c r="J58" s="349"/>
      <c r="K58" s="71"/>
    </row>
    <row r="59" spans="1:11" ht="14" x14ac:dyDescent="0.15">
      <c r="B59" s="102" t="s">
        <v>530</v>
      </c>
      <c r="C59" s="102"/>
      <c r="D59" s="102"/>
      <c r="E59" s="102"/>
      <c r="G59" s="71"/>
      <c r="H59" s="352"/>
      <c r="I59" s="352"/>
      <c r="J59" s="71"/>
      <c r="K59" s="71"/>
    </row>
    <row r="60" spans="1:11" ht="14" x14ac:dyDescent="0.15">
      <c r="A60" s="82"/>
      <c r="B60" s="83" t="s">
        <v>531</v>
      </c>
      <c r="C60" s="83"/>
      <c r="D60" s="83"/>
      <c r="E60" s="83"/>
      <c r="F60" s="83"/>
      <c r="G60" s="84"/>
      <c r="H60" s="83"/>
      <c r="I60" s="83"/>
      <c r="J60" s="83"/>
      <c r="K60" s="83"/>
    </row>
    <row r="61" spans="1:11" ht="14" x14ac:dyDescent="0.15">
      <c r="A61" s="82"/>
      <c r="B61" s="83"/>
      <c r="C61" s="83"/>
      <c r="D61" s="83"/>
      <c r="E61" s="83"/>
      <c r="F61" s="83"/>
      <c r="G61" s="84"/>
      <c r="H61" s="83"/>
      <c r="I61" s="83"/>
      <c r="J61" s="83"/>
      <c r="K61" s="83"/>
    </row>
    <row r="62" spans="1:11" x14ac:dyDescent="0.15">
      <c r="G62" s="71"/>
    </row>
  </sheetData>
  <mergeCells count="66">
    <mergeCell ref="I1:K4"/>
    <mergeCell ref="A1:H1"/>
    <mergeCell ref="A2:H2"/>
    <mergeCell ref="A3:H3"/>
    <mergeCell ref="A4:H4"/>
    <mergeCell ref="A6:K6"/>
    <mergeCell ref="A28:I28"/>
    <mergeCell ref="A5:K5"/>
    <mergeCell ref="I13:I14"/>
    <mergeCell ref="A7:J7"/>
    <mergeCell ref="A8:J8"/>
    <mergeCell ref="A9:K9"/>
    <mergeCell ref="B10:J10"/>
    <mergeCell ref="B11:I11"/>
    <mergeCell ref="J12:J29"/>
    <mergeCell ref="K12:K29"/>
    <mergeCell ref="A13:A14"/>
    <mergeCell ref="B13:B14"/>
    <mergeCell ref="C13:C14"/>
    <mergeCell ref="D13:D14"/>
    <mergeCell ref="E13:E14"/>
    <mergeCell ref="F13:F14"/>
    <mergeCell ref="G13:G14"/>
    <mergeCell ref="H13:H14"/>
    <mergeCell ref="A29:I29"/>
    <mergeCell ref="A18:I18"/>
    <mergeCell ref="B19:H19"/>
    <mergeCell ref="A20:I20"/>
    <mergeCell ref="B21:I21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A26:I26"/>
    <mergeCell ref="B27:H27"/>
    <mergeCell ref="B31:J31"/>
    <mergeCell ref="B32:E32"/>
    <mergeCell ref="J32:J35"/>
    <mergeCell ref="A30:K30"/>
    <mergeCell ref="K32:K35"/>
    <mergeCell ref="B34:E34"/>
    <mergeCell ref="B35:E35"/>
    <mergeCell ref="B33:E33"/>
    <mergeCell ref="A36:K36"/>
    <mergeCell ref="A37:K37"/>
    <mergeCell ref="B38:E38"/>
    <mergeCell ref="B39:J39"/>
    <mergeCell ref="B40:E40"/>
    <mergeCell ref="J40:J45"/>
    <mergeCell ref="K40:K45"/>
    <mergeCell ref="B41:E41"/>
    <mergeCell ref="B42:E42"/>
    <mergeCell ref="B43:E43"/>
    <mergeCell ref="B50:J50"/>
    <mergeCell ref="A51:K51"/>
    <mergeCell ref="B44:E44"/>
    <mergeCell ref="B45:E45"/>
    <mergeCell ref="A46:K46"/>
    <mergeCell ref="B47:I47"/>
    <mergeCell ref="B48:I48"/>
    <mergeCell ref="A49:K49"/>
  </mergeCells>
  <pageMargins left="0.51181102362204722" right="0.31496062992125984" top="0.35433070866141736" bottom="0.35433070866141736" header="0.31496062992125984" footer="0.31496062992125984"/>
  <pageSetup scale="75" orientation="landscape" r:id="rId1"/>
  <rowBreaks count="1" manualBreakCount="1">
    <brk id="2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FF0000"/>
  </sheetPr>
  <dimension ref="A1:F43"/>
  <sheetViews>
    <sheetView view="pageBreakPreview" zoomScale="115" zoomScaleNormal="100" zoomScaleSheetLayoutView="115" workbookViewId="0">
      <selection sqref="A1:XFD4"/>
    </sheetView>
  </sheetViews>
  <sheetFormatPr baseColWidth="10" defaultRowHeight="13" x14ac:dyDescent="0.15"/>
  <cols>
    <col min="1" max="1" width="12.5" customWidth="1"/>
    <col min="2" max="2" width="41.1640625" customWidth="1"/>
    <col min="3" max="3" width="9.1640625" bestFit="1" customWidth="1"/>
    <col min="4" max="4" width="16.5" customWidth="1"/>
    <col min="243" max="243" width="41.1640625" customWidth="1"/>
    <col min="244" max="244" width="25.1640625" customWidth="1"/>
    <col min="499" max="499" width="41.1640625" customWidth="1"/>
    <col min="500" max="500" width="25.1640625" customWidth="1"/>
    <col min="755" max="755" width="41.1640625" customWidth="1"/>
    <col min="756" max="756" width="25.1640625" customWidth="1"/>
    <col min="1011" max="1011" width="41.1640625" customWidth="1"/>
    <col min="1012" max="1012" width="25.1640625" customWidth="1"/>
    <col min="1267" max="1267" width="41.1640625" customWidth="1"/>
    <col min="1268" max="1268" width="25.1640625" customWidth="1"/>
    <col min="1523" max="1523" width="41.1640625" customWidth="1"/>
    <col min="1524" max="1524" width="25.1640625" customWidth="1"/>
    <col min="1779" max="1779" width="41.1640625" customWidth="1"/>
    <col min="1780" max="1780" width="25.1640625" customWidth="1"/>
    <col min="2035" max="2035" width="41.1640625" customWidth="1"/>
    <col min="2036" max="2036" width="25.1640625" customWidth="1"/>
    <col min="2291" max="2291" width="41.1640625" customWidth="1"/>
    <col min="2292" max="2292" width="25.1640625" customWidth="1"/>
    <col min="2547" max="2547" width="41.1640625" customWidth="1"/>
    <col min="2548" max="2548" width="25.1640625" customWidth="1"/>
    <col min="2803" max="2803" width="41.1640625" customWidth="1"/>
    <col min="2804" max="2804" width="25.1640625" customWidth="1"/>
    <col min="3059" max="3059" width="41.1640625" customWidth="1"/>
    <col min="3060" max="3060" width="25.1640625" customWidth="1"/>
    <col min="3315" max="3315" width="41.1640625" customWidth="1"/>
    <col min="3316" max="3316" width="25.1640625" customWidth="1"/>
    <col min="3571" max="3571" width="41.1640625" customWidth="1"/>
    <col min="3572" max="3572" width="25.1640625" customWidth="1"/>
    <col min="3827" max="3827" width="41.1640625" customWidth="1"/>
    <col min="3828" max="3828" width="25.1640625" customWidth="1"/>
    <col min="4083" max="4083" width="41.1640625" customWidth="1"/>
    <col min="4084" max="4084" width="25.1640625" customWidth="1"/>
    <col min="4339" max="4339" width="41.1640625" customWidth="1"/>
    <col min="4340" max="4340" width="25.1640625" customWidth="1"/>
    <col min="4595" max="4595" width="41.1640625" customWidth="1"/>
    <col min="4596" max="4596" width="25.1640625" customWidth="1"/>
    <col min="4851" max="4851" width="41.1640625" customWidth="1"/>
    <col min="4852" max="4852" width="25.1640625" customWidth="1"/>
    <col min="5107" max="5107" width="41.1640625" customWidth="1"/>
    <col min="5108" max="5108" width="25.1640625" customWidth="1"/>
    <col min="5363" max="5363" width="41.1640625" customWidth="1"/>
    <col min="5364" max="5364" width="25.1640625" customWidth="1"/>
    <col min="5619" max="5619" width="41.1640625" customWidth="1"/>
    <col min="5620" max="5620" width="25.1640625" customWidth="1"/>
    <col min="5875" max="5875" width="41.1640625" customWidth="1"/>
    <col min="5876" max="5876" width="25.1640625" customWidth="1"/>
    <col min="6131" max="6131" width="41.1640625" customWidth="1"/>
    <col min="6132" max="6132" width="25.1640625" customWidth="1"/>
    <col min="6387" max="6387" width="41.1640625" customWidth="1"/>
    <col min="6388" max="6388" width="25.1640625" customWidth="1"/>
    <col min="6643" max="6643" width="41.1640625" customWidth="1"/>
    <col min="6644" max="6644" width="25.1640625" customWidth="1"/>
    <col min="6899" max="6899" width="41.1640625" customWidth="1"/>
    <col min="6900" max="6900" width="25.1640625" customWidth="1"/>
    <col min="7155" max="7155" width="41.1640625" customWidth="1"/>
    <col min="7156" max="7156" width="25.1640625" customWidth="1"/>
    <col min="7411" max="7411" width="41.1640625" customWidth="1"/>
    <col min="7412" max="7412" width="25.1640625" customWidth="1"/>
    <col min="7667" max="7667" width="41.1640625" customWidth="1"/>
    <col min="7668" max="7668" width="25.1640625" customWidth="1"/>
    <col min="7923" max="7923" width="41.1640625" customWidth="1"/>
    <col min="7924" max="7924" width="25.1640625" customWidth="1"/>
    <col min="8179" max="8179" width="41.1640625" customWidth="1"/>
    <col min="8180" max="8180" width="25.1640625" customWidth="1"/>
    <col min="8435" max="8435" width="41.1640625" customWidth="1"/>
    <col min="8436" max="8436" width="25.1640625" customWidth="1"/>
    <col min="8691" max="8691" width="41.1640625" customWidth="1"/>
    <col min="8692" max="8692" width="25.1640625" customWidth="1"/>
    <col min="8947" max="8947" width="41.1640625" customWidth="1"/>
    <col min="8948" max="8948" width="25.1640625" customWidth="1"/>
    <col min="9203" max="9203" width="41.1640625" customWidth="1"/>
    <col min="9204" max="9204" width="25.1640625" customWidth="1"/>
    <col min="9459" max="9459" width="41.1640625" customWidth="1"/>
    <col min="9460" max="9460" width="25.1640625" customWidth="1"/>
    <col min="9715" max="9715" width="41.1640625" customWidth="1"/>
    <col min="9716" max="9716" width="25.1640625" customWidth="1"/>
    <col min="9971" max="9971" width="41.1640625" customWidth="1"/>
    <col min="9972" max="9972" width="25.1640625" customWidth="1"/>
    <col min="10227" max="10227" width="41.1640625" customWidth="1"/>
    <col min="10228" max="10228" width="25.1640625" customWidth="1"/>
    <col min="10483" max="10483" width="41.1640625" customWidth="1"/>
    <col min="10484" max="10484" width="25.1640625" customWidth="1"/>
    <col min="10739" max="10739" width="41.1640625" customWidth="1"/>
    <col min="10740" max="10740" width="25.1640625" customWidth="1"/>
    <col min="10995" max="10995" width="41.1640625" customWidth="1"/>
    <col min="10996" max="10996" width="25.1640625" customWidth="1"/>
    <col min="11251" max="11251" width="41.1640625" customWidth="1"/>
    <col min="11252" max="11252" width="25.1640625" customWidth="1"/>
    <col min="11507" max="11507" width="41.1640625" customWidth="1"/>
    <col min="11508" max="11508" width="25.1640625" customWidth="1"/>
    <col min="11763" max="11763" width="41.1640625" customWidth="1"/>
    <col min="11764" max="11764" width="25.1640625" customWidth="1"/>
    <col min="12019" max="12019" width="41.1640625" customWidth="1"/>
    <col min="12020" max="12020" width="25.1640625" customWidth="1"/>
    <col min="12275" max="12275" width="41.1640625" customWidth="1"/>
    <col min="12276" max="12276" width="25.1640625" customWidth="1"/>
    <col min="12531" max="12531" width="41.1640625" customWidth="1"/>
    <col min="12532" max="12532" width="25.1640625" customWidth="1"/>
    <col min="12787" max="12787" width="41.1640625" customWidth="1"/>
    <col min="12788" max="12788" width="25.1640625" customWidth="1"/>
    <col min="13043" max="13043" width="41.1640625" customWidth="1"/>
    <col min="13044" max="13044" width="25.1640625" customWidth="1"/>
    <col min="13299" max="13299" width="41.1640625" customWidth="1"/>
    <col min="13300" max="13300" width="25.1640625" customWidth="1"/>
    <col min="13555" max="13555" width="41.1640625" customWidth="1"/>
    <col min="13556" max="13556" width="25.1640625" customWidth="1"/>
    <col min="13811" max="13811" width="41.1640625" customWidth="1"/>
    <col min="13812" max="13812" width="25.1640625" customWidth="1"/>
    <col min="14067" max="14067" width="41.1640625" customWidth="1"/>
    <col min="14068" max="14068" width="25.1640625" customWidth="1"/>
    <col min="14323" max="14323" width="41.1640625" customWidth="1"/>
    <col min="14324" max="14324" width="25.1640625" customWidth="1"/>
    <col min="14579" max="14579" width="41.1640625" customWidth="1"/>
    <col min="14580" max="14580" width="25.1640625" customWidth="1"/>
    <col min="14835" max="14835" width="41.1640625" customWidth="1"/>
    <col min="14836" max="14836" width="25.1640625" customWidth="1"/>
    <col min="15091" max="15091" width="41.1640625" customWidth="1"/>
    <col min="15092" max="15092" width="25.1640625" customWidth="1"/>
    <col min="15347" max="15347" width="41.1640625" customWidth="1"/>
    <col min="15348" max="15348" width="25.1640625" customWidth="1"/>
    <col min="15603" max="15603" width="41.1640625" customWidth="1"/>
    <col min="15604" max="15604" width="25.1640625" customWidth="1"/>
    <col min="15859" max="15859" width="41.1640625" customWidth="1"/>
    <col min="15860" max="15860" width="25.1640625" customWidth="1"/>
    <col min="16115" max="16115" width="41.1640625" customWidth="1"/>
    <col min="16116" max="16116" width="25.1640625" customWidth="1"/>
  </cols>
  <sheetData>
    <row r="1" spans="1:6" ht="21" customHeight="1" x14ac:dyDescent="0.15">
      <c r="A1" s="1178" t="s">
        <v>527</v>
      </c>
      <c r="B1" s="1178"/>
      <c r="C1" s="1178"/>
      <c r="D1" s="1178"/>
      <c r="E1" s="401"/>
      <c r="F1" s="198"/>
    </row>
    <row r="2" spans="1:6" ht="14.25" customHeight="1" x14ac:dyDescent="0.15">
      <c r="A2" s="798" t="s">
        <v>528</v>
      </c>
      <c r="B2" s="798"/>
      <c r="C2" s="1178"/>
      <c r="D2" s="1178"/>
      <c r="E2" s="401"/>
      <c r="F2" s="92"/>
    </row>
    <row r="3" spans="1:6" ht="14.25" customHeight="1" x14ac:dyDescent="0.15">
      <c r="A3" s="798" t="s">
        <v>529</v>
      </c>
      <c r="B3" s="798"/>
      <c r="C3" s="1178"/>
      <c r="D3" s="1178"/>
      <c r="E3" s="401"/>
      <c r="F3" s="92"/>
    </row>
    <row r="4" spans="1:6" ht="30.75" customHeight="1" x14ac:dyDescent="0.15">
      <c r="A4" s="1043" t="s">
        <v>526</v>
      </c>
      <c r="B4" s="1043"/>
      <c r="C4" s="1178"/>
      <c r="D4" s="1178"/>
      <c r="E4" s="401"/>
      <c r="F4" s="199"/>
    </row>
    <row r="5" spans="1:6" ht="7.5" customHeight="1" x14ac:dyDescent="0.15">
      <c r="A5" s="797"/>
      <c r="B5" s="797"/>
      <c r="C5" s="797"/>
      <c r="D5" s="797"/>
    </row>
    <row r="6" spans="1:6" ht="16.5" customHeight="1" x14ac:dyDescent="0.15">
      <c r="A6" s="1176" t="s">
        <v>477</v>
      </c>
      <c r="B6" s="1176"/>
      <c r="C6" s="1176"/>
      <c r="D6" s="1176"/>
      <c r="E6" s="85"/>
    </row>
    <row r="7" spans="1:6" ht="7.5" customHeight="1" x14ac:dyDescent="0.15">
      <c r="A7" s="797"/>
      <c r="B7" s="797"/>
      <c r="C7" s="797"/>
      <c r="D7" s="797"/>
    </row>
    <row r="8" spans="1:6" x14ac:dyDescent="0.15">
      <c r="A8" s="797"/>
      <c r="B8" s="797"/>
      <c r="C8" s="797"/>
      <c r="D8" s="797"/>
    </row>
    <row r="9" spans="1:6" x14ac:dyDescent="0.15">
      <c r="A9" s="286" t="s">
        <v>476</v>
      </c>
      <c r="B9" s="286" t="s">
        <v>475</v>
      </c>
      <c r="C9" s="286" t="s">
        <v>474</v>
      </c>
      <c r="D9" s="286" t="s">
        <v>473</v>
      </c>
    </row>
    <row r="10" spans="1:6" x14ac:dyDescent="0.15">
      <c r="A10" s="286" t="s">
        <v>185</v>
      </c>
      <c r="B10" s="398" t="s">
        <v>472</v>
      </c>
      <c r="C10" s="398"/>
      <c r="D10" s="363">
        <v>1</v>
      </c>
    </row>
    <row r="11" spans="1:6" x14ac:dyDescent="0.15">
      <c r="A11" s="1175"/>
      <c r="B11" s="1175"/>
      <c r="C11" s="1175"/>
      <c r="D11" s="1175"/>
    </row>
    <row r="12" spans="1:6" x14ac:dyDescent="0.15">
      <c r="A12" s="286" t="s">
        <v>247</v>
      </c>
      <c r="B12" s="398" t="s">
        <v>471</v>
      </c>
      <c r="C12" s="398"/>
      <c r="D12" s="397"/>
    </row>
    <row r="13" spans="1:6" x14ac:dyDescent="0.15">
      <c r="A13" s="361"/>
      <c r="B13" s="362" t="s">
        <v>470</v>
      </c>
      <c r="C13" s="361" t="s">
        <v>449</v>
      </c>
      <c r="D13" s="356">
        <v>0.11</v>
      </c>
    </row>
    <row r="14" spans="1:6" x14ac:dyDescent="0.15">
      <c r="A14" s="361"/>
      <c r="B14" s="362" t="s">
        <v>469</v>
      </c>
      <c r="C14" s="361" t="s">
        <v>449</v>
      </c>
      <c r="D14" s="356">
        <v>0.01</v>
      </c>
    </row>
    <row r="15" spans="1:6" x14ac:dyDescent="0.15">
      <c r="A15" s="361"/>
      <c r="B15" s="362" t="s">
        <v>468</v>
      </c>
      <c r="C15" s="361" t="s">
        <v>449</v>
      </c>
      <c r="D15" s="356">
        <v>8.3299999999999999E-2</v>
      </c>
    </row>
    <row r="16" spans="1:6" x14ac:dyDescent="0.15">
      <c r="A16" s="361"/>
      <c r="B16" s="362" t="s">
        <v>467</v>
      </c>
      <c r="C16" s="361" t="s">
        <v>449</v>
      </c>
      <c r="D16" s="356">
        <v>4.1700000000000001E-2</v>
      </c>
    </row>
    <row r="17" spans="1:4" x14ac:dyDescent="0.15">
      <c r="A17" s="361"/>
      <c r="B17" s="362" t="s">
        <v>466</v>
      </c>
      <c r="C17" s="361" t="s">
        <v>449</v>
      </c>
      <c r="D17" s="356">
        <v>8.5000000000000006E-2</v>
      </c>
    </row>
    <row r="18" spans="1:4" x14ac:dyDescent="0.15">
      <c r="A18" s="361"/>
      <c r="B18" s="362" t="s">
        <v>465</v>
      </c>
      <c r="C18" s="361" t="s">
        <v>449</v>
      </c>
      <c r="D18" s="356">
        <v>0.12</v>
      </c>
    </row>
    <row r="19" spans="1:4" x14ac:dyDescent="0.15">
      <c r="A19" s="361"/>
      <c r="B19" s="362" t="s">
        <v>464</v>
      </c>
      <c r="C19" s="361" t="s">
        <v>449</v>
      </c>
      <c r="D19" s="356">
        <v>6.9599999999999995E-2</v>
      </c>
    </row>
    <row r="20" spans="1:4" x14ac:dyDescent="0.15">
      <c r="A20" s="361"/>
      <c r="B20" s="362" t="s">
        <v>463</v>
      </c>
      <c r="C20" s="361" t="s">
        <v>449</v>
      </c>
      <c r="D20" s="356">
        <v>0.02</v>
      </c>
    </row>
    <row r="21" spans="1:4" x14ac:dyDescent="0.15">
      <c r="A21" s="361"/>
      <c r="B21" s="362" t="s">
        <v>462</v>
      </c>
      <c r="C21" s="361" t="s">
        <v>449</v>
      </c>
      <c r="D21" s="356">
        <v>0.03</v>
      </c>
    </row>
    <row r="22" spans="1:4" x14ac:dyDescent="0.15">
      <c r="A22" s="361"/>
      <c r="B22" s="359" t="s">
        <v>461</v>
      </c>
      <c r="C22" s="361" t="s">
        <v>449</v>
      </c>
      <c r="D22" s="356">
        <v>0.03</v>
      </c>
    </row>
    <row r="23" spans="1:4" x14ac:dyDescent="0.15">
      <c r="A23" s="361"/>
      <c r="B23" s="359" t="s">
        <v>460</v>
      </c>
      <c r="C23" s="361" t="s">
        <v>449</v>
      </c>
      <c r="D23" s="356">
        <v>5.0000000000000001E-3</v>
      </c>
    </row>
    <row r="24" spans="1:4" x14ac:dyDescent="0.15">
      <c r="A24" s="361"/>
      <c r="B24" s="359" t="s">
        <v>459</v>
      </c>
      <c r="C24" s="361" t="s">
        <v>449</v>
      </c>
      <c r="D24" s="356">
        <v>0.03</v>
      </c>
    </row>
    <row r="25" spans="1:4" x14ac:dyDescent="0.15">
      <c r="A25" s="361"/>
      <c r="B25" s="359" t="s">
        <v>458</v>
      </c>
      <c r="C25" s="361" t="s">
        <v>449</v>
      </c>
      <c r="D25" s="356">
        <v>0.03</v>
      </c>
    </row>
    <row r="26" spans="1:4" ht="28" x14ac:dyDescent="0.15">
      <c r="A26" s="361"/>
      <c r="B26" s="358" t="s">
        <v>457</v>
      </c>
      <c r="C26" s="361" t="s">
        <v>449</v>
      </c>
      <c r="D26" s="356">
        <v>0.01</v>
      </c>
    </row>
    <row r="27" spans="1:4" x14ac:dyDescent="0.15">
      <c r="A27" s="361"/>
      <c r="B27" s="359" t="s">
        <v>456</v>
      </c>
      <c r="C27" s="361" t="s">
        <v>449</v>
      </c>
      <c r="D27" s="356">
        <v>4.4600000000000001E-2</v>
      </c>
    </row>
    <row r="28" spans="1:4" x14ac:dyDescent="0.15">
      <c r="A28" s="361"/>
      <c r="B28" s="359" t="s">
        <v>455</v>
      </c>
      <c r="C28" s="361" t="s">
        <v>449</v>
      </c>
      <c r="D28" s="356">
        <v>3.5700000000000003E-2</v>
      </c>
    </row>
    <row r="29" spans="1:4" x14ac:dyDescent="0.15">
      <c r="A29" s="360"/>
      <c r="B29" s="398" t="s">
        <v>454</v>
      </c>
      <c r="C29" s="398"/>
      <c r="D29" s="355">
        <f>SUM(D13:D28)</f>
        <v>0.75490000000000013</v>
      </c>
    </row>
    <row r="30" spans="1:4" x14ac:dyDescent="0.15">
      <c r="A30" s="1175"/>
      <c r="B30" s="1175"/>
      <c r="C30" s="1175"/>
      <c r="D30" s="1175"/>
    </row>
    <row r="31" spans="1:4" x14ac:dyDescent="0.15">
      <c r="A31" s="400" t="s">
        <v>453</v>
      </c>
      <c r="B31" s="398" t="s">
        <v>452</v>
      </c>
      <c r="C31" s="398"/>
      <c r="D31" s="355">
        <f>+D10+D29</f>
        <v>1.7549000000000001</v>
      </c>
    </row>
    <row r="32" spans="1:4" x14ac:dyDescent="0.15">
      <c r="A32" s="1175"/>
      <c r="B32" s="1175"/>
      <c r="C32" s="1175"/>
      <c r="D32" s="1175"/>
    </row>
    <row r="33" spans="1:4" x14ac:dyDescent="0.15">
      <c r="A33" s="400" t="s">
        <v>451</v>
      </c>
      <c r="B33" s="398" t="s">
        <v>450</v>
      </c>
      <c r="C33" s="357"/>
      <c r="D33" s="359"/>
    </row>
    <row r="34" spans="1:4" ht="14" x14ac:dyDescent="0.15">
      <c r="A34" s="400"/>
      <c r="B34" s="358" t="s">
        <v>450</v>
      </c>
      <c r="C34" s="357" t="s">
        <v>449</v>
      </c>
      <c r="D34" s="356">
        <v>0.15</v>
      </c>
    </row>
    <row r="35" spans="1:4" x14ac:dyDescent="0.15">
      <c r="A35" s="397"/>
      <c r="B35" s="398" t="s">
        <v>448</v>
      </c>
      <c r="C35" s="400"/>
      <c r="D35" s="399">
        <f>SUM(D34:D34)</f>
        <v>0.15</v>
      </c>
    </row>
    <row r="36" spans="1:4" x14ac:dyDescent="0.15">
      <c r="A36" s="1175"/>
      <c r="B36" s="1175"/>
      <c r="C36" s="1175"/>
      <c r="D36" s="1175"/>
    </row>
    <row r="37" spans="1:4" x14ac:dyDescent="0.15">
      <c r="A37" s="400" t="s">
        <v>447</v>
      </c>
      <c r="B37" s="398" t="s">
        <v>446</v>
      </c>
      <c r="C37" s="398"/>
      <c r="D37" s="355">
        <f>+D31+D35</f>
        <v>1.9049</v>
      </c>
    </row>
    <row r="38" spans="1:4" x14ac:dyDescent="0.15">
      <c r="A38" s="1175"/>
      <c r="B38" s="1175"/>
      <c r="C38" s="1175"/>
      <c r="D38" s="1175"/>
    </row>
    <row r="39" spans="1:4" x14ac:dyDescent="0.15">
      <c r="A39" s="397"/>
      <c r="B39" s="398" t="s">
        <v>445</v>
      </c>
      <c r="C39" s="398"/>
      <c r="D39" s="354">
        <f>+D37</f>
        <v>1.9049</v>
      </c>
    </row>
    <row r="40" spans="1:4" x14ac:dyDescent="0.15">
      <c r="A40" s="1175"/>
      <c r="B40" s="1039" t="s">
        <v>444</v>
      </c>
      <c r="C40" s="1040"/>
      <c r="D40" s="1177">
        <f>+D39/100</f>
        <v>1.9049E-2</v>
      </c>
    </row>
    <row r="41" spans="1:4" x14ac:dyDescent="0.15">
      <c r="A41" s="1175"/>
      <c r="B41" s="1039"/>
      <c r="C41" s="1040"/>
      <c r="D41" s="1177"/>
    </row>
    <row r="42" spans="1:4" x14ac:dyDescent="0.15">
      <c r="A42" s="1175"/>
      <c r="B42" s="1039"/>
      <c r="C42" s="1040"/>
      <c r="D42" s="1177"/>
    </row>
    <row r="43" spans="1:4" x14ac:dyDescent="0.15">
      <c r="A43" s="797"/>
      <c r="B43" s="797"/>
      <c r="C43" s="797"/>
      <c r="D43" s="797"/>
    </row>
  </sheetData>
  <mergeCells count="19">
    <mergeCell ref="A1:B1"/>
    <mergeCell ref="A2:B2"/>
    <mergeCell ref="A3:B3"/>
    <mergeCell ref="A4:B4"/>
    <mergeCell ref="C1:D4"/>
    <mergeCell ref="A43:D43"/>
    <mergeCell ref="A38:D38"/>
    <mergeCell ref="A36:D36"/>
    <mergeCell ref="A32:D32"/>
    <mergeCell ref="A30:D30"/>
    <mergeCell ref="A40:A42"/>
    <mergeCell ref="B40:B42"/>
    <mergeCell ref="D40:D42"/>
    <mergeCell ref="C40:C42"/>
    <mergeCell ref="A8:D8"/>
    <mergeCell ref="A11:D11"/>
    <mergeCell ref="A6:D6"/>
    <mergeCell ref="A7:D7"/>
    <mergeCell ref="A5:D5"/>
  </mergeCells>
  <pageMargins left="0.70866141732283472" right="0.70866141732283472" top="0.74803149606299213" bottom="0.74803149606299213" header="0.31496062992125984" footer="0.31496062992125984"/>
  <pageSetup scale="110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11"/>
  <dimension ref="E1:E40"/>
  <sheetViews>
    <sheetView workbookViewId="0">
      <selection activeCell="E41" sqref="E41"/>
    </sheetView>
  </sheetViews>
  <sheetFormatPr baseColWidth="10" defaultRowHeight="13" x14ac:dyDescent="0.15"/>
  <sheetData>
    <row r="1" spans="5:5" x14ac:dyDescent="0.15">
      <c r="E1">
        <v>33.81</v>
      </c>
    </row>
    <row r="2" spans="5:5" x14ac:dyDescent="0.15">
      <c r="E2">
        <v>2.25</v>
      </c>
    </row>
    <row r="3" spans="5:5" x14ac:dyDescent="0.15">
      <c r="E3">
        <v>1.2</v>
      </c>
    </row>
    <row r="4" spans="5:5" x14ac:dyDescent="0.15">
      <c r="E4">
        <v>5.75</v>
      </c>
    </row>
    <row r="5" spans="5:5" x14ac:dyDescent="0.15">
      <c r="E5">
        <v>1.2</v>
      </c>
    </row>
    <row r="6" spans="5:5" x14ac:dyDescent="0.15">
      <c r="E6">
        <v>2.25</v>
      </c>
    </row>
    <row r="7" spans="5:5" x14ac:dyDescent="0.15">
      <c r="E7">
        <v>16.350000000000001</v>
      </c>
    </row>
    <row r="8" spans="5:5" x14ac:dyDescent="0.15">
      <c r="E8">
        <v>21.49</v>
      </c>
    </row>
    <row r="9" spans="5:5" x14ac:dyDescent="0.15">
      <c r="E9">
        <v>5.13</v>
      </c>
    </row>
    <row r="10" spans="5:5" x14ac:dyDescent="0.15">
      <c r="E10">
        <v>2.0299999999999998</v>
      </c>
    </row>
    <row r="11" spans="5:5" x14ac:dyDescent="0.15">
      <c r="E11">
        <v>7.19</v>
      </c>
    </row>
    <row r="12" spans="5:5" x14ac:dyDescent="0.15">
      <c r="E12">
        <v>2.58</v>
      </c>
    </row>
    <row r="13" spans="5:5" x14ac:dyDescent="0.15">
      <c r="E13">
        <v>10.16</v>
      </c>
    </row>
    <row r="14" spans="5:5" x14ac:dyDescent="0.15">
      <c r="E14">
        <v>9.9600000000000009</v>
      </c>
    </row>
    <row r="15" spans="5:5" x14ac:dyDescent="0.15">
      <c r="E15">
        <v>22.23</v>
      </c>
    </row>
    <row r="16" spans="5:5" x14ac:dyDescent="0.15">
      <c r="E16">
        <v>22.38</v>
      </c>
    </row>
    <row r="17" spans="5:5" x14ac:dyDescent="0.15">
      <c r="E17">
        <v>18.07</v>
      </c>
    </row>
    <row r="18" spans="5:5" x14ac:dyDescent="0.15">
      <c r="E18">
        <v>11.69</v>
      </c>
    </row>
    <row r="19" spans="5:5" x14ac:dyDescent="0.15">
      <c r="E19">
        <v>4.79</v>
      </c>
    </row>
    <row r="20" spans="5:5" x14ac:dyDescent="0.15">
      <c r="E20">
        <v>4.53</v>
      </c>
    </row>
    <row r="21" spans="5:5" x14ac:dyDescent="0.15">
      <c r="E21">
        <v>2.25</v>
      </c>
    </row>
    <row r="22" spans="5:5" x14ac:dyDescent="0.15">
      <c r="E22">
        <v>1.2</v>
      </c>
    </row>
    <row r="23" spans="5:5" x14ac:dyDescent="0.15">
      <c r="E23">
        <v>3.25</v>
      </c>
    </row>
    <row r="24" spans="5:5" x14ac:dyDescent="0.15">
      <c r="E24">
        <v>45.05</v>
      </c>
    </row>
    <row r="25" spans="5:5" x14ac:dyDescent="0.15">
      <c r="E25">
        <v>3.6</v>
      </c>
    </row>
    <row r="26" spans="5:5" x14ac:dyDescent="0.15">
      <c r="E26">
        <v>34.299999999999997</v>
      </c>
    </row>
    <row r="27" spans="5:5" x14ac:dyDescent="0.15">
      <c r="E27">
        <v>3.6</v>
      </c>
    </row>
    <row r="28" spans="5:5" x14ac:dyDescent="0.15">
      <c r="E28">
        <v>21.1</v>
      </c>
    </row>
    <row r="29" spans="5:5" x14ac:dyDescent="0.15">
      <c r="E29">
        <v>3.19</v>
      </c>
    </row>
    <row r="30" spans="5:5" x14ac:dyDescent="0.15">
      <c r="E30">
        <v>2.2799999999999998</v>
      </c>
    </row>
    <row r="31" spans="5:5" x14ac:dyDescent="0.15">
      <c r="E31">
        <v>13.81</v>
      </c>
    </row>
    <row r="32" spans="5:5" x14ac:dyDescent="0.15">
      <c r="E32">
        <v>8.8699999999999992</v>
      </c>
    </row>
    <row r="33" spans="5:5" x14ac:dyDescent="0.15">
      <c r="E33">
        <v>21.99</v>
      </c>
    </row>
    <row r="34" spans="5:5" x14ac:dyDescent="0.15">
      <c r="E34">
        <v>5.8</v>
      </c>
    </row>
    <row r="35" spans="5:5" x14ac:dyDescent="0.15">
      <c r="E35">
        <v>40.299999999999997</v>
      </c>
    </row>
    <row r="36" spans="5:5" x14ac:dyDescent="0.15">
      <c r="E36">
        <v>2.4</v>
      </c>
    </row>
    <row r="37" spans="5:5" x14ac:dyDescent="0.15">
      <c r="E37">
        <v>35.5</v>
      </c>
    </row>
    <row r="38" spans="5:5" x14ac:dyDescent="0.15">
      <c r="E38">
        <v>20.6</v>
      </c>
    </row>
    <row r="40" spans="5:5" x14ac:dyDescent="0.15">
      <c r="E40">
        <f>SUM(E1:E39)</f>
        <v>474.13000000000005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FFFF00"/>
  </sheetPr>
  <dimension ref="A1:K57"/>
  <sheetViews>
    <sheetView view="pageBreakPreview" zoomScaleNormal="115" zoomScaleSheetLayoutView="100" workbookViewId="0">
      <selection sqref="A1:XFD4"/>
    </sheetView>
  </sheetViews>
  <sheetFormatPr baseColWidth="10" defaultRowHeight="13" x14ac:dyDescent="0.15"/>
  <cols>
    <col min="1" max="1" width="6.1640625" style="7" customWidth="1"/>
    <col min="2" max="2" width="48.83203125" customWidth="1"/>
    <col min="3" max="3" width="7.5" customWidth="1"/>
    <col min="4" max="4" width="9.33203125" style="14" customWidth="1"/>
    <col min="5" max="5" width="16.33203125" style="9" customWidth="1"/>
    <col min="6" max="6" width="19.5" customWidth="1"/>
    <col min="7" max="7" width="12.5" customWidth="1"/>
    <col min="8" max="8" width="20.33203125" style="14" customWidth="1"/>
    <col min="9" max="9" width="12.5" bestFit="1" customWidth="1"/>
    <col min="10" max="10" width="21.5" customWidth="1"/>
    <col min="11" max="15" width="12.5" bestFit="1" customWidth="1"/>
  </cols>
  <sheetData>
    <row r="1" spans="1:10" ht="21" customHeight="1" x14ac:dyDescent="0.15">
      <c r="A1" s="761" t="s">
        <v>527</v>
      </c>
      <c r="B1" s="762"/>
      <c r="C1" s="762"/>
      <c r="D1" s="762"/>
      <c r="E1" s="762"/>
      <c r="F1" s="763"/>
      <c r="G1" s="198"/>
      <c r="H1"/>
    </row>
    <row r="2" spans="1:10" ht="14.25" customHeight="1" x14ac:dyDescent="0.15">
      <c r="A2" s="1091" t="s">
        <v>528</v>
      </c>
      <c r="B2" s="798"/>
      <c r="C2" s="798"/>
      <c r="D2" s="798"/>
      <c r="E2" s="765"/>
      <c r="F2" s="766"/>
      <c r="G2" s="92"/>
      <c r="H2"/>
    </row>
    <row r="3" spans="1:10" ht="14.25" customHeight="1" x14ac:dyDescent="0.15">
      <c r="A3" s="1091" t="s">
        <v>529</v>
      </c>
      <c r="B3" s="798"/>
      <c r="C3" s="798"/>
      <c r="D3" s="798"/>
      <c r="E3" s="765"/>
      <c r="F3" s="766"/>
      <c r="G3" s="92"/>
      <c r="H3"/>
    </row>
    <row r="4" spans="1:10" ht="36" customHeight="1" x14ac:dyDescent="0.15">
      <c r="A4" s="767" t="s">
        <v>526</v>
      </c>
      <c r="B4" s="768"/>
      <c r="C4" s="768"/>
      <c r="D4" s="768"/>
      <c r="E4" s="765"/>
      <c r="F4" s="766"/>
      <c r="G4" s="199"/>
      <c r="H4"/>
    </row>
    <row r="5" spans="1:10" ht="16" x14ac:dyDescent="0.2">
      <c r="A5" s="1182" t="s">
        <v>349</v>
      </c>
      <c r="B5" s="1183"/>
      <c r="C5" s="1183"/>
      <c r="D5" s="1183"/>
      <c r="E5" s="1183"/>
      <c r="F5" s="1184"/>
      <c r="G5" s="83"/>
      <c r="H5" s="95"/>
      <c r="I5" s="95"/>
      <c r="J5" s="95"/>
    </row>
    <row r="6" spans="1:10" ht="14" x14ac:dyDescent="0.15">
      <c r="A6" s="1179"/>
      <c r="B6" s="1180"/>
      <c r="C6" s="1180"/>
      <c r="D6" s="1180"/>
      <c r="E6" s="1180"/>
      <c r="F6" s="1181"/>
      <c r="G6" s="83"/>
      <c r="H6" s="95"/>
      <c r="I6" s="95"/>
      <c r="J6" s="95"/>
    </row>
    <row r="7" spans="1:10" ht="14" x14ac:dyDescent="0.15">
      <c r="A7" s="245" t="s">
        <v>0</v>
      </c>
      <c r="B7" s="246" t="s">
        <v>1</v>
      </c>
      <c r="C7" s="247" t="s">
        <v>2</v>
      </c>
      <c r="D7" s="248" t="s">
        <v>3</v>
      </c>
      <c r="E7" s="249" t="s">
        <v>8</v>
      </c>
      <c r="F7" s="250" t="s">
        <v>4</v>
      </c>
      <c r="G7" s="83"/>
      <c r="H7" s="95"/>
      <c r="I7" s="95"/>
      <c r="J7" s="95"/>
    </row>
    <row r="8" spans="1:10" ht="14" x14ac:dyDescent="0.15">
      <c r="A8" s="1179"/>
      <c r="B8" s="1180"/>
      <c r="C8" s="1180"/>
      <c r="D8" s="1180"/>
      <c r="E8" s="1180"/>
      <c r="F8" s="1181"/>
      <c r="G8" s="83"/>
      <c r="H8" s="95"/>
      <c r="I8" s="95"/>
      <c r="J8" s="95"/>
    </row>
    <row r="9" spans="1:10" ht="14" x14ac:dyDescent="0.15">
      <c r="A9" s="251">
        <v>1</v>
      </c>
      <c r="B9" s="1188" t="s">
        <v>335</v>
      </c>
      <c r="C9" s="1188"/>
      <c r="D9" s="1188"/>
      <c r="E9" s="1188"/>
      <c r="F9" s="1189"/>
      <c r="G9" s="83"/>
      <c r="H9" s="95"/>
      <c r="I9" s="95"/>
      <c r="J9" s="95"/>
    </row>
    <row r="10" spans="1:10" ht="14" x14ac:dyDescent="0.15">
      <c r="A10" s="251">
        <v>1.1000000000000001</v>
      </c>
      <c r="B10" s="96" t="s">
        <v>336</v>
      </c>
      <c r="C10" s="252" t="s">
        <v>319</v>
      </c>
      <c r="D10" s="253">
        <v>1</v>
      </c>
      <c r="E10" s="254">
        <v>150000</v>
      </c>
      <c r="F10" s="255">
        <f>D10*E10</f>
        <v>150000</v>
      </c>
      <c r="G10" s="83"/>
      <c r="H10" s="85"/>
      <c r="I10" s="85"/>
    </row>
    <row r="11" spans="1:10" ht="14" x14ac:dyDescent="0.15">
      <c r="A11" s="251">
        <v>1.2</v>
      </c>
      <c r="B11" s="96" t="s">
        <v>337</v>
      </c>
      <c r="C11" s="252" t="s">
        <v>44</v>
      </c>
      <c r="D11" s="253">
        <v>12</v>
      </c>
      <c r="E11" s="254">
        <v>20000</v>
      </c>
      <c r="F11" s="255">
        <f>D11*E11</f>
        <v>240000</v>
      </c>
      <c r="G11" s="83"/>
      <c r="H11" s="85"/>
      <c r="I11" s="85"/>
    </row>
    <row r="12" spans="1:10" ht="16" x14ac:dyDescent="0.2">
      <c r="A12" s="251"/>
      <c r="B12" s="256" t="s">
        <v>338</v>
      </c>
      <c r="C12" s="257"/>
      <c r="D12" s="258"/>
      <c r="E12" s="259"/>
      <c r="F12" s="260">
        <f>SUM(F10:F11)</f>
        <v>390000</v>
      </c>
      <c r="G12" s="83"/>
      <c r="H12" s="95"/>
      <c r="I12" s="95"/>
      <c r="J12" s="95"/>
    </row>
    <row r="13" spans="1:10" ht="14" x14ac:dyDescent="0.15">
      <c r="A13" s="1179"/>
      <c r="B13" s="1180"/>
      <c r="C13" s="1180"/>
      <c r="D13" s="1180"/>
      <c r="E13" s="1180"/>
      <c r="F13" s="1181"/>
      <c r="G13" s="83"/>
      <c r="H13" s="95"/>
      <c r="I13" s="95"/>
      <c r="J13" s="95"/>
    </row>
    <row r="14" spans="1:10" ht="14" x14ac:dyDescent="0.15">
      <c r="A14" s="251">
        <v>2</v>
      </c>
      <c r="B14" s="1188" t="s">
        <v>339</v>
      </c>
      <c r="C14" s="1188"/>
      <c r="D14" s="1188"/>
      <c r="E14" s="1188"/>
      <c r="F14" s="1189"/>
      <c r="G14" s="83"/>
      <c r="H14" s="95"/>
      <c r="I14" s="95"/>
      <c r="J14" s="95"/>
    </row>
    <row r="15" spans="1:10" ht="14" x14ac:dyDescent="0.15">
      <c r="A15" s="261">
        <v>2.1</v>
      </c>
      <c r="B15" s="96" t="s">
        <v>340</v>
      </c>
      <c r="C15" s="252" t="s">
        <v>319</v>
      </c>
      <c r="D15" s="253">
        <v>4</v>
      </c>
      <c r="E15" s="254">
        <v>35000</v>
      </c>
      <c r="F15" s="255">
        <f>D15*E15</f>
        <v>140000</v>
      </c>
      <c r="G15" s="83"/>
      <c r="H15" s="85"/>
      <c r="I15" s="85"/>
    </row>
    <row r="16" spans="1:10" ht="14" x14ac:dyDescent="0.15">
      <c r="A16" s="261">
        <v>2.2000000000000002</v>
      </c>
      <c r="B16" s="96" t="s">
        <v>341</v>
      </c>
      <c r="C16" s="252" t="s">
        <v>342</v>
      </c>
      <c r="D16" s="253">
        <v>60</v>
      </c>
      <c r="E16" s="254">
        <v>4500</v>
      </c>
      <c r="F16" s="255">
        <f>D16*E16</f>
        <v>270000</v>
      </c>
      <c r="G16" s="83"/>
      <c r="H16" s="85"/>
      <c r="I16" s="85"/>
    </row>
    <row r="17" spans="1:10" ht="14" x14ac:dyDescent="0.15">
      <c r="A17" s="261">
        <v>2.2999999999999998</v>
      </c>
      <c r="B17" s="96" t="s">
        <v>343</v>
      </c>
      <c r="C17" s="252" t="s">
        <v>319</v>
      </c>
      <c r="D17" s="253">
        <v>4</v>
      </c>
      <c r="E17" s="254">
        <v>6000</v>
      </c>
      <c r="F17" s="255">
        <f>D17*E17</f>
        <v>24000</v>
      </c>
      <c r="G17" s="83"/>
      <c r="H17" s="85"/>
      <c r="I17" s="85"/>
    </row>
    <row r="18" spans="1:10" ht="16" x14ac:dyDescent="0.2">
      <c r="A18" s="251"/>
      <c r="B18" s="256" t="s">
        <v>344</v>
      </c>
      <c r="C18" s="257"/>
      <c r="D18" s="258"/>
      <c r="E18" s="262"/>
      <c r="F18" s="260">
        <f>SUM(F15:F17)</f>
        <v>434000</v>
      </c>
      <c r="G18" s="83"/>
      <c r="H18" s="95"/>
      <c r="I18" s="95"/>
      <c r="J18" s="95"/>
    </row>
    <row r="19" spans="1:10" ht="14" x14ac:dyDescent="0.15">
      <c r="A19" s="1179"/>
      <c r="B19" s="1180"/>
      <c r="C19" s="1180"/>
      <c r="D19" s="1180"/>
      <c r="E19" s="1180"/>
      <c r="F19" s="1181"/>
      <c r="G19" s="83"/>
      <c r="H19" s="95"/>
      <c r="I19" s="95"/>
      <c r="J19" s="95"/>
    </row>
    <row r="20" spans="1:10" ht="14" x14ac:dyDescent="0.15">
      <c r="A20" s="261">
        <v>3</v>
      </c>
      <c r="B20" s="1188" t="s">
        <v>345</v>
      </c>
      <c r="C20" s="1188"/>
      <c r="D20" s="1188"/>
      <c r="E20" s="1188"/>
      <c r="F20" s="1189"/>
      <c r="G20" s="83"/>
      <c r="H20" s="95"/>
      <c r="I20" s="95"/>
      <c r="J20" s="95"/>
    </row>
    <row r="21" spans="1:10" ht="42.75" customHeight="1" x14ac:dyDescent="0.15">
      <c r="A21" s="261">
        <v>3.1</v>
      </c>
      <c r="B21" s="96" t="s">
        <v>575</v>
      </c>
      <c r="C21" s="252" t="s">
        <v>346</v>
      </c>
      <c r="D21" s="253">
        <v>6</v>
      </c>
      <c r="E21" s="254">
        <f>'PROFESIONAL PMA'!I13</f>
        <v>1378787.8125</v>
      </c>
      <c r="F21" s="255">
        <f>D21*E21</f>
        <v>8272726.875</v>
      </c>
      <c r="G21" s="83"/>
      <c r="H21" s="85"/>
      <c r="I21" s="85"/>
    </row>
    <row r="22" spans="1:10" ht="16" x14ac:dyDescent="0.2">
      <c r="A22" s="251"/>
      <c r="B22" s="256" t="s">
        <v>347</v>
      </c>
      <c r="C22" s="252"/>
      <c r="D22" s="253"/>
      <c r="E22" s="263"/>
      <c r="F22" s="260">
        <f>ROUND((F21),2)</f>
        <v>8272726.8799999999</v>
      </c>
      <c r="G22" s="83"/>
      <c r="H22" s="95"/>
      <c r="I22" s="95"/>
      <c r="J22" s="95"/>
    </row>
    <row r="23" spans="1:10" ht="15" thickBot="1" x14ac:dyDescent="0.2">
      <c r="A23" s="1190"/>
      <c r="B23" s="1191"/>
      <c r="C23" s="1191"/>
      <c r="D23" s="1191"/>
      <c r="E23" s="1191"/>
      <c r="F23" s="1192"/>
      <c r="G23" s="83"/>
      <c r="H23" s="95"/>
      <c r="I23" s="95"/>
      <c r="J23" s="95"/>
    </row>
    <row r="24" spans="1:10" ht="15" thickBot="1" x14ac:dyDescent="0.2">
      <c r="A24" s="1185"/>
      <c r="B24" s="1185"/>
      <c r="C24" s="1185"/>
      <c r="D24" s="1185"/>
      <c r="E24" s="1185"/>
      <c r="F24" s="1185"/>
      <c r="G24" s="83"/>
      <c r="H24" s="95"/>
      <c r="I24" s="95"/>
      <c r="J24" s="95"/>
    </row>
    <row r="25" spans="1:10" ht="17" thickBot="1" x14ac:dyDescent="0.25">
      <c r="A25" s="231"/>
      <c r="B25" s="264"/>
      <c r="C25" s="1186" t="s">
        <v>348</v>
      </c>
      <c r="D25" s="1187"/>
      <c r="E25" s="1187"/>
      <c r="F25" s="265">
        <f>F22+F18+F12</f>
        <v>9096726.879999999</v>
      </c>
      <c r="G25" s="83"/>
      <c r="H25" s="95"/>
      <c r="I25" s="95"/>
      <c r="J25" s="95"/>
    </row>
    <row r="26" spans="1:10" ht="14" x14ac:dyDescent="0.15">
      <c r="A26" s="82"/>
      <c r="B26" s="266"/>
      <c r="C26" s="266"/>
      <c r="D26" s="84"/>
      <c r="E26" s="83"/>
      <c r="F26" s="83"/>
      <c r="G26" s="83"/>
      <c r="H26" s="95"/>
      <c r="I26" s="95"/>
      <c r="J26" s="95"/>
    </row>
    <row r="27" spans="1:10" ht="14" x14ac:dyDescent="0.15">
      <c r="A27" s="82"/>
      <c r="B27" s="266"/>
      <c r="C27" s="266"/>
      <c r="D27" s="84"/>
      <c r="E27" s="83"/>
      <c r="F27" s="83"/>
      <c r="G27" s="83"/>
      <c r="H27" s="95"/>
      <c r="I27" s="95"/>
      <c r="J27" s="95"/>
    </row>
    <row r="28" spans="1:10" ht="14" x14ac:dyDescent="0.15">
      <c r="A28" s="82"/>
      <c r="B28" s="266"/>
      <c r="C28" s="266"/>
      <c r="D28" s="84"/>
      <c r="E28" s="83"/>
      <c r="F28" s="267"/>
      <c r="G28" s="83"/>
      <c r="H28" s="95"/>
      <c r="I28" s="95"/>
      <c r="J28" s="95"/>
    </row>
    <row r="29" spans="1:10" ht="14" x14ac:dyDescent="0.15">
      <c r="A29" s="82"/>
      <c r="B29" s="266"/>
      <c r="C29" s="266"/>
      <c r="D29" s="84"/>
      <c r="E29" s="83"/>
      <c r="F29" s="267"/>
      <c r="G29" s="83"/>
      <c r="H29" s="95"/>
      <c r="I29" s="95"/>
      <c r="J29" s="95"/>
    </row>
    <row r="30" spans="1:10" ht="14" x14ac:dyDescent="0.15">
      <c r="A30" s="82"/>
      <c r="B30" s="266"/>
      <c r="C30" s="266"/>
      <c r="D30" s="84"/>
      <c r="E30" s="83"/>
      <c r="F30" s="83"/>
      <c r="G30" s="83"/>
      <c r="H30" s="95"/>
      <c r="I30" s="95"/>
      <c r="J30" s="95"/>
    </row>
    <row r="31" spans="1:10" ht="14" x14ac:dyDescent="0.15">
      <c r="A31" s="82"/>
      <c r="B31" s="266"/>
      <c r="C31" s="266"/>
      <c r="D31" s="84"/>
      <c r="E31" s="83"/>
      <c r="F31" s="268"/>
      <c r="G31" s="83"/>
      <c r="H31" s="95"/>
      <c r="I31" s="95"/>
      <c r="J31" s="95"/>
    </row>
    <row r="32" spans="1:10" ht="14" x14ac:dyDescent="0.15">
      <c r="A32" s="82"/>
      <c r="B32" s="102" t="s">
        <v>530</v>
      </c>
      <c r="C32" s="266"/>
      <c r="D32" s="84"/>
      <c r="E32" s="83"/>
      <c r="F32" s="268"/>
      <c r="G32" s="83"/>
      <c r="H32" s="95"/>
      <c r="I32" s="95"/>
      <c r="J32" s="95"/>
    </row>
    <row r="33" spans="1:11" ht="14" x14ac:dyDescent="0.15">
      <c r="A33" s="82"/>
      <c r="B33" s="83" t="s">
        <v>531</v>
      </c>
      <c r="E33" s="83"/>
      <c r="F33" s="83"/>
      <c r="G33" s="83"/>
      <c r="H33" s="243"/>
      <c r="I33" s="244"/>
      <c r="J33" s="85"/>
      <c r="K33" s="85"/>
    </row>
    <row r="34" spans="1:11" ht="14" x14ac:dyDescent="0.15">
      <c r="B34" s="83"/>
    </row>
    <row r="35" spans="1:11" ht="14" x14ac:dyDescent="0.15">
      <c r="B35" s="83"/>
    </row>
    <row r="36" spans="1:11" ht="14" x14ac:dyDescent="0.15">
      <c r="B36" s="83"/>
    </row>
    <row r="37" spans="1:11" ht="14" x14ac:dyDescent="0.15">
      <c r="B37" s="83"/>
    </row>
    <row r="38" spans="1:11" ht="14" x14ac:dyDescent="0.15">
      <c r="B38" s="83"/>
    </row>
    <row r="39" spans="1:11" ht="14" x14ac:dyDescent="0.15">
      <c r="B39" s="83"/>
    </row>
    <row r="40" spans="1:11" ht="14" x14ac:dyDescent="0.15">
      <c r="B40" s="83"/>
    </row>
    <row r="41" spans="1:11" ht="14" x14ac:dyDescent="0.15">
      <c r="B41" s="83"/>
    </row>
    <row r="42" spans="1:11" ht="14" x14ac:dyDescent="0.15">
      <c r="A42"/>
      <c r="B42" s="83"/>
      <c r="H42"/>
    </row>
    <row r="43" spans="1:11" ht="14" x14ac:dyDescent="0.15">
      <c r="A43"/>
      <c r="B43" s="83"/>
      <c r="H43"/>
    </row>
    <row r="44" spans="1:11" ht="14" x14ac:dyDescent="0.15">
      <c r="A44"/>
      <c r="B44" s="83"/>
      <c r="H44"/>
    </row>
    <row r="45" spans="1:11" ht="14" x14ac:dyDescent="0.15">
      <c r="A45"/>
      <c r="B45" s="83"/>
      <c r="H45"/>
    </row>
    <row r="46" spans="1:11" ht="14" x14ac:dyDescent="0.15">
      <c r="A46"/>
      <c r="B46" s="83"/>
      <c r="H46"/>
    </row>
    <row r="47" spans="1:11" ht="14" x14ac:dyDescent="0.15">
      <c r="A47"/>
      <c r="B47" s="83"/>
      <c r="H47"/>
    </row>
    <row r="48" spans="1:11" ht="14" x14ac:dyDescent="0.15">
      <c r="A48"/>
      <c r="B48" s="83"/>
      <c r="H48"/>
    </row>
    <row r="49" spans="1:8" ht="14" x14ac:dyDescent="0.15">
      <c r="A49"/>
      <c r="B49" s="83"/>
      <c r="H49"/>
    </row>
    <row r="50" spans="1:8" ht="14" x14ac:dyDescent="0.15">
      <c r="A50"/>
      <c r="B50" s="83"/>
      <c r="H50"/>
    </row>
    <row r="51" spans="1:8" ht="14" x14ac:dyDescent="0.15">
      <c r="A51"/>
      <c r="B51" s="83"/>
      <c r="H51"/>
    </row>
    <row r="52" spans="1:8" ht="14" x14ac:dyDescent="0.15">
      <c r="A52"/>
      <c r="B52" s="83"/>
      <c r="H52"/>
    </row>
    <row r="53" spans="1:8" ht="14" x14ac:dyDescent="0.15">
      <c r="A53"/>
      <c r="B53" s="83"/>
      <c r="H53"/>
    </row>
    <row r="57" spans="1:8" x14ac:dyDescent="0.15">
      <c r="A57"/>
      <c r="F57" s="101"/>
      <c r="H57"/>
    </row>
  </sheetData>
  <mergeCells count="16">
    <mergeCell ref="A1:D1"/>
    <mergeCell ref="E1:F4"/>
    <mergeCell ref="A2:D2"/>
    <mergeCell ref="A3:D3"/>
    <mergeCell ref="A4:D4"/>
    <mergeCell ref="A6:F6"/>
    <mergeCell ref="A5:F5"/>
    <mergeCell ref="A24:F24"/>
    <mergeCell ref="C25:E25"/>
    <mergeCell ref="A8:F8"/>
    <mergeCell ref="B9:F9"/>
    <mergeCell ref="A13:F13"/>
    <mergeCell ref="B14:F14"/>
    <mergeCell ref="A19:F19"/>
    <mergeCell ref="B20:F20"/>
    <mergeCell ref="A23:F23"/>
  </mergeCells>
  <pageMargins left="0.7" right="0.7" top="0.75" bottom="0.75" header="0.3" footer="0.3"/>
  <pageSetup scale="85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FFFF00"/>
  </sheetPr>
  <dimension ref="A1:J32"/>
  <sheetViews>
    <sheetView view="pageBreakPreview" zoomScale="130" zoomScaleNormal="130" zoomScaleSheetLayoutView="130" workbookViewId="0">
      <selection sqref="A1:XFD4"/>
    </sheetView>
  </sheetViews>
  <sheetFormatPr baseColWidth="10" defaultRowHeight="12" x14ac:dyDescent="0.15"/>
  <cols>
    <col min="1" max="1" width="5.5" style="276" bestFit="1" customWidth="1"/>
    <col min="2" max="2" width="17.1640625" style="270" customWidth="1"/>
    <col min="3" max="4" width="14.33203125" style="270" customWidth="1"/>
    <col min="5" max="5" width="13.1640625" style="270" customWidth="1"/>
    <col min="6" max="6" width="11.5" style="270"/>
    <col min="7" max="7" width="14.6640625" style="270" customWidth="1"/>
    <col min="8" max="8" width="11.5" style="270"/>
    <col min="9" max="9" width="18.1640625" style="270" customWidth="1"/>
    <col min="10" max="10" width="11.5" style="270"/>
    <col min="11" max="11" width="18.33203125" style="270" bestFit="1" customWidth="1"/>
    <col min="12" max="258" width="11.5" style="270"/>
    <col min="259" max="259" width="16.33203125" style="270" customWidth="1"/>
    <col min="260" max="260" width="13.83203125" style="270" customWidth="1"/>
    <col min="261" max="261" width="13.1640625" style="270" customWidth="1"/>
    <col min="262" max="262" width="11.5" style="270"/>
    <col min="263" max="263" width="14.6640625" style="270" customWidth="1"/>
    <col min="264" max="264" width="11.5" style="270"/>
    <col min="265" max="265" width="15" style="270" customWidth="1"/>
    <col min="266" max="266" width="11.5" style="270"/>
    <col min="267" max="267" width="18.33203125" style="270" bestFit="1" customWidth="1"/>
    <col min="268" max="514" width="11.5" style="270"/>
    <col min="515" max="515" width="16.33203125" style="270" customWidth="1"/>
    <col min="516" max="516" width="13.83203125" style="270" customWidth="1"/>
    <col min="517" max="517" width="13.1640625" style="270" customWidth="1"/>
    <col min="518" max="518" width="11.5" style="270"/>
    <col min="519" max="519" width="14.6640625" style="270" customWidth="1"/>
    <col min="520" max="520" width="11.5" style="270"/>
    <col min="521" max="521" width="15" style="270" customWidth="1"/>
    <col min="522" max="522" width="11.5" style="270"/>
    <col min="523" max="523" width="18.33203125" style="270" bestFit="1" customWidth="1"/>
    <col min="524" max="770" width="11.5" style="270"/>
    <col min="771" max="771" width="16.33203125" style="270" customWidth="1"/>
    <col min="772" max="772" width="13.83203125" style="270" customWidth="1"/>
    <col min="773" max="773" width="13.1640625" style="270" customWidth="1"/>
    <col min="774" max="774" width="11.5" style="270"/>
    <col min="775" max="775" width="14.6640625" style="270" customWidth="1"/>
    <col min="776" max="776" width="11.5" style="270"/>
    <col min="777" max="777" width="15" style="270" customWidth="1"/>
    <col min="778" max="778" width="11.5" style="270"/>
    <col min="779" max="779" width="18.33203125" style="270" bestFit="1" customWidth="1"/>
    <col min="780" max="1026" width="11.5" style="270"/>
    <col min="1027" max="1027" width="16.33203125" style="270" customWidth="1"/>
    <col min="1028" max="1028" width="13.83203125" style="270" customWidth="1"/>
    <col min="1029" max="1029" width="13.1640625" style="270" customWidth="1"/>
    <col min="1030" max="1030" width="11.5" style="270"/>
    <col min="1031" max="1031" width="14.6640625" style="270" customWidth="1"/>
    <col min="1032" max="1032" width="11.5" style="270"/>
    <col min="1033" max="1033" width="15" style="270" customWidth="1"/>
    <col min="1034" max="1034" width="11.5" style="270"/>
    <col min="1035" max="1035" width="18.33203125" style="270" bestFit="1" customWidth="1"/>
    <col min="1036" max="1282" width="11.5" style="270"/>
    <col min="1283" max="1283" width="16.33203125" style="270" customWidth="1"/>
    <col min="1284" max="1284" width="13.83203125" style="270" customWidth="1"/>
    <col min="1285" max="1285" width="13.1640625" style="270" customWidth="1"/>
    <col min="1286" max="1286" width="11.5" style="270"/>
    <col min="1287" max="1287" width="14.6640625" style="270" customWidth="1"/>
    <col min="1288" max="1288" width="11.5" style="270"/>
    <col min="1289" max="1289" width="15" style="270" customWidth="1"/>
    <col min="1290" max="1290" width="11.5" style="270"/>
    <col min="1291" max="1291" width="18.33203125" style="270" bestFit="1" customWidth="1"/>
    <col min="1292" max="1538" width="11.5" style="270"/>
    <col min="1539" max="1539" width="16.33203125" style="270" customWidth="1"/>
    <col min="1540" max="1540" width="13.83203125" style="270" customWidth="1"/>
    <col min="1541" max="1541" width="13.1640625" style="270" customWidth="1"/>
    <col min="1542" max="1542" width="11.5" style="270"/>
    <col min="1543" max="1543" width="14.6640625" style="270" customWidth="1"/>
    <col min="1544" max="1544" width="11.5" style="270"/>
    <col min="1545" max="1545" width="15" style="270" customWidth="1"/>
    <col min="1546" max="1546" width="11.5" style="270"/>
    <col min="1547" max="1547" width="18.33203125" style="270" bestFit="1" customWidth="1"/>
    <col min="1548" max="1794" width="11.5" style="270"/>
    <col min="1795" max="1795" width="16.33203125" style="270" customWidth="1"/>
    <col min="1796" max="1796" width="13.83203125" style="270" customWidth="1"/>
    <col min="1797" max="1797" width="13.1640625" style="270" customWidth="1"/>
    <col min="1798" max="1798" width="11.5" style="270"/>
    <col min="1799" max="1799" width="14.6640625" style="270" customWidth="1"/>
    <col min="1800" max="1800" width="11.5" style="270"/>
    <col min="1801" max="1801" width="15" style="270" customWidth="1"/>
    <col min="1802" max="1802" width="11.5" style="270"/>
    <col min="1803" max="1803" width="18.33203125" style="270" bestFit="1" customWidth="1"/>
    <col min="1804" max="2050" width="11.5" style="270"/>
    <col min="2051" max="2051" width="16.33203125" style="270" customWidth="1"/>
    <col min="2052" max="2052" width="13.83203125" style="270" customWidth="1"/>
    <col min="2053" max="2053" width="13.1640625" style="270" customWidth="1"/>
    <col min="2054" max="2054" width="11.5" style="270"/>
    <col min="2055" max="2055" width="14.6640625" style="270" customWidth="1"/>
    <col min="2056" max="2056" width="11.5" style="270"/>
    <col min="2057" max="2057" width="15" style="270" customWidth="1"/>
    <col min="2058" max="2058" width="11.5" style="270"/>
    <col min="2059" max="2059" width="18.33203125" style="270" bestFit="1" customWidth="1"/>
    <col min="2060" max="2306" width="11.5" style="270"/>
    <col min="2307" max="2307" width="16.33203125" style="270" customWidth="1"/>
    <col min="2308" max="2308" width="13.83203125" style="270" customWidth="1"/>
    <col min="2309" max="2309" width="13.1640625" style="270" customWidth="1"/>
    <col min="2310" max="2310" width="11.5" style="270"/>
    <col min="2311" max="2311" width="14.6640625" style="270" customWidth="1"/>
    <col min="2312" max="2312" width="11.5" style="270"/>
    <col min="2313" max="2313" width="15" style="270" customWidth="1"/>
    <col min="2314" max="2314" width="11.5" style="270"/>
    <col min="2315" max="2315" width="18.33203125" style="270" bestFit="1" customWidth="1"/>
    <col min="2316" max="2562" width="11.5" style="270"/>
    <col min="2563" max="2563" width="16.33203125" style="270" customWidth="1"/>
    <col min="2564" max="2564" width="13.83203125" style="270" customWidth="1"/>
    <col min="2565" max="2565" width="13.1640625" style="270" customWidth="1"/>
    <col min="2566" max="2566" width="11.5" style="270"/>
    <col min="2567" max="2567" width="14.6640625" style="270" customWidth="1"/>
    <col min="2568" max="2568" width="11.5" style="270"/>
    <col min="2569" max="2569" width="15" style="270" customWidth="1"/>
    <col min="2570" max="2570" width="11.5" style="270"/>
    <col min="2571" max="2571" width="18.33203125" style="270" bestFit="1" customWidth="1"/>
    <col min="2572" max="2818" width="11.5" style="270"/>
    <col min="2819" max="2819" width="16.33203125" style="270" customWidth="1"/>
    <col min="2820" max="2820" width="13.83203125" style="270" customWidth="1"/>
    <col min="2821" max="2821" width="13.1640625" style="270" customWidth="1"/>
    <col min="2822" max="2822" width="11.5" style="270"/>
    <col min="2823" max="2823" width="14.6640625" style="270" customWidth="1"/>
    <col min="2824" max="2824" width="11.5" style="270"/>
    <col min="2825" max="2825" width="15" style="270" customWidth="1"/>
    <col min="2826" max="2826" width="11.5" style="270"/>
    <col min="2827" max="2827" width="18.33203125" style="270" bestFit="1" customWidth="1"/>
    <col min="2828" max="3074" width="11.5" style="270"/>
    <col min="3075" max="3075" width="16.33203125" style="270" customWidth="1"/>
    <col min="3076" max="3076" width="13.83203125" style="270" customWidth="1"/>
    <col min="3077" max="3077" width="13.1640625" style="270" customWidth="1"/>
    <col min="3078" max="3078" width="11.5" style="270"/>
    <col min="3079" max="3079" width="14.6640625" style="270" customWidth="1"/>
    <col min="3080" max="3080" width="11.5" style="270"/>
    <col min="3081" max="3081" width="15" style="270" customWidth="1"/>
    <col min="3082" max="3082" width="11.5" style="270"/>
    <col min="3083" max="3083" width="18.33203125" style="270" bestFit="1" customWidth="1"/>
    <col min="3084" max="3330" width="11.5" style="270"/>
    <col min="3331" max="3331" width="16.33203125" style="270" customWidth="1"/>
    <col min="3332" max="3332" width="13.83203125" style="270" customWidth="1"/>
    <col min="3333" max="3333" width="13.1640625" style="270" customWidth="1"/>
    <col min="3334" max="3334" width="11.5" style="270"/>
    <col min="3335" max="3335" width="14.6640625" style="270" customWidth="1"/>
    <col min="3336" max="3336" width="11.5" style="270"/>
    <col min="3337" max="3337" width="15" style="270" customWidth="1"/>
    <col min="3338" max="3338" width="11.5" style="270"/>
    <col min="3339" max="3339" width="18.33203125" style="270" bestFit="1" customWidth="1"/>
    <col min="3340" max="3586" width="11.5" style="270"/>
    <col min="3587" max="3587" width="16.33203125" style="270" customWidth="1"/>
    <col min="3588" max="3588" width="13.83203125" style="270" customWidth="1"/>
    <col min="3589" max="3589" width="13.1640625" style="270" customWidth="1"/>
    <col min="3590" max="3590" width="11.5" style="270"/>
    <col min="3591" max="3591" width="14.6640625" style="270" customWidth="1"/>
    <col min="3592" max="3592" width="11.5" style="270"/>
    <col min="3593" max="3593" width="15" style="270" customWidth="1"/>
    <col min="3594" max="3594" width="11.5" style="270"/>
    <col min="3595" max="3595" width="18.33203125" style="270" bestFit="1" customWidth="1"/>
    <col min="3596" max="3842" width="11.5" style="270"/>
    <col min="3843" max="3843" width="16.33203125" style="270" customWidth="1"/>
    <col min="3844" max="3844" width="13.83203125" style="270" customWidth="1"/>
    <col min="3845" max="3845" width="13.1640625" style="270" customWidth="1"/>
    <col min="3846" max="3846" width="11.5" style="270"/>
    <col min="3847" max="3847" width="14.6640625" style="270" customWidth="1"/>
    <col min="3848" max="3848" width="11.5" style="270"/>
    <col min="3849" max="3849" width="15" style="270" customWidth="1"/>
    <col min="3850" max="3850" width="11.5" style="270"/>
    <col min="3851" max="3851" width="18.33203125" style="270" bestFit="1" customWidth="1"/>
    <col min="3852" max="4098" width="11.5" style="270"/>
    <col min="4099" max="4099" width="16.33203125" style="270" customWidth="1"/>
    <col min="4100" max="4100" width="13.83203125" style="270" customWidth="1"/>
    <col min="4101" max="4101" width="13.1640625" style="270" customWidth="1"/>
    <col min="4102" max="4102" width="11.5" style="270"/>
    <col min="4103" max="4103" width="14.6640625" style="270" customWidth="1"/>
    <col min="4104" max="4104" width="11.5" style="270"/>
    <col min="4105" max="4105" width="15" style="270" customWidth="1"/>
    <col min="4106" max="4106" width="11.5" style="270"/>
    <col min="4107" max="4107" width="18.33203125" style="270" bestFit="1" customWidth="1"/>
    <col min="4108" max="4354" width="11.5" style="270"/>
    <col min="4355" max="4355" width="16.33203125" style="270" customWidth="1"/>
    <col min="4356" max="4356" width="13.83203125" style="270" customWidth="1"/>
    <col min="4357" max="4357" width="13.1640625" style="270" customWidth="1"/>
    <col min="4358" max="4358" width="11.5" style="270"/>
    <col min="4359" max="4359" width="14.6640625" style="270" customWidth="1"/>
    <col min="4360" max="4360" width="11.5" style="270"/>
    <col min="4361" max="4361" width="15" style="270" customWidth="1"/>
    <col min="4362" max="4362" width="11.5" style="270"/>
    <col min="4363" max="4363" width="18.33203125" style="270" bestFit="1" customWidth="1"/>
    <col min="4364" max="4610" width="11.5" style="270"/>
    <col min="4611" max="4611" width="16.33203125" style="270" customWidth="1"/>
    <col min="4612" max="4612" width="13.83203125" style="270" customWidth="1"/>
    <col min="4613" max="4613" width="13.1640625" style="270" customWidth="1"/>
    <col min="4614" max="4614" width="11.5" style="270"/>
    <col min="4615" max="4615" width="14.6640625" style="270" customWidth="1"/>
    <col min="4616" max="4616" width="11.5" style="270"/>
    <col min="4617" max="4617" width="15" style="270" customWidth="1"/>
    <col min="4618" max="4618" width="11.5" style="270"/>
    <col min="4619" max="4619" width="18.33203125" style="270" bestFit="1" customWidth="1"/>
    <col min="4620" max="4866" width="11.5" style="270"/>
    <col min="4867" max="4867" width="16.33203125" style="270" customWidth="1"/>
    <col min="4868" max="4868" width="13.83203125" style="270" customWidth="1"/>
    <col min="4869" max="4869" width="13.1640625" style="270" customWidth="1"/>
    <col min="4870" max="4870" width="11.5" style="270"/>
    <col min="4871" max="4871" width="14.6640625" style="270" customWidth="1"/>
    <col min="4872" max="4872" width="11.5" style="270"/>
    <col min="4873" max="4873" width="15" style="270" customWidth="1"/>
    <col min="4874" max="4874" width="11.5" style="270"/>
    <col min="4875" max="4875" width="18.33203125" style="270" bestFit="1" customWidth="1"/>
    <col min="4876" max="5122" width="11.5" style="270"/>
    <col min="5123" max="5123" width="16.33203125" style="270" customWidth="1"/>
    <col min="5124" max="5124" width="13.83203125" style="270" customWidth="1"/>
    <col min="5125" max="5125" width="13.1640625" style="270" customWidth="1"/>
    <col min="5126" max="5126" width="11.5" style="270"/>
    <col min="5127" max="5127" width="14.6640625" style="270" customWidth="1"/>
    <col min="5128" max="5128" width="11.5" style="270"/>
    <col min="5129" max="5129" width="15" style="270" customWidth="1"/>
    <col min="5130" max="5130" width="11.5" style="270"/>
    <col min="5131" max="5131" width="18.33203125" style="270" bestFit="1" customWidth="1"/>
    <col min="5132" max="5378" width="11.5" style="270"/>
    <col min="5379" max="5379" width="16.33203125" style="270" customWidth="1"/>
    <col min="5380" max="5380" width="13.83203125" style="270" customWidth="1"/>
    <col min="5381" max="5381" width="13.1640625" style="270" customWidth="1"/>
    <col min="5382" max="5382" width="11.5" style="270"/>
    <col min="5383" max="5383" width="14.6640625" style="270" customWidth="1"/>
    <col min="5384" max="5384" width="11.5" style="270"/>
    <col min="5385" max="5385" width="15" style="270" customWidth="1"/>
    <col min="5386" max="5386" width="11.5" style="270"/>
    <col min="5387" max="5387" width="18.33203125" style="270" bestFit="1" customWidth="1"/>
    <col min="5388" max="5634" width="11.5" style="270"/>
    <col min="5635" max="5635" width="16.33203125" style="270" customWidth="1"/>
    <col min="5636" max="5636" width="13.83203125" style="270" customWidth="1"/>
    <col min="5637" max="5637" width="13.1640625" style="270" customWidth="1"/>
    <col min="5638" max="5638" width="11.5" style="270"/>
    <col min="5639" max="5639" width="14.6640625" style="270" customWidth="1"/>
    <col min="5640" max="5640" width="11.5" style="270"/>
    <col min="5641" max="5641" width="15" style="270" customWidth="1"/>
    <col min="5642" max="5642" width="11.5" style="270"/>
    <col min="5643" max="5643" width="18.33203125" style="270" bestFit="1" customWidth="1"/>
    <col min="5644" max="5890" width="11.5" style="270"/>
    <col min="5891" max="5891" width="16.33203125" style="270" customWidth="1"/>
    <col min="5892" max="5892" width="13.83203125" style="270" customWidth="1"/>
    <col min="5893" max="5893" width="13.1640625" style="270" customWidth="1"/>
    <col min="5894" max="5894" width="11.5" style="270"/>
    <col min="5895" max="5895" width="14.6640625" style="270" customWidth="1"/>
    <col min="5896" max="5896" width="11.5" style="270"/>
    <col min="5897" max="5897" width="15" style="270" customWidth="1"/>
    <col min="5898" max="5898" width="11.5" style="270"/>
    <col min="5899" max="5899" width="18.33203125" style="270" bestFit="1" customWidth="1"/>
    <col min="5900" max="6146" width="11.5" style="270"/>
    <col min="6147" max="6147" width="16.33203125" style="270" customWidth="1"/>
    <col min="6148" max="6148" width="13.83203125" style="270" customWidth="1"/>
    <col min="6149" max="6149" width="13.1640625" style="270" customWidth="1"/>
    <col min="6150" max="6150" width="11.5" style="270"/>
    <col min="6151" max="6151" width="14.6640625" style="270" customWidth="1"/>
    <col min="6152" max="6152" width="11.5" style="270"/>
    <col min="6153" max="6153" width="15" style="270" customWidth="1"/>
    <col min="6154" max="6154" width="11.5" style="270"/>
    <col min="6155" max="6155" width="18.33203125" style="270" bestFit="1" customWidth="1"/>
    <col min="6156" max="6402" width="11.5" style="270"/>
    <col min="6403" max="6403" width="16.33203125" style="270" customWidth="1"/>
    <col min="6404" max="6404" width="13.83203125" style="270" customWidth="1"/>
    <col min="6405" max="6405" width="13.1640625" style="270" customWidth="1"/>
    <col min="6406" max="6406" width="11.5" style="270"/>
    <col min="6407" max="6407" width="14.6640625" style="270" customWidth="1"/>
    <col min="6408" max="6408" width="11.5" style="270"/>
    <col min="6409" max="6409" width="15" style="270" customWidth="1"/>
    <col min="6410" max="6410" width="11.5" style="270"/>
    <col min="6411" max="6411" width="18.33203125" style="270" bestFit="1" customWidth="1"/>
    <col min="6412" max="6658" width="11.5" style="270"/>
    <col min="6659" max="6659" width="16.33203125" style="270" customWidth="1"/>
    <col min="6660" max="6660" width="13.83203125" style="270" customWidth="1"/>
    <col min="6661" max="6661" width="13.1640625" style="270" customWidth="1"/>
    <col min="6662" max="6662" width="11.5" style="270"/>
    <col min="6663" max="6663" width="14.6640625" style="270" customWidth="1"/>
    <col min="6664" max="6664" width="11.5" style="270"/>
    <col min="6665" max="6665" width="15" style="270" customWidth="1"/>
    <col min="6666" max="6666" width="11.5" style="270"/>
    <col min="6667" max="6667" width="18.33203125" style="270" bestFit="1" customWidth="1"/>
    <col min="6668" max="6914" width="11.5" style="270"/>
    <col min="6915" max="6915" width="16.33203125" style="270" customWidth="1"/>
    <col min="6916" max="6916" width="13.83203125" style="270" customWidth="1"/>
    <col min="6917" max="6917" width="13.1640625" style="270" customWidth="1"/>
    <col min="6918" max="6918" width="11.5" style="270"/>
    <col min="6919" max="6919" width="14.6640625" style="270" customWidth="1"/>
    <col min="6920" max="6920" width="11.5" style="270"/>
    <col min="6921" max="6921" width="15" style="270" customWidth="1"/>
    <col min="6922" max="6922" width="11.5" style="270"/>
    <col min="6923" max="6923" width="18.33203125" style="270" bestFit="1" customWidth="1"/>
    <col min="6924" max="7170" width="11.5" style="270"/>
    <col min="7171" max="7171" width="16.33203125" style="270" customWidth="1"/>
    <col min="7172" max="7172" width="13.83203125" style="270" customWidth="1"/>
    <col min="7173" max="7173" width="13.1640625" style="270" customWidth="1"/>
    <col min="7174" max="7174" width="11.5" style="270"/>
    <col min="7175" max="7175" width="14.6640625" style="270" customWidth="1"/>
    <col min="7176" max="7176" width="11.5" style="270"/>
    <col min="7177" max="7177" width="15" style="270" customWidth="1"/>
    <col min="7178" max="7178" width="11.5" style="270"/>
    <col min="7179" max="7179" width="18.33203125" style="270" bestFit="1" customWidth="1"/>
    <col min="7180" max="7426" width="11.5" style="270"/>
    <col min="7427" max="7427" width="16.33203125" style="270" customWidth="1"/>
    <col min="7428" max="7428" width="13.83203125" style="270" customWidth="1"/>
    <col min="7429" max="7429" width="13.1640625" style="270" customWidth="1"/>
    <col min="7430" max="7430" width="11.5" style="270"/>
    <col min="7431" max="7431" width="14.6640625" style="270" customWidth="1"/>
    <col min="7432" max="7432" width="11.5" style="270"/>
    <col min="7433" max="7433" width="15" style="270" customWidth="1"/>
    <col min="7434" max="7434" width="11.5" style="270"/>
    <col min="7435" max="7435" width="18.33203125" style="270" bestFit="1" customWidth="1"/>
    <col min="7436" max="7682" width="11.5" style="270"/>
    <col min="7683" max="7683" width="16.33203125" style="270" customWidth="1"/>
    <col min="7684" max="7684" width="13.83203125" style="270" customWidth="1"/>
    <col min="7685" max="7685" width="13.1640625" style="270" customWidth="1"/>
    <col min="7686" max="7686" width="11.5" style="270"/>
    <col min="7687" max="7687" width="14.6640625" style="270" customWidth="1"/>
    <col min="7688" max="7688" width="11.5" style="270"/>
    <col min="7689" max="7689" width="15" style="270" customWidth="1"/>
    <col min="7690" max="7690" width="11.5" style="270"/>
    <col min="7691" max="7691" width="18.33203125" style="270" bestFit="1" customWidth="1"/>
    <col min="7692" max="7938" width="11.5" style="270"/>
    <col min="7939" max="7939" width="16.33203125" style="270" customWidth="1"/>
    <col min="7940" max="7940" width="13.83203125" style="270" customWidth="1"/>
    <col min="7941" max="7941" width="13.1640625" style="270" customWidth="1"/>
    <col min="7942" max="7942" width="11.5" style="270"/>
    <col min="7943" max="7943" width="14.6640625" style="270" customWidth="1"/>
    <col min="7944" max="7944" width="11.5" style="270"/>
    <col min="7945" max="7945" width="15" style="270" customWidth="1"/>
    <col min="7946" max="7946" width="11.5" style="270"/>
    <col min="7947" max="7947" width="18.33203125" style="270" bestFit="1" customWidth="1"/>
    <col min="7948" max="8194" width="11.5" style="270"/>
    <col min="8195" max="8195" width="16.33203125" style="270" customWidth="1"/>
    <col min="8196" max="8196" width="13.83203125" style="270" customWidth="1"/>
    <col min="8197" max="8197" width="13.1640625" style="270" customWidth="1"/>
    <col min="8198" max="8198" width="11.5" style="270"/>
    <col min="8199" max="8199" width="14.6640625" style="270" customWidth="1"/>
    <col min="8200" max="8200" width="11.5" style="270"/>
    <col min="8201" max="8201" width="15" style="270" customWidth="1"/>
    <col min="8202" max="8202" width="11.5" style="270"/>
    <col min="8203" max="8203" width="18.33203125" style="270" bestFit="1" customWidth="1"/>
    <col min="8204" max="8450" width="11.5" style="270"/>
    <col min="8451" max="8451" width="16.33203125" style="270" customWidth="1"/>
    <col min="8452" max="8452" width="13.83203125" style="270" customWidth="1"/>
    <col min="8453" max="8453" width="13.1640625" style="270" customWidth="1"/>
    <col min="8454" max="8454" width="11.5" style="270"/>
    <col min="8455" max="8455" width="14.6640625" style="270" customWidth="1"/>
    <col min="8456" max="8456" width="11.5" style="270"/>
    <col min="8457" max="8457" width="15" style="270" customWidth="1"/>
    <col min="8458" max="8458" width="11.5" style="270"/>
    <col min="8459" max="8459" width="18.33203125" style="270" bestFit="1" customWidth="1"/>
    <col min="8460" max="8706" width="11.5" style="270"/>
    <col min="8707" max="8707" width="16.33203125" style="270" customWidth="1"/>
    <col min="8708" max="8708" width="13.83203125" style="270" customWidth="1"/>
    <col min="8709" max="8709" width="13.1640625" style="270" customWidth="1"/>
    <col min="8710" max="8710" width="11.5" style="270"/>
    <col min="8711" max="8711" width="14.6640625" style="270" customWidth="1"/>
    <col min="8712" max="8712" width="11.5" style="270"/>
    <col min="8713" max="8713" width="15" style="270" customWidth="1"/>
    <col min="8714" max="8714" width="11.5" style="270"/>
    <col min="8715" max="8715" width="18.33203125" style="270" bestFit="1" customWidth="1"/>
    <col min="8716" max="8962" width="11.5" style="270"/>
    <col min="8963" max="8963" width="16.33203125" style="270" customWidth="1"/>
    <col min="8964" max="8964" width="13.83203125" style="270" customWidth="1"/>
    <col min="8965" max="8965" width="13.1640625" style="270" customWidth="1"/>
    <col min="8966" max="8966" width="11.5" style="270"/>
    <col min="8967" max="8967" width="14.6640625" style="270" customWidth="1"/>
    <col min="8968" max="8968" width="11.5" style="270"/>
    <col min="8969" max="8969" width="15" style="270" customWidth="1"/>
    <col min="8970" max="8970" width="11.5" style="270"/>
    <col min="8971" max="8971" width="18.33203125" style="270" bestFit="1" customWidth="1"/>
    <col min="8972" max="9218" width="11.5" style="270"/>
    <col min="9219" max="9219" width="16.33203125" style="270" customWidth="1"/>
    <col min="9220" max="9220" width="13.83203125" style="270" customWidth="1"/>
    <col min="9221" max="9221" width="13.1640625" style="270" customWidth="1"/>
    <col min="9222" max="9222" width="11.5" style="270"/>
    <col min="9223" max="9223" width="14.6640625" style="270" customWidth="1"/>
    <col min="9224" max="9224" width="11.5" style="270"/>
    <col min="9225" max="9225" width="15" style="270" customWidth="1"/>
    <col min="9226" max="9226" width="11.5" style="270"/>
    <col min="9227" max="9227" width="18.33203125" style="270" bestFit="1" customWidth="1"/>
    <col min="9228" max="9474" width="11.5" style="270"/>
    <col min="9475" max="9475" width="16.33203125" style="270" customWidth="1"/>
    <col min="9476" max="9476" width="13.83203125" style="270" customWidth="1"/>
    <col min="9477" max="9477" width="13.1640625" style="270" customWidth="1"/>
    <col min="9478" max="9478" width="11.5" style="270"/>
    <col min="9479" max="9479" width="14.6640625" style="270" customWidth="1"/>
    <col min="9480" max="9480" width="11.5" style="270"/>
    <col min="9481" max="9481" width="15" style="270" customWidth="1"/>
    <col min="9482" max="9482" width="11.5" style="270"/>
    <col min="9483" max="9483" width="18.33203125" style="270" bestFit="1" customWidth="1"/>
    <col min="9484" max="9730" width="11.5" style="270"/>
    <col min="9731" max="9731" width="16.33203125" style="270" customWidth="1"/>
    <col min="9732" max="9732" width="13.83203125" style="270" customWidth="1"/>
    <col min="9733" max="9733" width="13.1640625" style="270" customWidth="1"/>
    <col min="9734" max="9734" width="11.5" style="270"/>
    <col min="9735" max="9735" width="14.6640625" style="270" customWidth="1"/>
    <col min="9736" max="9736" width="11.5" style="270"/>
    <col min="9737" max="9737" width="15" style="270" customWidth="1"/>
    <col min="9738" max="9738" width="11.5" style="270"/>
    <col min="9739" max="9739" width="18.33203125" style="270" bestFit="1" customWidth="1"/>
    <col min="9740" max="9986" width="11.5" style="270"/>
    <col min="9987" max="9987" width="16.33203125" style="270" customWidth="1"/>
    <col min="9988" max="9988" width="13.83203125" style="270" customWidth="1"/>
    <col min="9989" max="9989" width="13.1640625" style="270" customWidth="1"/>
    <col min="9990" max="9990" width="11.5" style="270"/>
    <col min="9991" max="9991" width="14.6640625" style="270" customWidth="1"/>
    <col min="9992" max="9992" width="11.5" style="270"/>
    <col min="9993" max="9993" width="15" style="270" customWidth="1"/>
    <col min="9994" max="9994" width="11.5" style="270"/>
    <col min="9995" max="9995" width="18.33203125" style="270" bestFit="1" customWidth="1"/>
    <col min="9996" max="10242" width="11.5" style="270"/>
    <col min="10243" max="10243" width="16.33203125" style="270" customWidth="1"/>
    <col min="10244" max="10244" width="13.83203125" style="270" customWidth="1"/>
    <col min="10245" max="10245" width="13.1640625" style="270" customWidth="1"/>
    <col min="10246" max="10246" width="11.5" style="270"/>
    <col min="10247" max="10247" width="14.6640625" style="270" customWidth="1"/>
    <col min="10248" max="10248" width="11.5" style="270"/>
    <col min="10249" max="10249" width="15" style="270" customWidth="1"/>
    <col min="10250" max="10250" width="11.5" style="270"/>
    <col min="10251" max="10251" width="18.33203125" style="270" bestFit="1" customWidth="1"/>
    <col min="10252" max="10498" width="11.5" style="270"/>
    <col min="10499" max="10499" width="16.33203125" style="270" customWidth="1"/>
    <col min="10500" max="10500" width="13.83203125" style="270" customWidth="1"/>
    <col min="10501" max="10501" width="13.1640625" style="270" customWidth="1"/>
    <col min="10502" max="10502" width="11.5" style="270"/>
    <col min="10503" max="10503" width="14.6640625" style="270" customWidth="1"/>
    <col min="10504" max="10504" width="11.5" style="270"/>
    <col min="10505" max="10505" width="15" style="270" customWidth="1"/>
    <col min="10506" max="10506" width="11.5" style="270"/>
    <col min="10507" max="10507" width="18.33203125" style="270" bestFit="1" customWidth="1"/>
    <col min="10508" max="10754" width="11.5" style="270"/>
    <col min="10755" max="10755" width="16.33203125" style="270" customWidth="1"/>
    <col min="10756" max="10756" width="13.83203125" style="270" customWidth="1"/>
    <col min="10757" max="10757" width="13.1640625" style="270" customWidth="1"/>
    <col min="10758" max="10758" width="11.5" style="270"/>
    <col min="10759" max="10759" width="14.6640625" style="270" customWidth="1"/>
    <col min="10760" max="10760" width="11.5" style="270"/>
    <col min="10761" max="10761" width="15" style="270" customWidth="1"/>
    <col min="10762" max="10762" width="11.5" style="270"/>
    <col min="10763" max="10763" width="18.33203125" style="270" bestFit="1" customWidth="1"/>
    <col min="10764" max="11010" width="11.5" style="270"/>
    <col min="11011" max="11011" width="16.33203125" style="270" customWidth="1"/>
    <col min="11012" max="11012" width="13.83203125" style="270" customWidth="1"/>
    <col min="11013" max="11013" width="13.1640625" style="270" customWidth="1"/>
    <col min="11014" max="11014" width="11.5" style="270"/>
    <col min="11015" max="11015" width="14.6640625" style="270" customWidth="1"/>
    <col min="11016" max="11016" width="11.5" style="270"/>
    <col min="11017" max="11017" width="15" style="270" customWidth="1"/>
    <col min="11018" max="11018" width="11.5" style="270"/>
    <col min="11019" max="11019" width="18.33203125" style="270" bestFit="1" customWidth="1"/>
    <col min="11020" max="11266" width="11.5" style="270"/>
    <col min="11267" max="11267" width="16.33203125" style="270" customWidth="1"/>
    <col min="11268" max="11268" width="13.83203125" style="270" customWidth="1"/>
    <col min="11269" max="11269" width="13.1640625" style="270" customWidth="1"/>
    <col min="11270" max="11270" width="11.5" style="270"/>
    <col min="11271" max="11271" width="14.6640625" style="270" customWidth="1"/>
    <col min="11272" max="11272" width="11.5" style="270"/>
    <col min="11273" max="11273" width="15" style="270" customWidth="1"/>
    <col min="11274" max="11274" width="11.5" style="270"/>
    <col min="11275" max="11275" width="18.33203125" style="270" bestFit="1" customWidth="1"/>
    <col min="11276" max="11522" width="11.5" style="270"/>
    <col min="11523" max="11523" width="16.33203125" style="270" customWidth="1"/>
    <col min="11524" max="11524" width="13.83203125" style="270" customWidth="1"/>
    <col min="11525" max="11525" width="13.1640625" style="270" customWidth="1"/>
    <col min="11526" max="11526" width="11.5" style="270"/>
    <col min="11527" max="11527" width="14.6640625" style="270" customWidth="1"/>
    <col min="11528" max="11528" width="11.5" style="270"/>
    <col min="11529" max="11529" width="15" style="270" customWidth="1"/>
    <col min="11530" max="11530" width="11.5" style="270"/>
    <col min="11531" max="11531" width="18.33203125" style="270" bestFit="1" customWidth="1"/>
    <col min="11532" max="11778" width="11.5" style="270"/>
    <col min="11779" max="11779" width="16.33203125" style="270" customWidth="1"/>
    <col min="11780" max="11780" width="13.83203125" style="270" customWidth="1"/>
    <col min="11781" max="11781" width="13.1640625" style="270" customWidth="1"/>
    <col min="11782" max="11782" width="11.5" style="270"/>
    <col min="11783" max="11783" width="14.6640625" style="270" customWidth="1"/>
    <col min="11784" max="11784" width="11.5" style="270"/>
    <col min="11785" max="11785" width="15" style="270" customWidth="1"/>
    <col min="11786" max="11786" width="11.5" style="270"/>
    <col min="11787" max="11787" width="18.33203125" style="270" bestFit="1" customWidth="1"/>
    <col min="11788" max="12034" width="11.5" style="270"/>
    <col min="12035" max="12035" width="16.33203125" style="270" customWidth="1"/>
    <col min="12036" max="12036" width="13.83203125" style="270" customWidth="1"/>
    <col min="12037" max="12037" width="13.1640625" style="270" customWidth="1"/>
    <col min="12038" max="12038" width="11.5" style="270"/>
    <col min="12039" max="12039" width="14.6640625" style="270" customWidth="1"/>
    <col min="12040" max="12040" width="11.5" style="270"/>
    <col min="12041" max="12041" width="15" style="270" customWidth="1"/>
    <col min="12042" max="12042" width="11.5" style="270"/>
    <col min="12043" max="12043" width="18.33203125" style="270" bestFit="1" customWidth="1"/>
    <col min="12044" max="12290" width="11.5" style="270"/>
    <col min="12291" max="12291" width="16.33203125" style="270" customWidth="1"/>
    <col min="12292" max="12292" width="13.83203125" style="270" customWidth="1"/>
    <col min="12293" max="12293" width="13.1640625" style="270" customWidth="1"/>
    <col min="12294" max="12294" width="11.5" style="270"/>
    <col min="12295" max="12295" width="14.6640625" style="270" customWidth="1"/>
    <col min="12296" max="12296" width="11.5" style="270"/>
    <col min="12297" max="12297" width="15" style="270" customWidth="1"/>
    <col min="12298" max="12298" width="11.5" style="270"/>
    <col min="12299" max="12299" width="18.33203125" style="270" bestFit="1" customWidth="1"/>
    <col min="12300" max="12546" width="11.5" style="270"/>
    <col min="12547" max="12547" width="16.33203125" style="270" customWidth="1"/>
    <col min="12548" max="12548" width="13.83203125" style="270" customWidth="1"/>
    <col min="12549" max="12549" width="13.1640625" style="270" customWidth="1"/>
    <col min="12550" max="12550" width="11.5" style="270"/>
    <col min="12551" max="12551" width="14.6640625" style="270" customWidth="1"/>
    <col min="12552" max="12552" width="11.5" style="270"/>
    <col min="12553" max="12553" width="15" style="270" customWidth="1"/>
    <col min="12554" max="12554" width="11.5" style="270"/>
    <col min="12555" max="12555" width="18.33203125" style="270" bestFit="1" customWidth="1"/>
    <col min="12556" max="12802" width="11.5" style="270"/>
    <col min="12803" max="12803" width="16.33203125" style="270" customWidth="1"/>
    <col min="12804" max="12804" width="13.83203125" style="270" customWidth="1"/>
    <col min="12805" max="12805" width="13.1640625" style="270" customWidth="1"/>
    <col min="12806" max="12806" width="11.5" style="270"/>
    <col min="12807" max="12807" width="14.6640625" style="270" customWidth="1"/>
    <col min="12808" max="12808" width="11.5" style="270"/>
    <col min="12809" max="12809" width="15" style="270" customWidth="1"/>
    <col min="12810" max="12810" width="11.5" style="270"/>
    <col min="12811" max="12811" width="18.33203125" style="270" bestFit="1" customWidth="1"/>
    <col min="12812" max="13058" width="11.5" style="270"/>
    <col min="13059" max="13059" width="16.33203125" style="270" customWidth="1"/>
    <col min="13060" max="13060" width="13.83203125" style="270" customWidth="1"/>
    <col min="13061" max="13061" width="13.1640625" style="270" customWidth="1"/>
    <col min="13062" max="13062" width="11.5" style="270"/>
    <col min="13063" max="13063" width="14.6640625" style="270" customWidth="1"/>
    <col min="13064" max="13064" width="11.5" style="270"/>
    <col min="13065" max="13065" width="15" style="270" customWidth="1"/>
    <col min="13066" max="13066" width="11.5" style="270"/>
    <col min="13067" max="13067" width="18.33203125" style="270" bestFit="1" customWidth="1"/>
    <col min="13068" max="13314" width="11.5" style="270"/>
    <col min="13315" max="13315" width="16.33203125" style="270" customWidth="1"/>
    <col min="13316" max="13316" width="13.83203125" style="270" customWidth="1"/>
    <col min="13317" max="13317" width="13.1640625" style="270" customWidth="1"/>
    <col min="13318" max="13318" width="11.5" style="270"/>
    <col min="13319" max="13319" width="14.6640625" style="270" customWidth="1"/>
    <col min="13320" max="13320" width="11.5" style="270"/>
    <col min="13321" max="13321" width="15" style="270" customWidth="1"/>
    <col min="13322" max="13322" width="11.5" style="270"/>
    <col min="13323" max="13323" width="18.33203125" style="270" bestFit="1" customWidth="1"/>
    <col min="13324" max="13570" width="11.5" style="270"/>
    <col min="13571" max="13571" width="16.33203125" style="270" customWidth="1"/>
    <col min="13572" max="13572" width="13.83203125" style="270" customWidth="1"/>
    <col min="13573" max="13573" width="13.1640625" style="270" customWidth="1"/>
    <col min="13574" max="13574" width="11.5" style="270"/>
    <col min="13575" max="13575" width="14.6640625" style="270" customWidth="1"/>
    <col min="13576" max="13576" width="11.5" style="270"/>
    <col min="13577" max="13577" width="15" style="270" customWidth="1"/>
    <col min="13578" max="13578" width="11.5" style="270"/>
    <col min="13579" max="13579" width="18.33203125" style="270" bestFit="1" customWidth="1"/>
    <col min="13580" max="13826" width="11.5" style="270"/>
    <col min="13827" max="13827" width="16.33203125" style="270" customWidth="1"/>
    <col min="13828" max="13828" width="13.83203125" style="270" customWidth="1"/>
    <col min="13829" max="13829" width="13.1640625" style="270" customWidth="1"/>
    <col min="13830" max="13830" width="11.5" style="270"/>
    <col min="13831" max="13831" width="14.6640625" style="270" customWidth="1"/>
    <col min="13832" max="13832" width="11.5" style="270"/>
    <col min="13833" max="13833" width="15" style="270" customWidth="1"/>
    <col min="13834" max="13834" width="11.5" style="270"/>
    <col min="13835" max="13835" width="18.33203125" style="270" bestFit="1" customWidth="1"/>
    <col min="13836" max="14082" width="11.5" style="270"/>
    <col min="14083" max="14083" width="16.33203125" style="270" customWidth="1"/>
    <col min="14084" max="14084" width="13.83203125" style="270" customWidth="1"/>
    <col min="14085" max="14085" width="13.1640625" style="270" customWidth="1"/>
    <col min="14086" max="14086" width="11.5" style="270"/>
    <col min="14087" max="14087" width="14.6640625" style="270" customWidth="1"/>
    <col min="14088" max="14088" width="11.5" style="270"/>
    <col min="14089" max="14089" width="15" style="270" customWidth="1"/>
    <col min="14090" max="14090" width="11.5" style="270"/>
    <col min="14091" max="14091" width="18.33203125" style="270" bestFit="1" customWidth="1"/>
    <col min="14092" max="14338" width="11.5" style="270"/>
    <col min="14339" max="14339" width="16.33203125" style="270" customWidth="1"/>
    <col min="14340" max="14340" width="13.83203125" style="270" customWidth="1"/>
    <col min="14341" max="14341" width="13.1640625" style="270" customWidth="1"/>
    <col min="14342" max="14342" width="11.5" style="270"/>
    <col min="14343" max="14343" width="14.6640625" style="270" customWidth="1"/>
    <col min="14344" max="14344" width="11.5" style="270"/>
    <col min="14345" max="14345" width="15" style="270" customWidth="1"/>
    <col min="14346" max="14346" width="11.5" style="270"/>
    <col min="14347" max="14347" width="18.33203125" style="270" bestFit="1" customWidth="1"/>
    <col min="14348" max="14594" width="11.5" style="270"/>
    <col min="14595" max="14595" width="16.33203125" style="270" customWidth="1"/>
    <col min="14596" max="14596" width="13.83203125" style="270" customWidth="1"/>
    <col min="14597" max="14597" width="13.1640625" style="270" customWidth="1"/>
    <col min="14598" max="14598" width="11.5" style="270"/>
    <col min="14599" max="14599" width="14.6640625" style="270" customWidth="1"/>
    <col min="14600" max="14600" width="11.5" style="270"/>
    <col min="14601" max="14601" width="15" style="270" customWidth="1"/>
    <col min="14602" max="14602" width="11.5" style="270"/>
    <col min="14603" max="14603" width="18.33203125" style="270" bestFit="1" customWidth="1"/>
    <col min="14604" max="14850" width="11.5" style="270"/>
    <col min="14851" max="14851" width="16.33203125" style="270" customWidth="1"/>
    <col min="14852" max="14852" width="13.83203125" style="270" customWidth="1"/>
    <col min="14853" max="14853" width="13.1640625" style="270" customWidth="1"/>
    <col min="14854" max="14854" width="11.5" style="270"/>
    <col min="14855" max="14855" width="14.6640625" style="270" customWidth="1"/>
    <col min="14856" max="14856" width="11.5" style="270"/>
    <col min="14857" max="14857" width="15" style="270" customWidth="1"/>
    <col min="14858" max="14858" width="11.5" style="270"/>
    <col min="14859" max="14859" width="18.33203125" style="270" bestFit="1" customWidth="1"/>
    <col min="14860" max="15106" width="11.5" style="270"/>
    <col min="15107" max="15107" width="16.33203125" style="270" customWidth="1"/>
    <col min="15108" max="15108" width="13.83203125" style="270" customWidth="1"/>
    <col min="15109" max="15109" width="13.1640625" style="270" customWidth="1"/>
    <col min="15110" max="15110" width="11.5" style="270"/>
    <col min="15111" max="15111" width="14.6640625" style="270" customWidth="1"/>
    <col min="15112" max="15112" width="11.5" style="270"/>
    <col min="15113" max="15113" width="15" style="270" customWidth="1"/>
    <col min="15114" max="15114" width="11.5" style="270"/>
    <col min="15115" max="15115" width="18.33203125" style="270" bestFit="1" customWidth="1"/>
    <col min="15116" max="15362" width="11.5" style="270"/>
    <col min="15363" max="15363" width="16.33203125" style="270" customWidth="1"/>
    <col min="15364" max="15364" width="13.83203125" style="270" customWidth="1"/>
    <col min="15365" max="15365" width="13.1640625" style="270" customWidth="1"/>
    <col min="15366" max="15366" width="11.5" style="270"/>
    <col min="15367" max="15367" width="14.6640625" style="270" customWidth="1"/>
    <col min="15368" max="15368" width="11.5" style="270"/>
    <col min="15369" max="15369" width="15" style="270" customWidth="1"/>
    <col min="15370" max="15370" width="11.5" style="270"/>
    <col min="15371" max="15371" width="18.33203125" style="270" bestFit="1" customWidth="1"/>
    <col min="15372" max="15618" width="11.5" style="270"/>
    <col min="15619" max="15619" width="16.33203125" style="270" customWidth="1"/>
    <col min="15620" max="15620" width="13.83203125" style="270" customWidth="1"/>
    <col min="15621" max="15621" width="13.1640625" style="270" customWidth="1"/>
    <col min="15622" max="15622" width="11.5" style="270"/>
    <col min="15623" max="15623" width="14.6640625" style="270" customWidth="1"/>
    <col min="15624" max="15624" width="11.5" style="270"/>
    <col min="15625" max="15625" width="15" style="270" customWidth="1"/>
    <col min="15626" max="15626" width="11.5" style="270"/>
    <col min="15627" max="15627" width="18.33203125" style="270" bestFit="1" customWidth="1"/>
    <col min="15628" max="15874" width="11.5" style="270"/>
    <col min="15875" max="15875" width="16.33203125" style="270" customWidth="1"/>
    <col min="15876" max="15876" width="13.83203125" style="270" customWidth="1"/>
    <col min="15877" max="15877" width="13.1640625" style="270" customWidth="1"/>
    <col min="15878" max="15878" width="11.5" style="270"/>
    <col min="15879" max="15879" width="14.6640625" style="270" customWidth="1"/>
    <col min="15880" max="15880" width="11.5" style="270"/>
    <col min="15881" max="15881" width="15" style="270" customWidth="1"/>
    <col min="15882" max="15882" width="11.5" style="270"/>
    <col min="15883" max="15883" width="18.33203125" style="270" bestFit="1" customWidth="1"/>
    <col min="15884" max="16130" width="11.5" style="270"/>
    <col min="16131" max="16131" width="16.33203125" style="270" customWidth="1"/>
    <col min="16132" max="16132" width="13.83203125" style="270" customWidth="1"/>
    <col min="16133" max="16133" width="13.1640625" style="270" customWidth="1"/>
    <col min="16134" max="16134" width="11.5" style="270"/>
    <col min="16135" max="16135" width="14.6640625" style="270" customWidth="1"/>
    <col min="16136" max="16136" width="11.5" style="270"/>
    <col min="16137" max="16137" width="15" style="270" customWidth="1"/>
    <col min="16138" max="16138" width="11.5" style="270"/>
    <col min="16139" max="16139" width="18.33203125" style="270" bestFit="1" customWidth="1"/>
    <col min="16140" max="16384" width="11.5" style="270"/>
  </cols>
  <sheetData>
    <row r="1" spans="1:10" customFormat="1" ht="21" customHeight="1" x14ac:dyDescent="0.15">
      <c r="A1" s="765" t="s">
        <v>527</v>
      </c>
      <c r="B1" s="765"/>
      <c r="C1" s="765"/>
      <c r="D1" s="765"/>
      <c r="E1" s="765"/>
      <c r="F1" s="765"/>
      <c r="G1" s="765"/>
      <c r="H1" s="765"/>
      <c r="I1" s="765"/>
    </row>
    <row r="2" spans="1:10" customFormat="1" ht="14.25" customHeight="1" x14ac:dyDescent="0.15">
      <c r="A2" s="798" t="s">
        <v>528</v>
      </c>
      <c r="B2" s="798"/>
      <c r="C2" s="798"/>
      <c r="D2" s="798"/>
      <c r="E2" s="798"/>
      <c r="F2" s="798"/>
      <c r="G2" s="798"/>
      <c r="H2" s="765"/>
      <c r="I2" s="765"/>
    </row>
    <row r="3" spans="1:10" customFormat="1" ht="14.25" customHeight="1" x14ac:dyDescent="0.15">
      <c r="A3" s="798" t="s">
        <v>529</v>
      </c>
      <c r="B3" s="798"/>
      <c r="C3" s="798"/>
      <c r="D3" s="798"/>
      <c r="E3" s="798"/>
      <c r="F3" s="798"/>
      <c r="G3" s="798"/>
      <c r="H3" s="765"/>
      <c r="I3" s="765"/>
    </row>
    <row r="4" spans="1:10" customFormat="1" ht="30.75" customHeight="1" x14ac:dyDescent="0.15">
      <c r="A4" s="768" t="s">
        <v>526</v>
      </c>
      <c r="B4" s="768"/>
      <c r="C4" s="768"/>
      <c r="D4" s="768"/>
      <c r="E4" s="768"/>
      <c r="F4" s="768"/>
      <c r="G4" s="768"/>
      <c r="H4" s="765"/>
      <c r="I4" s="765"/>
    </row>
    <row r="5" spans="1:10" customFormat="1" ht="16" x14ac:dyDescent="0.2">
      <c r="A5" s="1183" t="s">
        <v>365</v>
      </c>
      <c r="B5" s="1183"/>
      <c r="C5" s="1183"/>
      <c r="D5" s="1183"/>
      <c r="E5" s="1183"/>
      <c r="F5" s="1183"/>
      <c r="G5" s="1183"/>
      <c r="H5" s="1183"/>
      <c r="I5" s="1183"/>
      <c r="J5" s="85"/>
    </row>
    <row r="6" spans="1:10" x14ac:dyDescent="0.15">
      <c r="A6" s="1022"/>
      <c r="B6" s="1022"/>
      <c r="C6" s="1022"/>
      <c r="D6" s="1022"/>
      <c r="E6" s="1022"/>
      <c r="F6" s="1022"/>
      <c r="G6" s="1022"/>
      <c r="H6" s="1022"/>
      <c r="I6" s="1022"/>
      <c r="J6" s="269"/>
    </row>
    <row r="7" spans="1:10" x14ac:dyDescent="0.15">
      <c r="A7" s="271" t="s">
        <v>185</v>
      </c>
      <c r="B7" s="1195" t="s">
        <v>350</v>
      </c>
      <c r="C7" s="1195"/>
      <c r="D7" s="1195"/>
      <c r="E7" s="1195"/>
      <c r="F7" s="1195"/>
      <c r="G7" s="1195"/>
      <c r="H7" s="1195"/>
      <c r="I7" s="1195"/>
      <c r="J7" s="269"/>
    </row>
    <row r="8" spans="1:10" x14ac:dyDescent="0.15">
      <c r="A8" s="1194" t="s">
        <v>351</v>
      </c>
      <c r="B8" s="286" t="s">
        <v>352</v>
      </c>
      <c r="C8" s="286" t="s">
        <v>185</v>
      </c>
      <c r="D8" s="286" t="s">
        <v>247</v>
      </c>
      <c r="E8" s="286" t="s">
        <v>270</v>
      </c>
      <c r="F8" s="286" t="s">
        <v>271</v>
      </c>
      <c r="G8" s="286" t="s">
        <v>353</v>
      </c>
      <c r="H8" s="286" t="s">
        <v>354</v>
      </c>
      <c r="I8" s="286" t="s">
        <v>355</v>
      </c>
      <c r="J8" s="269"/>
    </row>
    <row r="9" spans="1:10" x14ac:dyDescent="0.15">
      <c r="A9" s="1194"/>
      <c r="B9" s="1196" t="s">
        <v>350</v>
      </c>
      <c r="C9" s="1196" t="s">
        <v>356</v>
      </c>
      <c r="D9" s="1196" t="s">
        <v>357</v>
      </c>
      <c r="E9" s="1196" t="s">
        <v>358</v>
      </c>
      <c r="F9" s="1196" t="s">
        <v>359</v>
      </c>
      <c r="G9" s="1196" t="s">
        <v>360</v>
      </c>
      <c r="H9" s="1196" t="s">
        <v>361</v>
      </c>
      <c r="I9" s="1196" t="s">
        <v>362</v>
      </c>
      <c r="J9" s="269"/>
    </row>
    <row r="10" spans="1:10" ht="22.5" customHeight="1" x14ac:dyDescent="0.15">
      <c r="A10" s="1194"/>
      <c r="B10" s="1196"/>
      <c r="C10" s="1196"/>
      <c r="D10" s="1196"/>
      <c r="E10" s="1196"/>
      <c r="F10" s="1196"/>
      <c r="G10" s="1196"/>
      <c r="H10" s="1196"/>
      <c r="I10" s="1196"/>
      <c r="J10" s="269"/>
    </row>
    <row r="11" spans="1:10" ht="13" x14ac:dyDescent="0.15">
      <c r="A11" s="272">
        <v>1</v>
      </c>
      <c r="B11" s="273" t="s">
        <v>364</v>
      </c>
      <c r="C11" s="274">
        <f>1050505*1.5</f>
        <v>1575757.5</v>
      </c>
      <c r="D11" s="274">
        <f t="shared" ref="D11" si="0">C11*A11</f>
        <v>1575757.5</v>
      </c>
      <c r="E11" s="272">
        <v>50</v>
      </c>
      <c r="F11" s="272">
        <v>1.75</v>
      </c>
      <c r="G11" s="274">
        <f t="shared" ref="G11" si="1">+D11*E11*F11/100</f>
        <v>1378787.8125</v>
      </c>
      <c r="H11" s="272">
        <v>1</v>
      </c>
      <c r="I11" s="274">
        <f t="shared" ref="I11" si="2">+G11*H11</f>
        <v>1378787.8125</v>
      </c>
      <c r="J11" s="269"/>
    </row>
    <row r="12" spans="1:10" x14ac:dyDescent="0.15">
      <c r="A12" s="1022"/>
      <c r="B12" s="1022"/>
      <c r="C12" s="1022"/>
      <c r="D12" s="1022"/>
      <c r="E12" s="1022"/>
      <c r="F12" s="1022"/>
      <c r="G12" s="1022"/>
      <c r="H12" s="1022"/>
      <c r="I12" s="1022"/>
      <c r="J12" s="269"/>
    </row>
    <row r="13" spans="1:10" x14ac:dyDescent="0.15">
      <c r="A13" s="272"/>
      <c r="B13" s="1193" t="s">
        <v>363</v>
      </c>
      <c r="C13" s="1193"/>
      <c r="D13" s="1193"/>
      <c r="E13" s="1193"/>
      <c r="F13" s="1193"/>
      <c r="G13" s="1193"/>
      <c r="H13" s="1193"/>
      <c r="I13" s="275">
        <f>SUM(I11:I11)</f>
        <v>1378787.8125</v>
      </c>
      <c r="J13" s="269"/>
    </row>
    <row r="14" spans="1:10" x14ac:dyDescent="0.15">
      <c r="A14" s="1022"/>
      <c r="B14" s="1022"/>
      <c r="C14" s="1022"/>
      <c r="D14" s="1022"/>
      <c r="E14" s="1022"/>
      <c r="F14" s="1022"/>
      <c r="G14" s="1022"/>
      <c r="H14" s="1022"/>
      <c r="I14" s="1022"/>
      <c r="J14" s="269"/>
    </row>
    <row r="15" spans="1:10" x14ac:dyDescent="0.15">
      <c r="B15" s="277"/>
      <c r="C15" s="277"/>
      <c r="D15" s="277"/>
      <c r="E15" s="277"/>
      <c r="F15" s="277"/>
      <c r="G15" s="277"/>
      <c r="H15" s="277"/>
      <c r="I15" s="277"/>
      <c r="J15" s="269"/>
    </row>
    <row r="16" spans="1:10" x14ac:dyDescent="0.15">
      <c r="B16" s="277"/>
      <c r="C16" s="277"/>
      <c r="D16" s="277"/>
      <c r="E16" s="277"/>
      <c r="F16" s="277"/>
      <c r="G16" s="278"/>
      <c r="H16" s="277"/>
      <c r="I16" s="277"/>
      <c r="J16" s="269"/>
    </row>
    <row r="17" spans="1:10" x14ac:dyDescent="0.15">
      <c r="B17" s="277"/>
      <c r="C17" s="277"/>
      <c r="D17" s="277"/>
      <c r="E17" s="277"/>
      <c r="F17" s="277"/>
      <c r="G17" s="277"/>
      <c r="H17" s="277"/>
      <c r="I17" s="279"/>
      <c r="J17" s="269"/>
    </row>
    <row r="18" spans="1:10" x14ac:dyDescent="0.15">
      <c r="B18" s="277"/>
      <c r="C18" s="277"/>
      <c r="D18" s="277"/>
      <c r="E18" s="277"/>
      <c r="F18" s="277"/>
      <c r="G18" s="277"/>
      <c r="H18" s="277"/>
      <c r="I18" s="280"/>
      <c r="J18" s="269"/>
    </row>
    <row r="19" spans="1:10" x14ac:dyDescent="0.15">
      <c r="B19" s="277"/>
      <c r="C19" s="277"/>
      <c r="D19" s="277"/>
      <c r="E19" s="277"/>
      <c r="F19" s="277"/>
      <c r="G19" s="277"/>
      <c r="H19" s="277"/>
      <c r="I19" s="277"/>
      <c r="J19" s="269"/>
    </row>
    <row r="20" spans="1:10" x14ac:dyDescent="0.15">
      <c r="B20" s="277"/>
      <c r="C20" s="277"/>
      <c r="D20" s="277"/>
      <c r="E20" s="277"/>
      <c r="F20" s="277"/>
      <c r="G20" s="277"/>
      <c r="H20" s="277"/>
      <c r="I20" s="281"/>
      <c r="J20" s="269"/>
    </row>
    <row r="21" spans="1:10" x14ac:dyDescent="0.15">
      <c r="B21" s="277"/>
      <c r="C21" s="277"/>
      <c r="D21" s="277"/>
      <c r="E21" s="277"/>
      <c r="F21" s="277"/>
      <c r="G21" s="277"/>
      <c r="H21" s="277"/>
      <c r="I21" s="282"/>
      <c r="J21" s="269"/>
    </row>
    <row r="22" spans="1:10" x14ac:dyDescent="0.15">
      <c r="B22" s="277"/>
      <c r="C22" s="277"/>
      <c r="D22" s="277"/>
      <c r="E22" s="277"/>
      <c r="F22" s="277"/>
      <c r="G22" s="277"/>
      <c r="H22" s="277"/>
      <c r="I22" s="280"/>
      <c r="J22" s="269"/>
    </row>
    <row r="23" spans="1:10" ht="14" x14ac:dyDescent="0.15">
      <c r="B23" s="102" t="s">
        <v>530</v>
      </c>
      <c r="C23" s="277"/>
      <c r="D23" s="277"/>
      <c r="E23" s="277"/>
      <c r="F23" s="277"/>
      <c r="G23" s="277"/>
      <c r="H23" s="277"/>
      <c r="I23" s="281"/>
      <c r="J23" s="269"/>
    </row>
    <row r="24" spans="1:10" customFormat="1" ht="16" x14ac:dyDescent="0.2">
      <c r="A24" s="82"/>
      <c r="B24" s="83" t="s">
        <v>531</v>
      </c>
      <c r="C24" s="283"/>
      <c r="D24" s="283"/>
      <c r="E24" s="283"/>
      <c r="F24" s="83"/>
      <c r="G24" s="284"/>
      <c r="H24" s="83"/>
      <c r="I24" s="106"/>
      <c r="J24" s="85"/>
    </row>
    <row r="25" spans="1:10" customFormat="1" ht="14" x14ac:dyDescent="0.15">
      <c r="A25" s="82"/>
      <c r="B25" s="83"/>
      <c r="C25" s="102"/>
      <c r="D25" s="102"/>
      <c r="E25" s="102"/>
      <c r="F25" s="83"/>
      <c r="G25" s="83"/>
      <c r="H25" s="83"/>
      <c r="I25" s="85"/>
      <c r="J25" s="85"/>
    </row>
    <row r="26" spans="1:10" x14ac:dyDescent="0.15">
      <c r="C26" s="277"/>
      <c r="D26" s="277"/>
      <c r="E26" s="277"/>
      <c r="F26" s="277"/>
      <c r="G26" s="277"/>
      <c r="H26" s="277"/>
      <c r="I26" s="278"/>
      <c r="J26" s="269"/>
    </row>
    <row r="27" spans="1:10" customFormat="1" ht="16" x14ac:dyDescent="0.2">
      <c r="A27" s="82"/>
      <c r="B27" s="283"/>
      <c r="C27" s="283"/>
      <c r="D27" s="283"/>
      <c r="E27" s="283"/>
      <c r="F27" s="83"/>
      <c r="G27" s="284"/>
      <c r="H27" s="83"/>
      <c r="I27" s="106"/>
      <c r="J27" s="85"/>
    </row>
    <row r="28" spans="1:10" customFormat="1" ht="14" x14ac:dyDescent="0.15">
      <c r="A28" s="82"/>
      <c r="B28" s="102"/>
      <c r="C28" s="102"/>
      <c r="D28" s="102"/>
      <c r="E28" s="102"/>
      <c r="F28" s="83"/>
      <c r="G28" s="83"/>
      <c r="H28" s="83"/>
      <c r="I28" s="85"/>
      <c r="J28" s="85"/>
    </row>
    <row r="29" spans="1:10" x14ac:dyDescent="0.15">
      <c r="B29" s="277"/>
      <c r="C29" s="277"/>
      <c r="D29" s="277"/>
      <c r="E29" s="277"/>
      <c r="F29" s="277"/>
      <c r="G29" s="277"/>
      <c r="H29" s="277"/>
      <c r="I29" s="277"/>
      <c r="J29" s="269"/>
    </row>
    <row r="30" spans="1:10" x14ac:dyDescent="0.15">
      <c r="B30" s="277"/>
      <c r="C30" s="277"/>
      <c r="D30" s="277"/>
      <c r="E30" s="277"/>
      <c r="F30" s="277"/>
      <c r="G30" s="277"/>
      <c r="H30" s="277"/>
      <c r="I30" s="277"/>
      <c r="J30" s="269"/>
    </row>
    <row r="31" spans="1:10" x14ac:dyDescent="0.15">
      <c r="B31" s="277"/>
      <c r="C31" s="277"/>
      <c r="D31" s="277"/>
      <c r="E31" s="277"/>
      <c r="F31" s="277"/>
      <c r="G31" s="277"/>
      <c r="H31" s="277"/>
      <c r="I31" s="277"/>
      <c r="J31" s="269"/>
    </row>
    <row r="32" spans="1:10" x14ac:dyDescent="0.15">
      <c r="B32" s="277"/>
      <c r="C32" s="285"/>
      <c r="D32" s="285"/>
      <c r="E32" s="277"/>
      <c r="F32" s="277"/>
      <c r="G32" s="277"/>
      <c r="H32" s="277"/>
      <c r="I32" s="277"/>
      <c r="J32" s="269"/>
    </row>
  </sheetData>
  <mergeCells count="20">
    <mergeCell ref="A1:G1"/>
    <mergeCell ref="A2:G2"/>
    <mergeCell ref="A3:G3"/>
    <mergeCell ref="A4:G4"/>
    <mergeCell ref="H1:I4"/>
    <mergeCell ref="A6:I6"/>
    <mergeCell ref="A5:I5"/>
    <mergeCell ref="A12:I12"/>
    <mergeCell ref="B13:H13"/>
    <mergeCell ref="A14:I14"/>
    <mergeCell ref="A8:A10"/>
    <mergeCell ref="B7:I7"/>
    <mergeCell ref="B9:B10"/>
    <mergeCell ref="C9:C10"/>
    <mergeCell ref="D9:D10"/>
    <mergeCell ref="E9:E10"/>
    <mergeCell ref="F9:F10"/>
    <mergeCell ref="G9:G10"/>
    <mergeCell ref="H9:H10"/>
    <mergeCell ref="I9:I10"/>
  </mergeCells>
  <pageMargins left="0.7" right="0.7" top="0.75" bottom="0.75" header="0.3" footer="0.3"/>
  <pageSetup scale="76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FFFF00"/>
  </sheetPr>
  <dimension ref="A1:Q46"/>
  <sheetViews>
    <sheetView view="pageBreakPreview" zoomScale="115" zoomScaleNormal="100" zoomScaleSheetLayoutView="115" workbookViewId="0">
      <selection sqref="A1:XFD4"/>
    </sheetView>
  </sheetViews>
  <sheetFormatPr baseColWidth="10" defaultColWidth="10.83203125" defaultRowHeight="14" x14ac:dyDescent="0.15"/>
  <cols>
    <col min="1" max="1" width="5.1640625" style="287" customWidth="1"/>
    <col min="2" max="2" width="50.83203125" style="287" customWidth="1"/>
    <col min="3" max="3" width="11.33203125" style="298" customWidth="1"/>
    <col min="4" max="4" width="11" style="290" customWidth="1"/>
    <col min="5" max="5" width="16.83203125" style="290" customWidth="1"/>
    <col min="6" max="6" width="20.5" style="290" customWidth="1"/>
    <col min="7" max="7" width="42" style="290" customWidth="1"/>
    <col min="8" max="16384" width="10.83203125" style="287"/>
  </cols>
  <sheetData>
    <row r="1" spans="1:7" customFormat="1" ht="21" customHeight="1" x14ac:dyDescent="0.15">
      <c r="A1" s="761" t="s">
        <v>527</v>
      </c>
      <c r="B1" s="762"/>
      <c r="C1" s="762"/>
      <c r="D1" s="762"/>
      <c r="E1" s="762"/>
      <c r="F1" s="762"/>
      <c r="G1" s="763"/>
    </row>
    <row r="2" spans="1:7" customFormat="1" ht="14.25" customHeight="1" x14ac:dyDescent="0.15">
      <c r="A2" s="1091" t="s">
        <v>528</v>
      </c>
      <c r="B2" s="798"/>
      <c r="C2" s="798"/>
      <c r="D2" s="798"/>
      <c r="E2" s="798"/>
      <c r="F2" s="798"/>
      <c r="G2" s="766"/>
    </row>
    <row r="3" spans="1:7" customFormat="1" ht="14.25" customHeight="1" x14ac:dyDescent="0.15">
      <c r="A3" s="1091" t="s">
        <v>529</v>
      </c>
      <c r="B3" s="798"/>
      <c r="C3" s="798"/>
      <c r="D3" s="798"/>
      <c r="E3" s="798"/>
      <c r="F3" s="798"/>
      <c r="G3" s="766"/>
    </row>
    <row r="4" spans="1:7" customFormat="1" ht="36" customHeight="1" x14ac:dyDescent="0.15">
      <c r="A4" s="767" t="s">
        <v>526</v>
      </c>
      <c r="B4" s="768"/>
      <c r="C4" s="768"/>
      <c r="D4" s="768"/>
      <c r="E4" s="768"/>
      <c r="F4" s="768"/>
      <c r="G4" s="766"/>
    </row>
    <row r="5" spans="1:7" ht="14.25" customHeight="1" x14ac:dyDescent="0.15">
      <c r="A5" s="1200"/>
      <c r="B5" s="1201"/>
      <c r="C5" s="1201"/>
      <c r="D5" s="1201"/>
      <c r="E5" s="1201"/>
      <c r="F5" s="1201"/>
      <c r="G5" s="1202"/>
    </row>
    <row r="6" spans="1:7" ht="18" x14ac:dyDescent="0.15">
      <c r="A6" s="1211" t="s">
        <v>366</v>
      </c>
      <c r="B6" s="1212"/>
      <c r="C6" s="1212"/>
      <c r="D6" s="1212"/>
      <c r="E6" s="1212"/>
      <c r="F6" s="1212"/>
      <c r="G6" s="1213"/>
    </row>
    <row r="7" spans="1:7" ht="13" x14ac:dyDescent="0.15">
      <c r="A7" s="408"/>
      <c r="B7" s="402"/>
      <c r="C7" s="402"/>
      <c r="D7" s="403"/>
      <c r="E7" s="403"/>
      <c r="F7" s="403"/>
      <c r="G7" s="409"/>
    </row>
    <row r="8" spans="1:7" ht="18" x14ac:dyDescent="0.15">
      <c r="A8" s="1211" t="s">
        <v>367</v>
      </c>
      <c r="B8" s="1212"/>
      <c r="C8" s="1212"/>
      <c r="D8" s="1212"/>
      <c r="E8" s="1212"/>
      <c r="F8" s="1212"/>
      <c r="G8" s="1213"/>
    </row>
    <row r="9" spans="1:7" s="290" customFormat="1" ht="13" x14ac:dyDescent="0.15">
      <c r="A9" s="1208" t="s">
        <v>0</v>
      </c>
      <c r="B9" s="1209" t="s">
        <v>371</v>
      </c>
      <c r="C9" s="1209" t="s">
        <v>73</v>
      </c>
      <c r="D9" s="1210" t="s">
        <v>153</v>
      </c>
      <c r="E9" s="1209" t="s">
        <v>372</v>
      </c>
      <c r="F9" s="1210" t="s">
        <v>373</v>
      </c>
      <c r="G9" s="1203" t="s">
        <v>374</v>
      </c>
    </row>
    <row r="10" spans="1:7" s="290" customFormat="1" ht="13" x14ac:dyDescent="0.15">
      <c r="A10" s="1208"/>
      <c r="B10" s="1209"/>
      <c r="C10" s="1209"/>
      <c r="D10" s="1210"/>
      <c r="E10" s="1209"/>
      <c r="F10" s="1210"/>
      <c r="G10" s="1203"/>
    </row>
    <row r="11" spans="1:7" ht="15" x14ac:dyDescent="0.15">
      <c r="A11" s="309">
        <v>1</v>
      </c>
      <c r="B11" s="301" t="s">
        <v>368</v>
      </c>
      <c r="C11" s="300" t="s">
        <v>346</v>
      </c>
      <c r="D11" s="304">
        <v>6</v>
      </c>
      <c r="E11" s="302">
        <f>'PROFESIONAL SISO'!I13</f>
        <v>1378787.8125</v>
      </c>
      <c r="F11" s="302">
        <f>E11*D11</f>
        <v>8272726.875</v>
      </c>
      <c r="G11" s="310" t="s">
        <v>416</v>
      </c>
    </row>
    <row r="12" spans="1:7" x14ac:dyDescent="0.15">
      <c r="A12" s="309"/>
      <c r="B12" s="301"/>
      <c r="C12" s="1205" t="s">
        <v>369</v>
      </c>
      <c r="D12" s="1205"/>
      <c r="E12" s="1205"/>
      <c r="F12" s="308">
        <f>F11</f>
        <v>8272726.875</v>
      </c>
      <c r="G12" s="410"/>
    </row>
    <row r="13" spans="1:7" x14ac:dyDescent="0.15">
      <c r="A13" s="309"/>
      <c r="B13" s="300"/>
      <c r="C13" s="300"/>
      <c r="D13" s="300"/>
      <c r="E13" s="405"/>
      <c r="F13" s="406"/>
      <c r="G13" s="411"/>
    </row>
    <row r="14" spans="1:7" s="289" customFormat="1" ht="18" x14ac:dyDescent="0.15">
      <c r="A14" s="1206" t="s">
        <v>370</v>
      </c>
      <c r="B14" s="1207"/>
      <c r="C14" s="1207"/>
      <c r="D14" s="1207"/>
      <c r="E14" s="1207"/>
      <c r="F14" s="1207"/>
      <c r="G14" s="1214"/>
    </row>
    <row r="15" spans="1:7" s="290" customFormat="1" ht="13" x14ac:dyDescent="0.15">
      <c r="A15" s="1208" t="s">
        <v>0</v>
      </c>
      <c r="B15" s="1209" t="s">
        <v>371</v>
      </c>
      <c r="C15" s="1209" t="s">
        <v>73</v>
      </c>
      <c r="D15" s="1210" t="s">
        <v>153</v>
      </c>
      <c r="E15" s="1209" t="s">
        <v>372</v>
      </c>
      <c r="F15" s="1210" t="s">
        <v>373</v>
      </c>
      <c r="G15" s="1203" t="s">
        <v>374</v>
      </c>
    </row>
    <row r="16" spans="1:7" s="290" customFormat="1" ht="13" x14ac:dyDescent="0.15">
      <c r="A16" s="1208"/>
      <c r="B16" s="1209"/>
      <c r="C16" s="1209"/>
      <c r="D16" s="1210"/>
      <c r="E16" s="1209"/>
      <c r="F16" s="1210"/>
      <c r="G16" s="1203"/>
    </row>
    <row r="17" spans="1:17" s="291" customFormat="1" ht="18.75" customHeight="1" x14ac:dyDescent="0.15">
      <c r="A17" s="309">
        <v>1</v>
      </c>
      <c r="B17" s="303" t="s">
        <v>375</v>
      </c>
      <c r="C17" s="300" t="s">
        <v>376</v>
      </c>
      <c r="D17" s="304">
        <v>1</v>
      </c>
      <c r="E17" s="302">
        <v>850000</v>
      </c>
      <c r="F17" s="302">
        <f>+D17*E17</f>
        <v>850000</v>
      </c>
      <c r="G17" s="311" t="s">
        <v>377</v>
      </c>
    </row>
    <row r="18" spans="1:17" s="291" customFormat="1" ht="15" x14ac:dyDescent="0.15">
      <c r="A18" s="309">
        <v>2</v>
      </c>
      <c r="B18" s="303" t="s">
        <v>378</v>
      </c>
      <c r="C18" s="300" t="s">
        <v>379</v>
      </c>
      <c r="D18" s="304">
        <v>30</v>
      </c>
      <c r="E18" s="302">
        <v>7500</v>
      </c>
      <c r="F18" s="302">
        <f t="shared" ref="F18:F34" si="0">+D18*E18</f>
        <v>225000</v>
      </c>
      <c r="G18" s="312" t="s">
        <v>380</v>
      </c>
    </row>
    <row r="19" spans="1:17" s="292" customFormat="1" ht="15" x14ac:dyDescent="0.15">
      <c r="A19" s="309">
        <v>3</v>
      </c>
      <c r="B19" s="303" t="s">
        <v>381</v>
      </c>
      <c r="C19" s="300" t="s">
        <v>382</v>
      </c>
      <c r="D19" s="304">
        <v>30</v>
      </c>
      <c r="E19" s="302">
        <v>12000</v>
      </c>
      <c r="F19" s="302">
        <f t="shared" si="0"/>
        <v>360000</v>
      </c>
      <c r="G19" s="312" t="s">
        <v>380</v>
      </c>
    </row>
    <row r="20" spans="1:17" s="292" customFormat="1" ht="15" x14ac:dyDescent="0.15">
      <c r="A20" s="309">
        <v>4</v>
      </c>
      <c r="B20" s="305" t="s">
        <v>383</v>
      </c>
      <c r="C20" s="300" t="s">
        <v>384</v>
      </c>
      <c r="D20" s="304">
        <v>10</v>
      </c>
      <c r="E20" s="302">
        <v>35000</v>
      </c>
      <c r="F20" s="302">
        <f t="shared" si="0"/>
        <v>350000</v>
      </c>
      <c r="G20" s="312" t="s">
        <v>380</v>
      </c>
    </row>
    <row r="21" spans="1:17" s="292" customFormat="1" ht="28" x14ac:dyDescent="0.15">
      <c r="A21" s="309">
        <v>5</v>
      </c>
      <c r="B21" s="305" t="s">
        <v>385</v>
      </c>
      <c r="C21" s="300" t="s">
        <v>382</v>
      </c>
      <c r="D21" s="304">
        <v>120</v>
      </c>
      <c r="E21" s="302">
        <v>2500</v>
      </c>
      <c r="F21" s="302">
        <f t="shared" si="0"/>
        <v>300000</v>
      </c>
      <c r="G21" s="311" t="s">
        <v>386</v>
      </c>
      <c r="K21" s="1204"/>
      <c r="L21" s="1204"/>
      <c r="M21" s="1204"/>
      <c r="N21" s="1204"/>
      <c r="O21" s="1204"/>
      <c r="P21" s="1204"/>
      <c r="Q21" s="1204"/>
    </row>
    <row r="22" spans="1:17" s="292" customFormat="1" ht="15" x14ac:dyDescent="0.15">
      <c r="A22" s="309">
        <v>6</v>
      </c>
      <c r="B22" s="305" t="s">
        <v>387</v>
      </c>
      <c r="C22" s="300" t="s">
        <v>379</v>
      </c>
      <c r="D22" s="304">
        <v>30</v>
      </c>
      <c r="E22" s="302">
        <v>7200</v>
      </c>
      <c r="F22" s="302">
        <f t="shared" si="0"/>
        <v>216000</v>
      </c>
      <c r="G22" s="311" t="str">
        <f>+G19</f>
        <v>PARA TODO EL PERSONAL</v>
      </c>
      <c r="K22" s="1204"/>
      <c r="L22" s="1204"/>
      <c r="M22" s="1204"/>
      <c r="N22" s="1204"/>
      <c r="O22" s="1204"/>
      <c r="P22" s="1204"/>
      <c r="Q22" s="1204"/>
    </row>
    <row r="23" spans="1:17" s="292" customFormat="1" ht="15" x14ac:dyDescent="0.15">
      <c r="A23" s="309">
        <v>7</v>
      </c>
      <c r="B23" s="305" t="s">
        <v>388</v>
      </c>
      <c r="C23" s="300" t="s">
        <v>319</v>
      </c>
      <c r="D23" s="304">
        <v>15</v>
      </c>
      <c r="E23" s="302">
        <v>28000</v>
      </c>
      <c r="F23" s="302">
        <f t="shared" si="0"/>
        <v>420000</v>
      </c>
      <c r="G23" s="311" t="s">
        <v>389</v>
      </c>
      <c r="K23" s="1204"/>
      <c r="L23" s="1204"/>
      <c r="M23" s="1204"/>
      <c r="N23" s="1204"/>
      <c r="O23" s="1204"/>
      <c r="P23" s="1204"/>
      <c r="Q23" s="1204"/>
    </row>
    <row r="24" spans="1:17" s="292" customFormat="1" ht="42" x14ac:dyDescent="0.15">
      <c r="A24" s="309">
        <v>8</v>
      </c>
      <c r="B24" s="305" t="s">
        <v>390</v>
      </c>
      <c r="C24" s="300" t="s">
        <v>391</v>
      </c>
      <c r="D24" s="304">
        <v>6</v>
      </c>
      <c r="E24" s="302">
        <v>14000</v>
      </c>
      <c r="F24" s="302">
        <f t="shared" si="0"/>
        <v>84000</v>
      </c>
      <c r="G24" s="311" t="s">
        <v>392</v>
      </c>
      <c r="K24" s="1204"/>
      <c r="L24" s="1204"/>
      <c r="M24" s="1204"/>
      <c r="N24" s="1204"/>
      <c r="O24" s="1204"/>
      <c r="P24" s="1204"/>
      <c r="Q24" s="1204"/>
    </row>
    <row r="25" spans="1:17" s="292" customFormat="1" ht="30" x14ac:dyDescent="0.15">
      <c r="A25" s="309">
        <v>9</v>
      </c>
      <c r="B25" s="306" t="s">
        <v>393</v>
      </c>
      <c r="C25" s="307" t="s">
        <v>394</v>
      </c>
      <c r="D25" s="304">
        <v>4</v>
      </c>
      <c r="E25" s="302">
        <v>100000</v>
      </c>
      <c r="F25" s="302">
        <f t="shared" si="0"/>
        <v>400000</v>
      </c>
      <c r="G25" s="311" t="s">
        <v>395</v>
      </c>
      <c r="K25" s="1204"/>
      <c r="L25" s="1204"/>
      <c r="M25" s="1204"/>
      <c r="N25" s="1204"/>
      <c r="O25" s="1204"/>
      <c r="P25" s="1204"/>
      <c r="Q25" s="1204"/>
    </row>
    <row r="26" spans="1:17" s="288" customFormat="1" ht="15" x14ac:dyDescent="0.15">
      <c r="A26" s="309">
        <v>10</v>
      </c>
      <c r="B26" s="305" t="s">
        <v>396</v>
      </c>
      <c r="C26" s="300" t="s">
        <v>391</v>
      </c>
      <c r="D26" s="304">
        <v>10</v>
      </c>
      <c r="E26" s="302">
        <v>18000</v>
      </c>
      <c r="F26" s="302">
        <f t="shared" si="0"/>
        <v>180000</v>
      </c>
      <c r="G26" s="313" t="str">
        <f>+G20</f>
        <v>PARA TODO EL PERSONAL</v>
      </c>
      <c r="K26" s="1204"/>
      <c r="L26" s="1204"/>
      <c r="M26" s="1204"/>
      <c r="N26" s="1204"/>
      <c r="O26" s="1204"/>
      <c r="P26" s="1204"/>
      <c r="Q26" s="1204"/>
    </row>
    <row r="27" spans="1:17" s="288" customFormat="1" ht="15" x14ac:dyDescent="0.15">
      <c r="A27" s="309">
        <v>11</v>
      </c>
      <c r="B27" s="305" t="s">
        <v>397</v>
      </c>
      <c r="C27" s="300" t="s">
        <v>382</v>
      </c>
      <c r="D27" s="304">
        <v>15</v>
      </c>
      <c r="E27" s="302">
        <v>4000</v>
      </c>
      <c r="F27" s="302">
        <f t="shared" si="0"/>
        <v>60000</v>
      </c>
      <c r="G27" s="313" t="s">
        <v>398</v>
      </c>
      <c r="K27" s="1204"/>
      <c r="L27" s="1204"/>
      <c r="M27" s="1204"/>
      <c r="N27" s="1204"/>
      <c r="O27" s="1204"/>
      <c r="P27" s="1204"/>
      <c r="Q27" s="1204"/>
    </row>
    <row r="28" spans="1:17" s="288" customFormat="1" ht="30" x14ac:dyDescent="0.15">
      <c r="A28" s="309">
        <v>12</v>
      </c>
      <c r="B28" s="305" t="s">
        <v>399</v>
      </c>
      <c r="C28" s="300" t="s">
        <v>400</v>
      </c>
      <c r="D28" s="304">
        <v>50</v>
      </c>
      <c r="E28" s="302">
        <v>7500</v>
      </c>
      <c r="F28" s="302">
        <f t="shared" si="0"/>
        <v>375000</v>
      </c>
      <c r="G28" s="313" t="s">
        <v>401</v>
      </c>
      <c r="K28" s="1204"/>
      <c r="L28" s="1204"/>
      <c r="M28" s="1204"/>
      <c r="N28" s="1204"/>
      <c r="O28" s="1204"/>
      <c r="P28" s="1204"/>
      <c r="Q28" s="1204"/>
    </row>
    <row r="29" spans="1:17" s="288" customFormat="1" ht="15" x14ac:dyDescent="0.15">
      <c r="A29" s="309">
        <v>13</v>
      </c>
      <c r="B29" s="305" t="s">
        <v>402</v>
      </c>
      <c r="C29" s="300" t="s">
        <v>382</v>
      </c>
      <c r="D29" s="304">
        <v>1</v>
      </c>
      <c r="E29" s="302">
        <v>200000</v>
      </c>
      <c r="F29" s="302">
        <f t="shared" si="0"/>
        <v>200000</v>
      </c>
      <c r="G29" s="313" t="s">
        <v>380</v>
      </c>
      <c r="I29" s="293"/>
    </row>
    <row r="30" spans="1:17" s="288" customFormat="1" ht="45" x14ac:dyDescent="0.15">
      <c r="A30" s="309">
        <v>14</v>
      </c>
      <c r="B30" s="305" t="s">
        <v>403</v>
      </c>
      <c r="C30" s="307" t="s">
        <v>404</v>
      </c>
      <c r="D30" s="304">
        <v>30</v>
      </c>
      <c r="E30" s="302">
        <v>7500</v>
      </c>
      <c r="F30" s="302">
        <f t="shared" si="0"/>
        <v>225000</v>
      </c>
      <c r="G30" s="313" t="s">
        <v>405</v>
      </c>
      <c r="I30" s="294"/>
    </row>
    <row r="31" spans="1:17" s="288" customFormat="1" ht="15" x14ac:dyDescent="0.15">
      <c r="A31" s="309">
        <v>15</v>
      </c>
      <c r="B31" s="305" t="s">
        <v>406</v>
      </c>
      <c r="C31" s="300" t="s">
        <v>400</v>
      </c>
      <c r="D31" s="304">
        <v>15</v>
      </c>
      <c r="E31" s="302">
        <v>9790</v>
      </c>
      <c r="F31" s="302">
        <f t="shared" si="0"/>
        <v>146850</v>
      </c>
      <c r="G31" s="313" t="s">
        <v>407</v>
      </c>
    </row>
    <row r="32" spans="1:17" s="288" customFormat="1" ht="15" x14ac:dyDescent="0.15">
      <c r="A32" s="309">
        <v>16</v>
      </c>
      <c r="B32" s="305" t="s">
        <v>408</v>
      </c>
      <c r="C32" s="300" t="s">
        <v>376</v>
      </c>
      <c r="D32" s="304">
        <v>1</v>
      </c>
      <c r="E32" s="302">
        <v>300000</v>
      </c>
      <c r="F32" s="302">
        <f t="shared" si="0"/>
        <v>300000</v>
      </c>
      <c r="G32" s="313" t="s">
        <v>409</v>
      </c>
    </row>
    <row r="33" spans="1:7" s="288" customFormat="1" ht="28" x14ac:dyDescent="0.15">
      <c r="A33" s="309">
        <v>17</v>
      </c>
      <c r="B33" s="305" t="s">
        <v>410</v>
      </c>
      <c r="C33" s="300" t="s">
        <v>376</v>
      </c>
      <c r="D33" s="304">
        <v>1</v>
      </c>
      <c r="E33" s="302">
        <v>230000</v>
      </c>
      <c r="F33" s="302">
        <f t="shared" si="0"/>
        <v>230000</v>
      </c>
      <c r="G33" s="313" t="s">
        <v>411</v>
      </c>
    </row>
    <row r="34" spans="1:7" s="288" customFormat="1" ht="28" x14ac:dyDescent="0.15">
      <c r="A34" s="309">
        <v>18</v>
      </c>
      <c r="B34" s="305" t="s">
        <v>412</v>
      </c>
      <c r="C34" s="300" t="s">
        <v>376</v>
      </c>
      <c r="D34" s="304">
        <v>2</v>
      </c>
      <c r="E34" s="302">
        <v>100000</v>
      </c>
      <c r="F34" s="302">
        <f t="shared" si="0"/>
        <v>200000</v>
      </c>
      <c r="G34" s="313" t="s">
        <v>413</v>
      </c>
    </row>
    <row r="35" spans="1:7" x14ac:dyDescent="0.15">
      <c r="A35" s="309"/>
      <c r="B35" s="301"/>
      <c r="C35" s="1205" t="s">
        <v>414</v>
      </c>
      <c r="D35" s="1205"/>
      <c r="E35" s="1205"/>
      <c r="F35" s="308">
        <f>SUM(F17:F34)</f>
        <v>5121850</v>
      </c>
      <c r="G35" s="410"/>
    </row>
    <row r="36" spans="1:7" x14ac:dyDescent="0.15">
      <c r="A36" s="412"/>
      <c r="B36" s="407"/>
      <c r="C36" s="306"/>
      <c r="D36" s="404"/>
      <c r="E36" s="404"/>
      <c r="F36" s="404"/>
      <c r="G36" s="410"/>
    </row>
    <row r="37" spans="1:7" ht="18" x14ac:dyDescent="0.15">
      <c r="A37" s="1206" t="s">
        <v>415</v>
      </c>
      <c r="B37" s="1207"/>
      <c r="C37" s="1207"/>
      <c r="D37" s="1207"/>
      <c r="E37" s="1207"/>
      <c r="F37" s="1207"/>
      <c r="G37" s="314">
        <f>F35+F12</f>
        <v>13394576.875</v>
      </c>
    </row>
    <row r="38" spans="1:7" ht="14.25" customHeight="1" thickBot="1" x14ac:dyDescent="0.2">
      <c r="A38" s="1197"/>
      <c r="B38" s="1198"/>
      <c r="C38" s="1198"/>
      <c r="D38" s="1198"/>
      <c r="E38" s="1198"/>
      <c r="F38" s="1198"/>
      <c r="G38" s="1199"/>
    </row>
    <row r="41" spans="1:7" s="295" customFormat="1" ht="15" x14ac:dyDescent="0.2">
      <c r="G41" s="299"/>
    </row>
    <row r="42" spans="1:7" s="295" customFormat="1" ht="15" x14ac:dyDescent="0.2">
      <c r="G42" s="299"/>
    </row>
    <row r="43" spans="1:7" s="295" customFormat="1" ht="15" x14ac:dyDescent="0.2">
      <c r="B43" s="102" t="s">
        <v>530</v>
      </c>
      <c r="G43" s="299"/>
    </row>
    <row r="44" spans="1:7" s="295" customFormat="1" ht="15" x14ac:dyDescent="0.2">
      <c r="A44" s="296"/>
      <c r="B44" s="83" t="s">
        <v>531</v>
      </c>
      <c r="G44" s="299"/>
    </row>
    <row r="45" spans="1:7" s="295" customFormat="1" ht="15" x14ac:dyDescent="0.2">
      <c r="A45" s="297"/>
      <c r="G45" s="299"/>
    </row>
    <row r="46" spans="1:7" s="295" customFormat="1" ht="15" x14ac:dyDescent="0.2">
      <c r="A46" s="297"/>
      <c r="G46" s="299"/>
    </row>
  </sheetData>
  <mergeCells count="28">
    <mergeCell ref="G1:G4"/>
    <mergeCell ref="A1:F1"/>
    <mergeCell ref="A2:F2"/>
    <mergeCell ref="A3:F3"/>
    <mergeCell ref="A4:F4"/>
    <mergeCell ref="E15:E16"/>
    <mergeCell ref="F15:F16"/>
    <mergeCell ref="A6:G6"/>
    <mergeCell ref="A8:G8"/>
    <mergeCell ref="A14:G14"/>
    <mergeCell ref="F9:F10"/>
    <mergeCell ref="G9:G10"/>
    <mergeCell ref="A38:G38"/>
    <mergeCell ref="A5:G5"/>
    <mergeCell ref="G15:G16"/>
    <mergeCell ref="K21:Q28"/>
    <mergeCell ref="C35:E35"/>
    <mergeCell ref="A37:F37"/>
    <mergeCell ref="C12:E12"/>
    <mergeCell ref="A9:A10"/>
    <mergeCell ref="B9:B10"/>
    <mergeCell ref="C9:C10"/>
    <mergeCell ref="D9:D10"/>
    <mergeCell ref="E9:E10"/>
    <mergeCell ref="A15:A16"/>
    <mergeCell ref="B15:B16"/>
    <mergeCell ref="C15:C16"/>
    <mergeCell ref="D15:D16"/>
  </mergeCells>
  <pageMargins left="0.7" right="0.7" top="0.75" bottom="0.75" header="0.3" footer="0.3"/>
  <pageSetup scale="58" orientation="portrait" r:id="rId1"/>
  <colBreaks count="1" manualBreakCount="1">
    <brk id="7" max="1048575" man="1"/>
  </col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FFFF00"/>
  </sheetPr>
  <dimension ref="A1:J32"/>
  <sheetViews>
    <sheetView view="pageBreakPreview" zoomScale="130" zoomScaleNormal="130" zoomScaleSheetLayoutView="130" workbookViewId="0">
      <selection sqref="A1:XFD4"/>
    </sheetView>
  </sheetViews>
  <sheetFormatPr baseColWidth="10" defaultRowHeight="12" x14ac:dyDescent="0.15"/>
  <cols>
    <col min="1" max="1" width="5.5" style="276" bestFit="1" customWidth="1"/>
    <col min="2" max="2" width="17.1640625" style="270" customWidth="1"/>
    <col min="3" max="4" width="14.33203125" style="270" customWidth="1"/>
    <col min="5" max="5" width="13.1640625" style="270" customWidth="1"/>
    <col min="6" max="6" width="11.5" style="270"/>
    <col min="7" max="7" width="14.6640625" style="270" customWidth="1"/>
    <col min="8" max="8" width="11.5" style="270"/>
    <col min="9" max="9" width="18.1640625" style="270" customWidth="1"/>
    <col min="10" max="10" width="11.5" style="270"/>
    <col min="11" max="11" width="18.33203125" style="270" bestFit="1" customWidth="1"/>
    <col min="12" max="258" width="11.5" style="270"/>
    <col min="259" max="259" width="16.33203125" style="270" customWidth="1"/>
    <col min="260" max="260" width="13.83203125" style="270" customWidth="1"/>
    <col min="261" max="261" width="13.1640625" style="270" customWidth="1"/>
    <col min="262" max="262" width="11.5" style="270"/>
    <col min="263" max="263" width="14.6640625" style="270" customWidth="1"/>
    <col min="264" max="264" width="11.5" style="270"/>
    <col min="265" max="265" width="15" style="270" customWidth="1"/>
    <col min="266" max="266" width="11.5" style="270"/>
    <col min="267" max="267" width="18.33203125" style="270" bestFit="1" customWidth="1"/>
    <col min="268" max="514" width="11.5" style="270"/>
    <col min="515" max="515" width="16.33203125" style="270" customWidth="1"/>
    <col min="516" max="516" width="13.83203125" style="270" customWidth="1"/>
    <col min="517" max="517" width="13.1640625" style="270" customWidth="1"/>
    <col min="518" max="518" width="11.5" style="270"/>
    <col min="519" max="519" width="14.6640625" style="270" customWidth="1"/>
    <col min="520" max="520" width="11.5" style="270"/>
    <col min="521" max="521" width="15" style="270" customWidth="1"/>
    <col min="522" max="522" width="11.5" style="270"/>
    <col min="523" max="523" width="18.33203125" style="270" bestFit="1" customWidth="1"/>
    <col min="524" max="770" width="11.5" style="270"/>
    <col min="771" max="771" width="16.33203125" style="270" customWidth="1"/>
    <col min="772" max="772" width="13.83203125" style="270" customWidth="1"/>
    <col min="773" max="773" width="13.1640625" style="270" customWidth="1"/>
    <col min="774" max="774" width="11.5" style="270"/>
    <col min="775" max="775" width="14.6640625" style="270" customWidth="1"/>
    <col min="776" max="776" width="11.5" style="270"/>
    <col min="777" max="777" width="15" style="270" customWidth="1"/>
    <col min="778" max="778" width="11.5" style="270"/>
    <col min="779" max="779" width="18.33203125" style="270" bestFit="1" customWidth="1"/>
    <col min="780" max="1026" width="11.5" style="270"/>
    <col min="1027" max="1027" width="16.33203125" style="270" customWidth="1"/>
    <col min="1028" max="1028" width="13.83203125" style="270" customWidth="1"/>
    <col min="1029" max="1029" width="13.1640625" style="270" customWidth="1"/>
    <col min="1030" max="1030" width="11.5" style="270"/>
    <col min="1031" max="1031" width="14.6640625" style="270" customWidth="1"/>
    <col min="1032" max="1032" width="11.5" style="270"/>
    <col min="1033" max="1033" width="15" style="270" customWidth="1"/>
    <col min="1034" max="1034" width="11.5" style="270"/>
    <col min="1035" max="1035" width="18.33203125" style="270" bestFit="1" customWidth="1"/>
    <col min="1036" max="1282" width="11.5" style="270"/>
    <col min="1283" max="1283" width="16.33203125" style="270" customWidth="1"/>
    <col min="1284" max="1284" width="13.83203125" style="270" customWidth="1"/>
    <col min="1285" max="1285" width="13.1640625" style="270" customWidth="1"/>
    <col min="1286" max="1286" width="11.5" style="270"/>
    <col min="1287" max="1287" width="14.6640625" style="270" customWidth="1"/>
    <col min="1288" max="1288" width="11.5" style="270"/>
    <col min="1289" max="1289" width="15" style="270" customWidth="1"/>
    <col min="1290" max="1290" width="11.5" style="270"/>
    <col min="1291" max="1291" width="18.33203125" style="270" bestFit="1" customWidth="1"/>
    <col min="1292" max="1538" width="11.5" style="270"/>
    <col min="1539" max="1539" width="16.33203125" style="270" customWidth="1"/>
    <col min="1540" max="1540" width="13.83203125" style="270" customWidth="1"/>
    <col min="1541" max="1541" width="13.1640625" style="270" customWidth="1"/>
    <col min="1542" max="1542" width="11.5" style="270"/>
    <col min="1543" max="1543" width="14.6640625" style="270" customWidth="1"/>
    <col min="1544" max="1544" width="11.5" style="270"/>
    <col min="1545" max="1545" width="15" style="270" customWidth="1"/>
    <col min="1546" max="1546" width="11.5" style="270"/>
    <col min="1547" max="1547" width="18.33203125" style="270" bestFit="1" customWidth="1"/>
    <col min="1548" max="1794" width="11.5" style="270"/>
    <col min="1795" max="1795" width="16.33203125" style="270" customWidth="1"/>
    <col min="1796" max="1796" width="13.83203125" style="270" customWidth="1"/>
    <col min="1797" max="1797" width="13.1640625" style="270" customWidth="1"/>
    <col min="1798" max="1798" width="11.5" style="270"/>
    <col min="1799" max="1799" width="14.6640625" style="270" customWidth="1"/>
    <col min="1800" max="1800" width="11.5" style="270"/>
    <col min="1801" max="1801" width="15" style="270" customWidth="1"/>
    <col min="1802" max="1802" width="11.5" style="270"/>
    <col min="1803" max="1803" width="18.33203125" style="270" bestFit="1" customWidth="1"/>
    <col min="1804" max="2050" width="11.5" style="270"/>
    <col min="2051" max="2051" width="16.33203125" style="270" customWidth="1"/>
    <col min="2052" max="2052" width="13.83203125" style="270" customWidth="1"/>
    <col min="2053" max="2053" width="13.1640625" style="270" customWidth="1"/>
    <col min="2054" max="2054" width="11.5" style="270"/>
    <col min="2055" max="2055" width="14.6640625" style="270" customWidth="1"/>
    <col min="2056" max="2056" width="11.5" style="270"/>
    <col min="2057" max="2057" width="15" style="270" customWidth="1"/>
    <col min="2058" max="2058" width="11.5" style="270"/>
    <col min="2059" max="2059" width="18.33203125" style="270" bestFit="1" customWidth="1"/>
    <col min="2060" max="2306" width="11.5" style="270"/>
    <col min="2307" max="2307" width="16.33203125" style="270" customWidth="1"/>
    <col min="2308" max="2308" width="13.83203125" style="270" customWidth="1"/>
    <col min="2309" max="2309" width="13.1640625" style="270" customWidth="1"/>
    <col min="2310" max="2310" width="11.5" style="270"/>
    <col min="2311" max="2311" width="14.6640625" style="270" customWidth="1"/>
    <col min="2312" max="2312" width="11.5" style="270"/>
    <col min="2313" max="2313" width="15" style="270" customWidth="1"/>
    <col min="2314" max="2314" width="11.5" style="270"/>
    <col min="2315" max="2315" width="18.33203125" style="270" bestFit="1" customWidth="1"/>
    <col min="2316" max="2562" width="11.5" style="270"/>
    <col min="2563" max="2563" width="16.33203125" style="270" customWidth="1"/>
    <col min="2564" max="2564" width="13.83203125" style="270" customWidth="1"/>
    <col min="2565" max="2565" width="13.1640625" style="270" customWidth="1"/>
    <col min="2566" max="2566" width="11.5" style="270"/>
    <col min="2567" max="2567" width="14.6640625" style="270" customWidth="1"/>
    <col min="2568" max="2568" width="11.5" style="270"/>
    <col min="2569" max="2569" width="15" style="270" customWidth="1"/>
    <col min="2570" max="2570" width="11.5" style="270"/>
    <col min="2571" max="2571" width="18.33203125" style="270" bestFit="1" customWidth="1"/>
    <col min="2572" max="2818" width="11.5" style="270"/>
    <col min="2819" max="2819" width="16.33203125" style="270" customWidth="1"/>
    <col min="2820" max="2820" width="13.83203125" style="270" customWidth="1"/>
    <col min="2821" max="2821" width="13.1640625" style="270" customWidth="1"/>
    <col min="2822" max="2822" width="11.5" style="270"/>
    <col min="2823" max="2823" width="14.6640625" style="270" customWidth="1"/>
    <col min="2824" max="2824" width="11.5" style="270"/>
    <col min="2825" max="2825" width="15" style="270" customWidth="1"/>
    <col min="2826" max="2826" width="11.5" style="270"/>
    <col min="2827" max="2827" width="18.33203125" style="270" bestFit="1" customWidth="1"/>
    <col min="2828" max="3074" width="11.5" style="270"/>
    <col min="3075" max="3075" width="16.33203125" style="270" customWidth="1"/>
    <col min="3076" max="3076" width="13.83203125" style="270" customWidth="1"/>
    <col min="3077" max="3077" width="13.1640625" style="270" customWidth="1"/>
    <col min="3078" max="3078" width="11.5" style="270"/>
    <col min="3079" max="3079" width="14.6640625" style="270" customWidth="1"/>
    <col min="3080" max="3080" width="11.5" style="270"/>
    <col min="3081" max="3081" width="15" style="270" customWidth="1"/>
    <col min="3082" max="3082" width="11.5" style="270"/>
    <col min="3083" max="3083" width="18.33203125" style="270" bestFit="1" customWidth="1"/>
    <col min="3084" max="3330" width="11.5" style="270"/>
    <col min="3331" max="3331" width="16.33203125" style="270" customWidth="1"/>
    <col min="3332" max="3332" width="13.83203125" style="270" customWidth="1"/>
    <col min="3333" max="3333" width="13.1640625" style="270" customWidth="1"/>
    <col min="3334" max="3334" width="11.5" style="270"/>
    <col min="3335" max="3335" width="14.6640625" style="270" customWidth="1"/>
    <col min="3336" max="3336" width="11.5" style="270"/>
    <col min="3337" max="3337" width="15" style="270" customWidth="1"/>
    <col min="3338" max="3338" width="11.5" style="270"/>
    <col min="3339" max="3339" width="18.33203125" style="270" bestFit="1" customWidth="1"/>
    <col min="3340" max="3586" width="11.5" style="270"/>
    <col min="3587" max="3587" width="16.33203125" style="270" customWidth="1"/>
    <col min="3588" max="3588" width="13.83203125" style="270" customWidth="1"/>
    <col min="3589" max="3589" width="13.1640625" style="270" customWidth="1"/>
    <col min="3590" max="3590" width="11.5" style="270"/>
    <col min="3591" max="3591" width="14.6640625" style="270" customWidth="1"/>
    <col min="3592" max="3592" width="11.5" style="270"/>
    <col min="3593" max="3593" width="15" style="270" customWidth="1"/>
    <col min="3594" max="3594" width="11.5" style="270"/>
    <col min="3595" max="3595" width="18.33203125" style="270" bestFit="1" customWidth="1"/>
    <col min="3596" max="3842" width="11.5" style="270"/>
    <col min="3843" max="3843" width="16.33203125" style="270" customWidth="1"/>
    <col min="3844" max="3844" width="13.83203125" style="270" customWidth="1"/>
    <col min="3845" max="3845" width="13.1640625" style="270" customWidth="1"/>
    <col min="3846" max="3846" width="11.5" style="270"/>
    <col min="3847" max="3847" width="14.6640625" style="270" customWidth="1"/>
    <col min="3848" max="3848" width="11.5" style="270"/>
    <col min="3849" max="3849" width="15" style="270" customWidth="1"/>
    <col min="3850" max="3850" width="11.5" style="270"/>
    <col min="3851" max="3851" width="18.33203125" style="270" bestFit="1" customWidth="1"/>
    <col min="3852" max="4098" width="11.5" style="270"/>
    <col min="4099" max="4099" width="16.33203125" style="270" customWidth="1"/>
    <col min="4100" max="4100" width="13.83203125" style="270" customWidth="1"/>
    <col min="4101" max="4101" width="13.1640625" style="270" customWidth="1"/>
    <col min="4102" max="4102" width="11.5" style="270"/>
    <col min="4103" max="4103" width="14.6640625" style="270" customWidth="1"/>
    <col min="4104" max="4104" width="11.5" style="270"/>
    <col min="4105" max="4105" width="15" style="270" customWidth="1"/>
    <col min="4106" max="4106" width="11.5" style="270"/>
    <col min="4107" max="4107" width="18.33203125" style="270" bestFit="1" customWidth="1"/>
    <col min="4108" max="4354" width="11.5" style="270"/>
    <col min="4355" max="4355" width="16.33203125" style="270" customWidth="1"/>
    <col min="4356" max="4356" width="13.83203125" style="270" customWidth="1"/>
    <col min="4357" max="4357" width="13.1640625" style="270" customWidth="1"/>
    <col min="4358" max="4358" width="11.5" style="270"/>
    <col min="4359" max="4359" width="14.6640625" style="270" customWidth="1"/>
    <col min="4360" max="4360" width="11.5" style="270"/>
    <col min="4361" max="4361" width="15" style="270" customWidth="1"/>
    <col min="4362" max="4362" width="11.5" style="270"/>
    <col min="4363" max="4363" width="18.33203125" style="270" bestFit="1" customWidth="1"/>
    <col min="4364" max="4610" width="11.5" style="270"/>
    <col min="4611" max="4611" width="16.33203125" style="270" customWidth="1"/>
    <col min="4612" max="4612" width="13.83203125" style="270" customWidth="1"/>
    <col min="4613" max="4613" width="13.1640625" style="270" customWidth="1"/>
    <col min="4614" max="4614" width="11.5" style="270"/>
    <col min="4615" max="4615" width="14.6640625" style="270" customWidth="1"/>
    <col min="4616" max="4616" width="11.5" style="270"/>
    <col min="4617" max="4617" width="15" style="270" customWidth="1"/>
    <col min="4618" max="4618" width="11.5" style="270"/>
    <col min="4619" max="4619" width="18.33203125" style="270" bestFit="1" customWidth="1"/>
    <col min="4620" max="4866" width="11.5" style="270"/>
    <col min="4867" max="4867" width="16.33203125" style="270" customWidth="1"/>
    <col min="4868" max="4868" width="13.83203125" style="270" customWidth="1"/>
    <col min="4869" max="4869" width="13.1640625" style="270" customWidth="1"/>
    <col min="4870" max="4870" width="11.5" style="270"/>
    <col min="4871" max="4871" width="14.6640625" style="270" customWidth="1"/>
    <col min="4872" max="4872" width="11.5" style="270"/>
    <col min="4873" max="4873" width="15" style="270" customWidth="1"/>
    <col min="4874" max="4874" width="11.5" style="270"/>
    <col min="4875" max="4875" width="18.33203125" style="270" bestFit="1" customWidth="1"/>
    <col min="4876" max="5122" width="11.5" style="270"/>
    <col min="5123" max="5123" width="16.33203125" style="270" customWidth="1"/>
    <col min="5124" max="5124" width="13.83203125" style="270" customWidth="1"/>
    <col min="5125" max="5125" width="13.1640625" style="270" customWidth="1"/>
    <col min="5126" max="5126" width="11.5" style="270"/>
    <col min="5127" max="5127" width="14.6640625" style="270" customWidth="1"/>
    <col min="5128" max="5128" width="11.5" style="270"/>
    <col min="5129" max="5129" width="15" style="270" customWidth="1"/>
    <col min="5130" max="5130" width="11.5" style="270"/>
    <col min="5131" max="5131" width="18.33203125" style="270" bestFit="1" customWidth="1"/>
    <col min="5132" max="5378" width="11.5" style="270"/>
    <col min="5379" max="5379" width="16.33203125" style="270" customWidth="1"/>
    <col min="5380" max="5380" width="13.83203125" style="270" customWidth="1"/>
    <col min="5381" max="5381" width="13.1640625" style="270" customWidth="1"/>
    <col min="5382" max="5382" width="11.5" style="270"/>
    <col min="5383" max="5383" width="14.6640625" style="270" customWidth="1"/>
    <col min="5384" max="5384" width="11.5" style="270"/>
    <col min="5385" max="5385" width="15" style="270" customWidth="1"/>
    <col min="5386" max="5386" width="11.5" style="270"/>
    <col min="5387" max="5387" width="18.33203125" style="270" bestFit="1" customWidth="1"/>
    <col min="5388" max="5634" width="11.5" style="270"/>
    <col min="5635" max="5635" width="16.33203125" style="270" customWidth="1"/>
    <col min="5636" max="5636" width="13.83203125" style="270" customWidth="1"/>
    <col min="5637" max="5637" width="13.1640625" style="270" customWidth="1"/>
    <col min="5638" max="5638" width="11.5" style="270"/>
    <col min="5639" max="5639" width="14.6640625" style="270" customWidth="1"/>
    <col min="5640" max="5640" width="11.5" style="270"/>
    <col min="5641" max="5641" width="15" style="270" customWidth="1"/>
    <col min="5642" max="5642" width="11.5" style="270"/>
    <col min="5643" max="5643" width="18.33203125" style="270" bestFit="1" customWidth="1"/>
    <col min="5644" max="5890" width="11.5" style="270"/>
    <col min="5891" max="5891" width="16.33203125" style="270" customWidth="1"/>
    <col min="5892" max="5892" width="13.83203125" style="270" customWidth="1"/>
    <col min="5893" max="5893" width="13.1640625" style="270" customWidth="1"/>
    <col min="5894" max="5894" width="11.5" style="270"/>
    <col min="5895" max="5895" width="14.6640625" style="270" customWidth="1"/>
    <col min="5896" max="5896" width="11.5" style="270"/>
    <col min="5897" max="5897" width="15" style="270" customWidth="1"/>
    <col min="5898" max="5898" width="11.5" style="270"/>
    <col min="5899" max="5899" width="18.33203125" style="270" bestFit="1" customWidth="1"/>
    <col min="5900" max="6146" width="11.5" style="270"/>
    <col min="6147" max="6147" width="16.33203125" style="270" customWidth="1"/>
    <col min="6148" max="6148" width="13.83203125" style="270" customWidth="1"/>
    <col min="6149" max="6149" width="13.1640625" style="270" customWidth="1"/>
    <col min="6150" max="6150" width="11.5" style="270"/>
    <col min="6151" max="6151" width="14.6640625" style="270" customWidth="1"/>
    <col min="6152" max="6152" width="11.5" style="270"/>
    <col min="6153" max="6153" width="15" style="270" customWidth="1"/>
    <col min="6154" max="6154" width="11.5" style="270"/>
    <col min="6155" max="6155" width="18.33203125" style="270" bestFit="1" customWidth="1"/>
    <col min="6156" max="6402" width="11.5" style="270"/>
    <col min="6403" max="6403" width="16.33203125" style="270" customWidth="1"/>
    <col min="6404" max="6404" width="13.83203125" style="270" customWidth="1"/>
    <col min="6405" max="6405" width="13.1640625" style="270" customWidth="1"/>
    <col min="6406" max="6406" width="11.5" style="270"/>
    <col min="6407" max="6407" width="14.6640625" style="270" customWidth="1"/>
    <col min="6408" max="6408" width="11.5" style="270"/>
    <col min="6409" max="6409" width="15" style="270" customWidth="1"/>
    <col min="6410" max="6410" width="11.5" style="270"/>
    <col min="6411" max="6411" width="18.33203125" style="270" bestFit="1" customWidth="1"/>
    <col min="6412" max="6658" width="11.5" style="270"/>
    <col min="6659" max="6659" width="16.33203125" style="270" customWidth="1"/>
    <col min="6660" max="6660" width="13.83203125" style="270" customWidth="1"/>
    <col min="6661" max="6661" width="13.1640625" style="270" customWidth="1"/>
    <col min="6662" max="6662" width="11.5" style="270"/>
    <col min="6663" max="6663" width="14.6640625" style="270" customWidth="1"/>
    <col min="6664" max="6664" width="11.5" style="270"/>
    <col min="6665" max="6665" width="15" style="270" customWidth="1"/>
    <col min="6666" max="6666" width="11.5" style="270"/>
    <col min="6667" max="6667" width="18.33203125" style="270" bestFit="1" customWidth="1"/>
    <col min="6668" max="6914" width="11.5" style="270"/>
    <col min="6915" max="6915" width="16.33203125" style="270" customWidth="1"/>
    <col min="6916" max="6916" width="13.83203125" style="270" customWidth="1"/>
    <col min="6917" max="6917" width="13.1640625" style="270" customWidth="1"/>
    <col min="6918" max="6918" width="11.5" style="270"/>
    <col min="6919" max="6919" width="14.6640625" style="270" customWidth="1"/>
    <col min="6920" max="6920" width="11.5" style="270"/>
    <col min="6921" max="6921" width="15" style="270" customWidth="1"/>
    <col min="6922" max="6922" width="11.5" style="270"/>
    <col min="6923" max="6923" width="18.33203125" style="270" bestFit="1" customWidth="1"/>
    <col min="6924" max="7170" width="11.5" style="270"/>
    <col min="7171" max="7171" width="16.33203125" style="270" customWidth="1"/>
    <col min="7172" max="7172" width="13.83203125" style="270" customWidth="1"/>
    <col min="7173" max="7173" width="13.1640625" style="270" customWidth="1"/>
    <col min="7174" max="7174" width="11.5" style="270"/>
    <col min="7175" max="7175" width="14.6640625" style="270" customWidth="1"/>
    <col min="7176" max="7176" width="11.5" style="270"/>
    <col min="7177" max="7177" width="15" style="270" customWidth="1"/>
    <col min="7178" max="7178" width="11.5" style="270"/>
    <col min="7179" max="7179" width="18.33203125" style="270" bestFit="1" customWidth="1"/>
    <col min="7180" max="7426" width="11.5" style="270"/>
    <col min="7427" max="7427" width="16.33203125" style="270" customWidth="1"/>
    <col min="7428" max="7428" width="13.83203125" style="270" customWidth="1"/>
    <col min="7429" max="7429" width="13.1640625" style="270" customWidth="1"/>
    <col min="7430" max="7430" width="11.5" style="270"/>
    <col min="7431" max="7431" width="14.6640625" style="270" customWidth="1"/>
    <col min="7432" max="7432" width="11.5" style="270"/>
    <col min="7433" max="7433" width="15" style="270" customWidth="1"/>
    <col min="7434" max="7434" width="11.5" style="270"/>
    <col min="7435" max="7435" width="18.33203125" style="270" bestFit="1" customWidth="1"/>
    <col min="7436" max="7682" width="11.5" style="270"/>
    <col min="7683" max="7683" width="16.33203125" style="270" customWidth="1"/>
    <col min="7684" max="7684" width="13.83203125" style="270" customWidth="1"/>
    <col min="7685" max="7685" width="13.1640625" style="270" customWidth="1"/>
    <col min="7686" max="7686" width="11.5" style="270"/>
    <col min="7687" max="7687" width="14.6640625" style="270" customWidth="1"/>
    <col min="7688" max="7688" width="11.5" style="270"/>
    <col min="7689" max="7689" width="15" style="270" customWidth="1"/>
    <col min="7690" max="7690" width="11.5" style="270"/>
    <col min="7691" max="7691" width="18.33203125" style="270" bestFit="1" customWidth="1"/>
    <col min="7692" max="7938" width="11.5" style="270"/>
    <col min="7939" max="7939" width="16.33203125" style="270" customWidth="1"/>
    <col min="7940" max="7940" width="13.83203125" style="270" customWidth="1"/>
    <col min="7941" max="7941" width="13.1640625" style="270" customWidth="1"/>
    <col min="7942" max="7942" width="11.5" style="270"/>
    <col min="7943" max="7943" width="14.6640625" style="270" customWidth="1"/>
    <col min="7944" max="7944" width="11.5" style="270"/>
    <col min="7945" max="7945" width="15" style="270" customWidth="1"/>
    <col min="7946" max="7946" width="11.5" style="270"/>
    <col min="7947" max="7947" width="18.33203125" style="270" bestFit="1" customWidth="1"/>
    <col min="7948" max="8194" width="11.5" style="270"/>
    <col min="8195" max="8195" width="16.33203125" style="270" customWidth="1"/>
    <col min="8196" max="8196" width="13.83203125" style="270" customWidth="1"/>
    <col min="8197" max="8197" width="13.1640625" style="270" customWidth="1"/>
    <col min="8198" max="8198" width="11.5" style="270"/>
    <col min="8199" max="8199" width="14.6640625" style="270" customWidth="1"/>
    <col min="8200" max="8200" width="11.5" style="270"/>
    <col min="8201" max="8201" width="15" style="270" customWidth="1"/>
    <col min="8202" max="8202" width="11.5" style="270"/>
    <col min="8203" max="8203" width="18.33203125" style="270" bestFit="1" customWidth="1"/>
    <col min="8204" max="8450" width="11.5" style="270"/>
    <col min="8451" max="8451" width="16.33203125" style="270" customWidth="1"/>
    <col min="8452" max="8452" width="13.83203125" style="270" customWidth="1"/>
    <col min="8453" max="8453" width="13.1640625" style="270" customWidth="1"/>
    <col min="8454" max="8454" width="11.5" style="270"/>
    <col min="8455" max="8455" width="14.6640625" style="270" customWidth="1"/>
    <col min="8456" max="8456" width="11.5" style="270"/>
    <col min="8457" max="8457" width="15" style="270" customWidth="1"/>
    <col min="8458" max="8458" width="11.5" style="270"/>
    <col min="8459" max="8459" width="18.33203125" style="270" bestFit="1" customWidth="1"/>
    <col min="8460" max="8706" width="11.5" style="270"/>
    <col min="8707" max="8707" width="16.33203125" style="270" customWidth="1"/>
    <col min="8708" max="8708" width="13.83203125" style="270" customWidth="1"/>
    <col min="8709" max="8709" width="13.1640625" style="270" customWidth="1"/>
    <col min="8710" max="8710" width="11.5" style="270"/>
    <col min="8711" max="8711" width="14.6640625" style="270" customWidth="1"/>
    <col min="8712" max="8712" width="11.5" style="270"/>
    <col min="8713" max="8713" width="15" style="270" customWidth="1"/>
    <col min="8714" max="8714" width="11.5" style="270"/>
    <col min="8715" max="8715" width="18.33203125" style="270" bestFit="1" customWidth="1"/>
    <col min="8716" max="8962" width="11.5" style="270"/>
    <col min="8963" max="8963" width="16.33203125" style="270" customWidth="1"/>
    <col min="8964" max="8964" width="13.83203125" style="270" customWidth="1"/>
    <col min="8965" max="8965" width="13.1640625" style="270" customWidth="1"/>
    <col min="8966" max="8966" width="11.5" style="270"/>
    <col min="8967" max="8967" width="14.6640625" style="270" customWidth="1"/>
    <col min="8968" max="8968" width="11.5" style="270"/>
    <col min="8969" max="8969" width="15" style="270" customWidth="1"/>
    <col min="8970" max="8970" width="11.5" style="270"/>
    <col min="8971" max="8971" width="18.33203125" style="270" bestFit="1" customWidth="1"/>
    <col min="8972" max="9218" width="11.5" style="270"/>
    <col min="9219" max="9219" width="16.33203125" style="270" customWidth="1"/>
    <col min="9220" max="9220" width="13.83203125" style="270" customWidth="1"/>
    <col min="9221" max="9221" width="13.1640625" style="270" customWidth="1"/>
    <col min="9222" max="9222" width="11.5" style="270"/>
    <col min="9223" max="9223" width="14.6640625" style="270" customWidth="1"/>
    <col min="9224" max="9224" width="11.5" style="270"/>
    <col min="9225" max="9225" width="15" style="270" customWidth="1"/>
    <col min="9226" max="9226" width="11.5" style="270"/>
    <col min="9227" max="9227" width="18.33203125" style="270" bestFit="1" customWidth="1"/>
    <col min="9228" max="9474" width="11.5" style="270"/>
    <col min="9475" max="9475" width="16.33203125" style="270" customWidth="1"/>
    <col min="9476" max="9476" width="13.83203125" style="270" customWidth="1"/>
    <col min="9477" max="9477" width="13.1640625" style="270" customWidth="1"/>
    <col min="9478" max="9478" width="11.5" style="270"/>
    <col min="9479" max="9479" width="14.6640625" style="270" customWidth="1"/>
    <col min="9480" max="9480" width="11.5" style="270"/>
    <col min="9481" max="9481" width="15" style="270" customWidth="1"/>
    <col min="9482" max="9482" width="11.5" style="270"/>
    <col min="9483" max="9483" width="18.33203125" style="270" bestFit="1" customWidth="1"/>
    <col min="9484" max="9730" width="11.5" style="270"/>
    <col min="9731" max="9731" width="16.33203125" style="270" customWidth="1"/>
    <col min="9732" max="9732" width="13.83203125" style="270" customWidth="1"/>
    <col min="9733" max="9733" width="13.1640625" style="270" customWidth="1"/>
    <col min="9734" max="9734" width="11.5" style="270"/>
    <col min="9735" max="9735" width="14.6640625" style="270" customWidth="1"/>
    <col min="9736" max="9736" width="11.5" style="270"/>
    <col min="9737" max="9737" width="15" style="270" customWidth="1"/>
    <col min="9738" max="9738" width="11.5" style="270"/>
    <col min="9739" max="9739" width="18.33203125" style="270" bestFit="1" customWidth="1"/>
    <col min="9740" max="9986" width="11.5" style="270"/>
    <col min="9987" max="9987" width="16.33203125" style="270" customWidth="1"/>
    <col min="9988" max="9988" width="13.83203125" style="270" customWidth="1"/>
    <col min="9989" max="9989" width="13.1640625" style="270" customWidth="1"/>
    <col min="9990" max="9990" width="11.5" style="270"/>
    <col min="9991" max="9991" width="14.6640625" style="270" customWidth="1"/>
    <col min="9992" max="9992" width="11.5" style="270"/>
    <col min="9993" max="9993" width="15" style="270" customWidth="1"/>
    <col min="9994" max="9994" width="11.5" style="270"/>
    <col min="9995" max="9995" width="18.33203125" style="270" bestFit="1" customWidth="1"/>
    <col min="9996" max="10242" width="11.5" style="270"/>
    <col min="10243" max="10243" width="16.33203125" style="270" customWidth="1"/>
    <col min="10244" max="10244" width="13.83203125" style="270" customWidth="1"/>
    <col min="10245" max="10245" width="13.1640625" style="270" customWidth="1"/>
    <col min="10246" max="10246" width="11.5" style="270"/>
    <col min="10247" max="10247" width="14.6640625" style="270" customWidth="1"/>
    <col min="10248" max="10248" width="11.5" style="270"/>
    <col min="10249" max="10249" width="15" style="270" customWidth="1"/>
    <col min="10250" max="10250" width="11.5" style="270"/>
    <col min="10251" max="10251" width="18.33203125" style="270" bestFit="1" customWidth="1"/>
    <col min="10252" max="10498" width="11.5" style="270"/>
    <col min="10499" max="10499" width="16.33203125" style="270" customWidth="1"/>
    <col min="10500" max="10500" width="13.83203125" style="270" customWidth="1"/>
    <col min="10501" max="10501" width="13.1640625" style="270" customWidth="1"/>
    <col min="10502" max="10502" width="11.5" style="270"/>
    <col min="10503" max="10503" width="14.6640625" style="270" customWidth="1"/>
    <col min="10504" max="10504" width="11.5" style="270"/>
    <col min="10505" max="10505" width="15" style="270" customWidth="1"/>
    <col min="10506" max="10506" width="11.5" style="270"/>
    <col min="10507" max="10507" width="18.33203125" style="270" bestFit="1" customWidth="1"/>
    <col min="10508" max="10754" width="11.5" style="270"/>
    <col min="10755" max="10755" width="16.33203125" style="270" customWidth="1"/>
    <col min="10756" max="10756" width="13.83203125" style="270" customWidth="1"/>
    <col min="10757" max="10757" width="13.1640625" style="270" customWidth="1"/>
    <col min="10758" max="10758" width="11.5" style="270"/>
    <col min="10759" max="10759" width="14.6640625" style="270" customWidth="1"/>
    <col min="10760" max="10760" width="11.5" style="270"/>
    <col min="10761" max="10761" width="15" style="270" customWidth="1"/>
    <col min="10762" max="10762" width="11.5" style="270"/>
    <col min="10763" max="10763" width="18.33203125" style="270" bestFit="1" customWidth="1"/>
    <col min="10764" max="11010" width="11.5" style="270"/>
    <col min="11011" max="11011" width="16.33203125" style="270" customWidth="1"/>
    <col min="11012" max="11012" width="13.83203125" style="270" customWidth="1"/>
    <col min="11013" max="11013" width="13.1640625" style="270" customWidth="1"/>
    <col min="11014" max="11014" width="11.5" style="270"/>
    <col min="11015" max="11015" width="14.6640625" style="270" customWidth="1"/>
    <col min="11016" max="11016" width="11.5" style="270"/>
    <col min="11017" max="11017" width="15" style="270" customWidth="1"/>
    <col min="11018" max="11018" width="11.5" style="270"/>
    <col min="11019" max="11019" width="18.33203125" style="270" bestFit="1" customWidth="1"/>
    <col min="11020" max="11266" width="11.5" style="270"/>
    <col min="11267" max="11267" width="16.33203125" style="270" customWidth="1"/>
    <col min="11268" max="11268" width="13.83203125" style="270" customWidth="1"/>
    <col min="11269" max="11269" width="13.1640625" style="270" customWidth="1"/>
    <col min="11270" max="11270" width="11.5" style="270"/>
    <col min="11271" max="11271" width="14.6640625" style="270" customWidth="1"/>
    <col min="11272" max="11272" width="11.5" style="270"/>
    <col min="11273" max="11273" width="15" style="270" customWidth="1"/>
    <col min="11274" max="11274" width="11.5" style="270"/>
    <col min="11275" max="11275" width="18.33203125" style="270" bestFit="1" customWidth="1"/>
    <col min="11276" max="11522" width="11.5" style="270"/>
    <col min="11523" max="11523" width="16.33203125" style="270" customWidth="1"/>
    <col min="11524" max="11524" width="13.83203125" style="270" customWidth="1"/>
    <col min="11525" max="11525" width="13.1640625" style="270" customWidth="1"/>
    <col min="11526" max="11526" width="11.5" style="270"/>
    <col min="11527" max="11527" width="14.6640625" style="270" customWidth="1"/>
    <col min="11528" max="11528" width="11.5" style="270"/>
    <col min="11529" max="11529" width="15" style="270" customWidth="1"/>
    <col min="11530" max="11530" width="11.5" style="270"/>
    <col min="11531" max="11531" width="18.33203125" style="270" bestFit="1" customWidth="1"/>
    <col min="11532" max="11778" width="11.5" style="270"/>
    <col min="11779" max="11779" width="16.33203125" style="270" customWidth="1"/>
    <col min="11780" max="11780" width="13.83203125" style="270" customWidth="1"/>
    <col min="11781" max="11781" width="13.1640625" style="270" customWidth="1"/>
    <col min="11782" max="11782" width="11.5" style="270"/>
    <col min="11783" max="11783" width="14.6640625" style="270" customWidth="1"/>
    <col min="11784" max="11784" width="11.5" style="270"/>
    <col min="11785" max="11785" width="15" style="270" customWidth="1"/>
    <col min="11786" max="11786" width="11.5" style="270"/>
    <col min="11787" max="11787" width="18.33203125" style="270" bestFit="1" customWidth="1"/>
    <col min="11788" max="12034" width="11.5" style="270"/>
    <col min="12035" max="12035" width="16.33203125" style="270" customWidth="1"/>
    <col min="12036" max="12036" width="13.83203125" style="270" customWidth="1"/>
    <col min="12037" max="12037" width="13.1640625" style="270" customWidth="1"/>
    <col min="12038" max="12038" width="11.5" style="270"/>
    <col min="12039" max="12039" width="14.6640625" style="270" customWidth="1"/>
    <col min="12040" max="12040" width="11.5" style="270"/>
    <col min="12041" max="12041" width="15" style="270" customWidth="1"/>
    <col min="12042" max="12042" width="11.5" style="270"/>
    <col min="12043" max="12043" width="18.33203125" style="270" bestFit="1" customWidth="1"/>
    <col min="12044" max="12290" width="11.5" style="270"/>
    <col min="12291" max="12291" width="16.33203125" style="270" customWidth="1"/>
    <col min="12292" max="12292" width="13.83203125" style="270" customWidth="1"/>
    <col min="12293" max="12293" width="13.1640625" style="270" customWidth="1"/>
    <col min="12294" max="12294" width="11.5" style="270"/>
    <col min="12295" max="12295" width="14.6640625" style="270" customWidth="1"/>
    <col min="12296" max="12296" width="11.5" style="270"/>
    <col min="12297" max="12297" width="15" style="270" customWidth="1"/>
    <col min="12298" max="12298" width="11.5" style="270"/>
    <col min="12299" max="12299" width="18.33203125" style="270" bestFit="1" customWidth="1"/>
    <col min="12300" max="12546" width="11.5" style="270"/>
    <col min="12547" max="12547" width="16.33203125" style="270" customWidth="1"/>
    <col min="12548" max="12548" width="13.83203125" style="270" customWidth="1"/>
    <col min="12549" max="12549" width="13.1640625" style="270" customWidth="1"/>
    <col min="12550" max="12550" width="11.5" style="270"/>
    <col min="12551" max="12551" width="14.6640625" style="270" customWidth="1"/>
    <col min="12552" max="12552" width="11.5" style="270"/>
    <col min="12553" max="12553" width="15" style="270" customWidth="1"/>
    <col min="12554" max="12554" width="11.5" style="270"/>
    <col min="12555" max="12555" width="18.33203125" style="270" bestFit="1" customWidth="1"/>
    <col min="12556" max="12802" width="11.5" style="270"/>
    <col min="12803" max="12803" width="16.33203125" style="270" customWidth="1"/>
    <col min="12804" max="12804" width="13.83203125" style="270" customWidth="1"/>
    <col min="12805" max="12805" width="13.1640625" style="270" customWidth="1"/>
    <col min="12806" max="12806" width="11.5" style="270"/>
    <col min="12807" max="12807" width="14.6640625" style="270" customWidth="1"/>
    <col min="12808" max="12808" width="11.5" style="270"/>
    <col min="12809" max="12809" width="15" style="270" customWidth="1"/>
    <col min="12810" max="12810" width="11.5" style="270"/>
    <col min="12811" max="12811" width="18.33203125" style="270" bestFit="1" customWidth="1"/>
    <col min="12812" max="13058" width="11.5" style="270"/>
    <col min="13059" max="13059" width="16.33203125" style="270" customWidth="1"/>
    <col min="13060" max="13060" width="13.83203125" style="270" customWidth="1"/>
    <col min="13061" max="13061" width="13.1640625" style="270" customWidth="1"/>
    <col min="13062" max="13062" width="11.5" style="270"/>
    <col min="13063" max="13063" width="14.6640625" style="270" customWidth="1"/>
    <col min="13064" max="13064" width="11.5" style="270"/>
    <col min="13065" max="13065" width="15" style="270" customWidth="1"/>
    <col min="13066" max="13066" width="11.5" style="270"/>
    <col min="13067" max="13067" width="18.33203125" style="270" bestFit="1" customWidth="1"/>
    <col min="13068" max="13314" width="11.5" style="270"/>
    <col min="13315" max="13315" width="16.33203125" style="270" customWidth="1"/>
    <col min="13316" max="13316" width="13.83203125" style="270" customWidth="1"/>
    <col min="13317" max="13317" width="13.1640625" style="270" customWidth="1"/>
    <col min="13318" max="13318" width="11.5" style="270"/>
    <col min="13319" max="13319" width="14.6640625" style="270" customWidth="1"/>
    <col min="13320" max="13320" width="11.5" style="270"/>
    <col min="13321" max="13321" width="15" style="270" customWidth="1"/>
    <col min="13322" max="13322" width="11.5" style="270"/>
    <col min="13323" max="13323" width="18.33203125" style="270" bestFit="1" customWidth="1"/>
    <col min="13324" max="13570" width="11.5" style="270"/>
    <col min="13571" max="13571" width="16.33203125" style="270" customWidth="1"/>
    <col min="13572" max="13572" width="13.83203125" style="270" customWidth="1"/>
    <col min="13573" max="13573" width="13.1640625" style="270" customWidth="1"/>
    <col min="13574" max="13574" width="11.5" style="270"/>
    <col min="13575" max="13575" width="14.6640625" style="270" customWidth="1"/>
    <col min="13576" max="13576" width="11.5" style="270"/>
    <col min="13577" max="13577" width="15" style="270" customWidth="1"/>
    <col min="13578" max="13578" width="11.5" style="270"/>
    <col min="13579" max="13579" width="18.33203125" style="270" bestFit="1" customWidth="1"/>
    <col min="13580" max="13826" width="11.5" style="270"/>
    <col min="13827" max="13827" width="16.33203125" style="270" customWidth="1"/>
    <col min="13828" max="13828" width="13.83203125" style="270" customWidth="1"/>
    <col min="13829" max="13829" width="13.1640625" style="270" customWidth="1"/>
    <col min="13830" max="13830" width="11.5" style="270"/>
    <col min="13831" max="13831" width="14.6640625" style="270" customWidth="1"/>
    <col min="13832" max="13832" width="11.5" style="270"/>
    <col min="13833" max="13833" width="15" style="270" customWidth="1"/>
    <col min="13834" max="13834" width="11.5" style="270"/>
    <col min="13835" max="13835" width="18.33203125" style="270" bestFit="1" customWidth="1"/>
    <col min="13836" max="14082" width="11.5" style="270"/>
    <col min="14083" max="14083" width="16.33203125" style="270" customWidth="1"/>
    <col min="14084" max="14084" width="13.83203125" style="270" customWidth="1"/>
    <col min="14085" max="14085" width="13.1640625" style="270" customWidth="1"/>
    <col min="14086" max="14086" width="11.5" style="270"/>
    <col min="14087" max="14087" width="14.6640625" style="270" customWidth="1"/>
    <col min="14088" max="14088" width="11.5" style="270"/>
    <col min="14089" max="14089" width="15" style="270" customWidth="1"/>
    <col min="14090" max="14090" width="11.5" style="270"/>
    <col min="14091" max="14091" width="18.33203125" style="270" bestFit="1" customWidth="1"/>
    <col min="14092" max="14338" width="11.5" style="270"/>
    <col min="14339" max="14339" width="16.33203125" style="270" customWidth="1"/>
    <col min="14340" max="14340" width="13.83203125" style="270" customWidth="1"/>
    <col min="14341" max="14341" width="13.1640625" style="270" customWidth="1"/>
    <col min="14342" max="14342" width="11.5" style="270"/>
    <col min="14343" max="14343" width="14.6640625" style="270" customWidth="1"/>
    <col min="14344" max="14344" width="11.5" style="270"/>
    <col min="14345" max="14345" width="15" style="270" customWidth="1"/>
    <col min="14346" max="14346" width="11.5" style="270"/>
    <col min="14347" max="14347" width="18.33203125" style="270" bestFit="1" customWidth="1"/>
    <col min="14348" max="14594" width="11.5" style="270"/>
    <col min="14595" max="14595" width="16.33203125" style="270" customWidth="1"/>
    <col min="14596" max="14596" width="13.83203125" style="270" customWidth="1"/>
    <col min="14597" max="14597" width="13.1640625" style="270" customWidth="1"/>
    <col min="14598" max="14598" width="11.5" style="270"/>
    <col min="14599" max="14599" width="14.6640625" style="270" customWidth="1"/>
    <col min="14600" max="14600" width="11.5" style="270"/>
    <col min="14601" max="14601" width="15" style="270" customWidth="1"/>
    <col min="14602" max="14602" width="11.5" style="270"/>
    <col min="14603" max="14603" width="18.33203125" style="270" bestFit="1" customWidth="1"/>
    <col min="14604" max="14850" width="11.5" style="270"/>
    <col min="14851" max="14851" width="16.33203125" style="270" customWidth="1"/>
    <col min="14852" max="14852" width="13.83203125" style="270" customWidth="1"/>
    <col min="14853" max="14853" width="13.1640625" style="270" customWidth="1"/>
    <col min="14854" max="14854" width="11.5" style="270"/>
    <col min="14855" max="14855" width="14.6640625" style="270" customWidth="1"/>
    <col min="14856" max="14856" width="11.5" style="270"/>
    <col min="14857" max="14857" width="15" style="270" customWidth="1"/>
    <col min="14858" max="14858" width="11.5" style="270"/>
    <col min="14859" max="14859" width="18.33203125" style="270" bestFit="1" customWidth="1"/>
    <col min="14860" max="15106" width="11.5" style="270"/>
    <col min="15107" max="15107" width="16.33203125" style="270" customWidth="1"/>
    <col min="15108" max="15108" width="13.83203125" style="270" customWidth="1"/>
    <col min="15109" max="15109" width="13.1640625" style="270" customWidth="1"/>
    <col min="15110" max="15110" width="11.5" style="270"/>
    <col min="15111" max="15111" width="14.6640625" style="270" customWidth="1"/>
    <col min="15112" max="15112" width="11.5" style="270"/>
    <col min="15113" max="15113" width="15" style="270" customWidth="1"/>
    <col min="15114" max="15114" width="11.5" style="270"/>
    <col min="15115" max="15115" width="18.33203125" style="270" bestFit="1" customWidth="1"/>
    <col min="15116" max="15362" width="11.5" style="270"/>
    <col min="15363" max="15363" width="16.33203125" style="270" customWidth="1"/>
    <col min="15364" max="15364" width="13.83203125" style="270" customWidth="1"/>
    <col min="15365" max="15365" width="13.1640625" style="270" customWidth="1"/>
    <col min="15366" max="15366" width="11.5" style="270"/>
    <col min="15367" max="15367" width="14.6640625" style="270" customWidth="1"/>
    <col min="15368" max="15368" width="11.5" style="270"/>
    <col min="15369" max="15369" width="15" style="270" customWidth="1"/>
    <col min="15370" max="15370" width="11.5" style="270"/>
    <col min="15371" max="15371" width="18.33203125" style="270" bestFit="1" customWidth="1"/>
    <col min="15372" max="15618" width="11.5" style="270"/>
    <col min="15619" max="15619" width="16.33203125" style="270" customWidth="1"/>
    <col min="15620" max="15620" width="13.83203125" style="270" customWidth="1"/>
    <col min="15621" max="15621" width="13.1640625" style="270" customWidth="1"/>
    <col min="15622" max="15622" width="11.5" style="270"/>
    <col min="15623" max="15623" width="14.6640625" style="270" customWidth="1"/>
    <col min="15624" max="15624" width="11.5" style="270"/>
    <col min="15625" max="15625" width="15" style="270" customWidth="1"/>
    <col min="15626" max="15626" width="11.5" style="270"/>
    <col min="15627" max="15627" width="18.33203125" style="270" bestFit="1" customWidth="1"/>
    <col min="15628" max="15874" width="11.5" style="270"/>
    <col min="15875" max="15875" width="16.33203125" style="270" customWidth="1"/>
    <col min="15876" max="15876" width="13.83203125" style="270" customWidth="1"/>
    <col min="15877" max="15877" width="13.1640625" style="270" customWidth="1"/>
    <col min="15878" max="15878" width="11.5" style="270"/>
    <col min="15879" max="15879" width="14.6640625" style="270" customWidth="1"/>
    <col min="15880" max="15880" width="11.5" style="270"/>
    <col min="15881" max="15881" width="15" style="270" customWidth="1"/>
    <col min="15882" max="15882" width="11.5" style="270"/>
    <col min="15883" max="15883" width="18.33203125" style="270" bestFit="1" customWidth="1"/>
    <col min="15884" max="16130" width="11.5" style="270"/>
    <col min="16131" max="16131" width="16.33203125" style="270" customWidth="1"/>
    <col min="16132" max="16132" width="13.83203125" style="270" customWidth="1"/>
    <col min="16133" max="16133" width="13.1640625" style="270" customWidth="1"/>
    <col min="16134" max="16134" width="11.5" style="270"/>
    <col min="16135" max="16135" width="14.6640625" style="270" customWidth="1"/>
    <col min="16136" max="16136" width="11.5" style="270"/>
    <col min="16137" max="16137" width="15" style="270" customWidth="1"/>
    <col min="16138" max="16138" width="11.5" style="270"/>
    <col min="16139" max="16139" width="18.33203125" style="270" bestFit="1" customWidth="1"/>
    <col min="16140" max="16384" width="11.5" style="270"/>
  </cols>
  <sheetData>
    <row r="1" spans="1:10" customFormat="1" ht="21" customHeight="1" x14ac:dyDescent="0.15">
      <c r="A1" s="765" t="s">
        <v>527</v>
      </c>
      <c r="B1" s="765"/>
      <c r="C1" s="765"/>
      <c r="D1" s="765"/>
      <c r="E1" s="765"/>
      <c r="F1" s="765"/>
      <c r="G1" s="765"/>
      <c r="H1" s="765"/>
      <c r="I1" s="765"/>
    </row>
    <row r="2" spans="1:10" customFormat="1" ht="14.25" customHeight="1" x14ac:dyDescent="0.15">
      <c r="A2" s="798" t="s">
        <v>528</v>
      </c>
      <c r="B2" s="798"/>
      <c r="C2" s="798"/>
      <c r="D2" s="798"/>
      <c r="E2" s="798"/>
      <c r="F2" s="798"/>
      <c r="G2" s="798"/>
      <c r="H2" s="765"/>
      <c r="I2" s="765"/>
    </row>
    <row r="3" spans="1:10" customFormat="1" ht="14.25" customHeight="1" x14ac:dyDescent="0.15">
      <c r="A3" s="798" t="s">
        <v>529</v>
      </c>
      <c r="B3" s="798"/>
      <c r="C3" s="798"/>
      <c r="D3" s="798"/>
      <c r="E3" s="798"/>
      <c r="F3" s="798"/>
      <c r="G3" s="798"/>
      <c r="H3" s="765"/>
      <c r="I3" s="765"/>
    </row>
    <row r="4" spans="1:10" customFormat="1" ht="30.75" customHeight="1" x14ac:dyDescent="0.15">
      <c r="A4" s="768" t="s">
        <v>526</v>
      </c>
      <c r="B4" s="768"/>
      <c r="C4" s="768"/>
      <c r="D4" s="768"/>
      <c r="E4" s="768"/>
      <c r="F4" s="768"/>
      <c r="G4" s="768"/>
      <c r="H4" s="765"/>
      <c r="I4" s="765"/>
    </row>
    <row r="5" spans="1:10" customFormat="1" ht="16" x14ac:dyDescent="0.2">
      <c r="A5" s="1183" t="s">
        <v>522</v>
      </c>
      <c r="B5" s="1183"/>
      <c r="C5" s="1183"/>
      <c r="D5" s="1183"/>
      <c r="E5" s="1183"/>
      <c r="F5" s="1183"/>
      <c r="G5" s="1183"/>
      <c r="H5" s="1183"/>
      <c r="I5" s="1183"/>
      <c r="J5" s="85"/>
    </row>
    <row r="6" spans="1:10" x14ac:dyDescent="0.15">
      <c r="A6" s="1022"/>
      <c r="B6" s="1022"/>
      <c r="C6" s="1022"/>
      <c r="D6" s="1022"/>
      <c r="E6" s="1022"/>
      <c r="F6" s="1022"/>
      <c r="G6" s="1022"/>
      <c r="H6" s="1022"/>
      <c r="I6" s="1022"/>
      <c r="J6" s="269"/>
    </row>
    <row r="7" spans="1:10" x14ac:dyDescent="0.15">
      <c r="A7" s="271" t="s">
        <v>185</v>
      </c>
      <c r="B7" s="1195" t="s">
        <v>350</v>
      </c>
      <c r="C7" s="1195"/>
      <c r="D7" s="1195"/>
      <c r="E7" s="1195"/>
      <c r="F7" s="1195"/>
      <c r="G7" s="1195"/>
      <c r="H7" s="1195"/>
      <c r="I7" s="1195"/>
      <c r="J7" s="269"/>
    </row>
    <row r="8" spans="1:10" x14ac:dyDescent="0.15">
      <c r="A8" s="1215" t="s">
        <v>351</v>
      </c>
      <c r="B8" s="286" t="s">
        <v>352</v>
      </c>
      <c r="C8" s="286" t="s">
        <v>185</v>
      </c>
      <c r="D8" s="286" t="s">
        <v>247</v>
      </c>
      <c r="E8" s="286" t="s">
        <v>270</v>
      </c>
      <c r="F8" s="286" t="s">
        <v>271</v>
      </c>
      <c r="G8" s="286" t="s">
        <v>353</v>
      </c>
      <c r="H8" s="286" t="s">
        <v>354</v>
      </c>
      <c r="I8" s="286" t="s">
        <v>355</v>
      </c>
      <c r="J8" s="269"/>
    </row>
    <row r="9" spans="1:10" x14ac:dyDescent="0.15">
      <c r="A9" s="1216"/>
      <c r="B9" s="1196" t="s">
        <v>350</v>
      </c>
      <c r="C9" s="1196" t="s">
        <v>356</v>
      </c>
      <c r="D9" s="1196" t="s">
        <v>357</v>
      </c>
      <c r="E9" s="1196" t="s">
        <v>358</v>
      </c>
      <c r="F9" s="1196" t="s">
        <v>359</v>
      </c>
      <c r="G9" s="1196" t="s">
        <v>360</v>
      </c>
      <c r="H9" s="1196" t="s">
        <v>361</v>
      </c>
      <c r="I9" s="1196" t="s">
        <v>362</v>
      </c>
      <c r="J9" s="269"/>
    </row>
    <row r="10" spans="1:10" ht="23.25" customHeight="1" x14ac:dyDescent="0.15">
      <c r="A10" s="1217"/>
      <c r="B10" s="1196"/>
      <c r="C10" s="1196"/>
      <c r="D10" s="1196"/>
      <c r="E10" s="1196"/>
      <c r="F10" s="1196"/>
      <c r="G10" s="1196"/>
      <c r="H10" s="1196"/>
      <c r="I10" s="1196"/>
      <c r="J10" s="269"/>
    </row>
    <row r="11" spans="1:10" ht="13" x14ac:dyDescent="0.15">
      <c r="A11" s="272">
        <v>1</v>
      </c>
      <c r="B11" s="273" t="s">
        <v>417</v>
      </c>
      <c r="C11" s="274">
        <f>1050505*1.5</f>
        <v>1575757.5</v>
      </c>
      <c r="D11" s="274">
        <f t="shared" ref="D11" si="0">C11*A11</f>
        <v>1575757.5</v>
      </c>
      <c r="E11" s="272">
        <v>50</v>
      </c>
      <c r="F11" s="272">
        <v>1.75</v>
      </c>
      <c r="G11" s="274">
        <f t="shared" ref="G11" si="1">+D11*E11*F11/100</f>
        <v>1378787.8125</v>
      </c>
      <c r="H11" s="272">
        <v>1</v>
      </c>
      <c r="I11" s="274">
        <f t="shared" ref="I11" si="2">+G11*H11</f>
        <v>1378787.8125</v>
      </c>
      <c r="J11" s="269"/>
    </row>
    <row r="12" spans="1:10" x14ac:dyDescent="0.15">
      <c r="A12" s="1022"/>
      <c r="B12" s="1022"/>
      <c r="C12" s="1022"/>
      <c r="D12" s="1022"/>
      <c r="E12" s="1022"/>
      <c r="F12" s="1022"/>
      <c r="G12" s="1022"/>
      <c r="H12" s="1022"/>
      <c r="I12" s="1022"/>
      <c r="J12" s="269"/>
    </row>
    <row r="13" spans="1:10" x14ac:dyDescent="0.15">
      <c r="A13" s="272"/>
      <c r="B13" s="1193" t="s">
        <v>363</v>
      </c>
      <c r="C13" s="1193"/>
      <c r="D13" s="1193"/>
      <c r="E13" s="1193"/>
      <c r="F13" s="1193"/>
      <c r="G13" s="1193"/>
      <c r="H13" s="1193"/>
      <c r="I13" s="275">
        <f>SUM(I11:I11)</f>
        <v>1378787.8125</v>
      </c>
      <c r="J13" s="269"/>
    </row>
    <row r="14" spans="1:10" x14ac:dyDescent="0.15">
      <c r="A14" s="1022"/>
      <c r="B14" s="1022"/>
      <c r="C14" s="1022"/>
      <c r="D14" s="1022"/>
      <c r="E14" s="1022"/>
      <c r="F14" s="1022"/>
      <c r="G14" s="1022"/>
      <c r="H14" s="1022"/>
      <c r="I14" s="1022"/>
      <c r="J14" s="269"/>
    </row>
    <row r="15" spans="1:10" x14ac:dyDescent="0.15">
      <c r="B15" s="277"/>
      <c r="C15" s="277"/>
      <c r="D15" s="277"/>
      <c r="E15" s="277"/>
      <c r="F15" s="277"/>
      <c r="G15" s="277"/>
      <c r="H15" s="277"/>
      <c r="I15" s="277"/>
      <c r="J15" s="269"/>
    </row>
    <row r="16" spans="1:10" x14ac:dyDescent="0.15">
      <c r="B16" s="277"/>
      <c r="C16" s="277"/>
      <c r="D16" s="277"/>
      <c r="E16" s="277"/>
      <c r="F16" s="277"/>
      <c r="G16" s="278"/>
      <c r="H16" s="277"/>
      <c r="I16" s="277"/>
      <c r="J16" s="269"/>
    </row>
    <row r="17" spans="1:10" x14ac:dyDescent="0.15">
      <c r="B17" s="277"/>
      <c r="C17" s="277"/>
      <c r="D17" s="277"/>
      <c r="E17" s="277"/>
      <c r="F17" s="277"/>
      <c r="G17" s="277"/>
      <c r="H17" s="277"/>
      <c r="I17" s="279"/>
      <c r="J17" s="269"/>
    </row>
    <row r="18" spans="1:10" x14ac:dyDescent="0.15">
      <c r="B18" s="277"/>
      <c r="C18" s="277"/>
      <c r="D18" s="277"/>
      <c r="E18" s="277"/>
      <c r="F18" s="277"/>
      <c r="G18" s="277"/>
      <c r="H18" s="277"/>
      <c r="I18" s="280"/>
      <c r="J18" s="269"/>
    </row>
    <row r="19" spans="1:10" x14ac:dyDescent="0.15">
      <c r="B19" s="277"/>
      <c r="C19" s="277"/>
      <c r="D19" s="277"/>
      <c r="E19" s="277"/>
      <c r="F19" s="277"/>
      <c r="G19" s="277"/>
      <c r="H19" s="277"/>
      <c r="I19" s="277"/>
      <c r="J19" s="269"/>
    </row>
    <row r="20" spans="1:10" x14ac:dyDescent="0.15">
      <c r="B20" s="277"/>
      <c r="C20" s="277"/>
      <c r="D20" s="277"/>
      <c r="E20" s="277"/>
      <c r="F20" s="277"/>
      <c r="G20" s="277"/>
      <c r="H20" s="277"/>
      <c r="I20" s="281"/>
      <c r="J20" s="269"/>
    </row>
    <row r="21" spans="1:10" x14ac:dyDescent="0.15">
      <c r="B21" s="277"/>
      <c r="C21" s="277"/>
      <c r="D21" s="277"/>
      <c r="E21" s="277"/>
      <c r="F21" s="277"/>
      <c r="G21" s="277"/>
      <c r="H21" s="277"/>
      <c r="I21" s="282"/>
      <c r="J21" s="269"/>
    </row>
    <row r="22" spans="1:10" x14ac:dyDescent="0.15">
      <c r="B22" s="277"/>
      <c r="C22" s="277"/>
      <c r="D22" s="277"/>
      <c r="E22" s="277"/>
      <c r="F22" s="277"/>
      <c r="G22" s="277"/>
      <c r="H22" s="277"/>
      <c r="I22" s="280"/>
      <c r="J22" s="269"/>
    </row>
    <row r="23" spans="1:10" ht="14" x14ac:dyDescent="0.15">
      <c r="B23" s="102" t="s">
        <v>530</v>
      </c>
      <c r="C23" s="277"/>
      <c r="D23" s="277"/>
      <c r="E23" s="277"/>
      <c r="F23" s="277"/>
      <c r="G23" s="277"/>
      <c r="H23" s="277"/>
      <c r="I23" s="281"/>
      <c r="J23" s="269"/>
    </row>
    <row r="24" spans="1:10" customFormat="1" ht="16" x14ac:dyDescent="0.2">
      <c r="A24" s="82"/>
      <c r="B24" s="83" t="s">
        <v>531</v>
      </c>
      <c r="C24" s="283"/>
      <c r="D24" s="283"/>
      <c r="E24" s="283"/>
      <c r="F24" s="83"/>
      <c r="G24" s="284"/>
      <c r="H24" s="83"/>
      <c r="I24" s="106"/>
      <c r="J24" s="85"/>
    </row>
    <row r="25" spans="1:10" customFormat="1" ht="14" x14ac:dyDescent="0.15">
      <c r="A25" s="82"/>
      <c r="B25" s="83"/>
      <c r="C25" s="102"/>
      <c r="D25" s="102"/>
      <c r="E25" s="102"/>
      <c r="F25" s="83"/>
      <c r="G25" s="83"/>
      <c r="H25" s="83"/>
      <c r="I25" s="85"/>
      <c r="J25" s="85"/>
    </row>
    <row r="26" spans="1:10" x14ac:dyDescent="0.15">
      <c r="C26" s="277"/>
      <c r="D26" s="277"/>
      <c r="E26" s="277"/>
      <c r="F26" s="277"/>
      <c r="G26" s="277"/>
      <c r="H26" s="277"/>
      <c r="I26" s="278"/>
      <c r="J26" s="269"/>
    </row>
    <row r="27" spans="1:10" customFormat="1" ht="16" x14ac:dyDescent="0.2">
      <c r="A27" s="82"/>
      <c r="B27" s="283"/>
      <c r="C27" s="283"/>
      <c r="D27" s="283"/>
      <c r="E27" s="283"/>
      <c r="F27" s="83"/>
      <c r="G27" s="284"/>
      <c r="H27" s="83"/>
      <c r="I27" s="106"/>
      <c r="J27" s="85"/>
    </row>
    <row r="28" spans="1:10" customFormat="1" ht="14" x14ac:dyDescent="0.15">
      <c r="A28" s="82"/>
      <c r="B28" s="102"/>
      <c r="C28" s="102"/>
      <c r="D28" s="102"/>
      <c r="E28" s="102"/>
      <c r="F28" s="83"/>
      <c r="G28" s="83"/>
      <c r="H28" s="83"/>
      <c r="I28" s="85"/>
      <c r="J28" s="85"/>
    </row>
    <row r="29" spans="1:10" x14ac:dyDescent="0.15">
      <c r="B29" s="277"/>
      <c r="C29" s="277"/>
      <c r="D29" s="277"/>
      <c r="E29" s="277"/>
      <c r="F29" s="277"/>
      <c r="G29" s="277"/>
      <c r="H29" s="277"/>
      <c r="I29" s="277"/>
      <c r="J29" s="269"/>
    </row>
    <row r="30" spans="1:10" x14ac:dyDescent="0.15">
      <c r="B30" s="277"/>
      <c r="C30" s="277"/>
      <c r="D30" s="277"/>
      <c r="E30" s="277"/>
      <c r="F30" s="277"/>
      <c r="G30" s="277"/>
      <c r="H30" s="277"/>
      <c r="I30" s="277"/>
      <c r="J30" s="269"/>
    </row>
    <row r="31" spans="1:10" x14ac:dyDescent="0.15">
      <c r="B31" s="277"/>
      <c r="C31" s="277"/>
      <c r="D31" s="277"/>
      <c r="E31" s="277"/>
      <c r="F31" s="277"/>
      <c r="G31" s="277"/>
      <c r="H31" s="277"/>
      <c r="I31" s="277"/>
      <c r="J31" s="269"/>
    </row>
    <row r="32" spans="1:10" x14ac:dyDescent="0.15">
      <c r="B32" s="277"/>
      <c r="C32" s="285"/>
      <c r="D32" s="285"/>
      <c r="E32" s="277"/>
      <c r="F32" s="277"/>
      <c r="G32" s="277"/>
      <c r="H32" s="277"/>
      <c r="I32" s="277"/>
      <c r="J32" s="269"/>
    </row>
  </sheetData>
  <mergeCells count="20">
    <mergeCell ref="A1:G1"/>
    <mergeCell ref="H1:I4"/>
    <mergeCell ref="A2:G2"/>
    <mergeCell ref="A3:G3"/>
    <mergeCell ref="A4:G4"/>
    <mergeCell ref="A6:I6"/>
    <mergeCell ref="A5:I5"/>
    <mergeCell ref="B13:H13"/>
    <mergeCell ref="A14:I14"/>
    <mergeCell ref="B7:I7"/>
    <mergeCell ref="A8:A10"/>
    <mergeCell ref="B9:B10"/>
    <mergeCell ref="C9:C10"/>
    <mergeCell ref="D9:D10"/>
    <mergeCell ref="E9:E10"/>
    <mergeCell ref="F9:F10"/>
    <mergeCell ref="G9:G10"/>
    <mergeCell ref="H9:H10"/>
    <mergeCell ref="I9:I10"/>
    <mergeCell ref="A12:I12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25</vt:i4>
      </vt:variant>
      <vt:variant>
        <vt:lpstr>Rangos con nombre</vt:lpstr>
      </vt:variant>
      <vt:variant>
        <vt:i4>14</vt:i4>
      </vt:variant>
    </vt:vector>
  </HeadingPairs>
  <TitlesOfParts>
    <vt:vector size="39" baseType="lpstr">
      <vt:lpstr>PRESUPUESTO OBRA</vt:lpstr>
      <vt:lpstr>CANT. DE OBRA ADMON</vt:lpstr>
      <vt:lpstr>CANT. DE OBRA SIAU</vt:lpstr>
      <vt:lpstr>CANT. DE OBRA HOSPITAL GENERAL</vt:lpstr>
      <vt:lpstr>CANT. DE OBRA PALENQUITO </vt:lpstr>
      <vt:lpstr>CANT. DE OBRA CONCHITAS</vt:lpstr>
      <vt:lpstr>CANT. DE OBRA PUERTO LOPEZ</vt:lpstr>
      <vt:lpstr>CANT. DE OBRA SANTA COA</vt:lpstr>
      <vt:lpstr>APUS</vt:lpstr>
      <vt:lpstr>PRESUPUESTO ADMON</vt:lpstr>
      <vt:lpstr>FM ADMON</vt:lpstr>
      <vt:lpstr>CRONOGRAMA DE ACTIVIDADES</vt:lpstr>
      <vt:lpstr>CRONOGRAMA DE FLUJOS</vt:lpstr>
      <vt:lpstr>APU -BASICOS</vt:lpstr>
      <vt:lpstr>MANO DE OBRA</vt:lpstr>
      <vt:lpstr>MATERIALES</vt:lpstr>
      <vt:lpstr>HERRAMIENTAS Y EQUIPOS</vt:lpstr>
      <vt:lpstr>TRANSPORTE</vt:lpstr>
      <vt:lpstr>PRES INTERVENTORIA</vt:lpstr>
      <vt:lpstr>FM INTERVENTORIA</vt:lpstr>
      <vt:lpstr>Hoja1</vt:lpstr>
      <vt:lpstr>PMA</vt:lpstr>
      <vt:lpstr>PROFESIONAL PMA</vt:lpstr>
      <vt:lpstr>PROT. COVID 19</vt:lpstr>
      <vt:lpstr>PROFESIONAL SISO</vt:lpstr>
      <vt:lpstr>'APU -BASICOS'!Área_de_impresión</vt:lpstr>
      <vt:lpstr>APUS!Área_de_impresión</vt:lpstr>
      <vt:lpstr>'CANT. DE OBRA ADMON'!Área_de_impresión</vt:lpstr>
      <vt:lpstr>'CANT. DE OBRA CONCHITAS'!Área_de_impresión</vt:lpstr>
      <vt:lpstr>'CANT. DE OBRA HOSPITAL GENERAL'!Área_de_impresión</vt:lpstr>
      <vt:lpstr>'CANT. DE OBRA PALENQUITO '!Área_de_impresión</vt:lpstr>
      <vt:lpstr>'CANT. DE OBRA PUERTO LOPEZ'!Área_de_impresión</vt:lpstr>
      <vt:lpstr>'CANT. DE OBRA SANTA COA'!Área_de_impresión</vt:lpstr>
      <vt:lpstr>'CANT. DE OBRA SIAU'!Área_de_impresión</vt:lpstr>
      <vt:lpstr>'MANO DE OBRA'!Área_de_impresión</vt:lpstr>
      <vt:lpstr>MATERIALES!Área_de_impresión</vt:lpstr>
      <vt:lpstr>'PRESUPUESTO OBRA'!Área_de_impresión</vt:lpstr>
      <vt:lpstr>'PROT. COVID 19'!Área_de_impresión</vt:lpstr>
      <vt:lpstr>TRANSPORTE!Área_de_impresión</vt:lpstr>
    </vt:vector>
  </TitlesOfParts>
  <Company>mm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PRESUPUESTO MAHATES</dc:title>
  <dc:creator>DANIEL ALEJANDRO RIOS GALVIS</dc:creator>
  <cp:lastModifiedBy>Microsoft Office User</cp:lastModifiedBy>
  <cp:lastPrinted>2023-06-08T15:18:23Z</cp:lastPrinted>
  <dcterms:created xsi:type="dcterms:W3CDTF">2002-11-29T20:46:23Z</dcterms:created>
  <dcterms:modified xsi:type="dcterms:W3CDTF">2023-07-27T01:04:45Z</dcterms:modified>
</cp:coreProperties>
</file>