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19"/>
  <workbookPr defaultThemeVersion="166925"/>
  <mc:AlternateContent xmlns:mc="http://schemas.openxmlformats.org/markup-compatibility/2006">
    <mc:Choice Requires="x15">
      <x15ac:absPath xmlns:x15ac="http://schemas.microsoft.com/office/spreadsheetml/2010/11/ac" url="https://creddi-my.sharepoint.com/personal/acastro_reddicolombia_com/Documents/REDDI/10.2. FUSIÓNi3 Valle/1. PRE-EJECUCIÓN/"/>
    </mc:Choice>
  </mc:AlternateContent>
  <xr:revisionPtr revIDLastSave="650" documentId="13_ncr:1_{AC0E4F25-92D3-4EE3-BEAC-3D7E38785A0A}" xr6:coauthVersionLast="47" xr6:coauthVersionMax="47" xr10:uidLastSave="{AC12B31C-B3B7-49CC-B3B9-95913DF1B36D}"/>
  <bookViews>
    <workbookView xWindow="-120" yWindow="-120" windowWidth="20730" windowHeight="11040" tabRatio="824" firstSheet="7" activeTab="6" xr2:uid="{883E01AC-3871-4366-9DA1-9B5880DC7AAB}"/>
  </bookViews>
  <sheets>
    <sheet name="INSTRUCCIONES" sheetId="8" r:id="rId1"/>
    <sheet name="PROYECTO" sheetId="1" r:id="rId2"/>
    <sheet name="CONTROL DE AJUSTES" sheetId="6" r:id="rId3"/>
    <sheet name="CONTROL DE CAMBIOS POA" sheetId="11" r:id="rId4"/>
    <sheet name="PRODUCTOS MGA" sheetId="2" r:id="rId5"/>
    <sheet name="ACTIVIDADES MGA" sheetId="3" r:id="rId6"/>
    <sheet name="POA TÉCNICO" sheetId="5" r:id="rId7"/>
    <sheet name="POA FINAN" sheetId="9" r:id="rId8"/>
    <sheet name="METODOLOGÍA" sheetId="10" r:id="rId9"/>
    <sheet name="DIRECTORIO" sheetId="7" r:id="rId10"/>
    <sheet name="PARAMETRIZACIÓN" sheetId="14" r:id="rId11"/>
  </sheets>
  <externalReferences>
    <externalReference r:id="rId12"/>
    <externalReference r:id="rId13"/>
    <externalReference r:id="rId14"/>
  </externalReferences>
  <definedNames>
    <definedName name="modificaciones">[1]Listas!$D$61:$D$64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5" l="1"/>
  <c r="O14" i="3"/>
  <c r="P14" i="3" s="1"/>
  <c r="AF32" i="9"/>
  <c r="I32" i="9"/>
  <c r="AF31" i="9"/>
  <c r="AL31" i="9"/>
  <c r="S28" i="9"/>
  <c r="S27" i="9" s="1"/>
  <c r="I28" i="9"/>
  <c r="I27" i="9" s="1"/>
  <c r="O22" i="9"/>
  <c r="I22" i="9"/>
  <c r="R18" i="9"/>
  <c r="I18" i="9"/>
  <c r="X21" i="9"/>
  <c r="U21" i="9"/>
  <c r="AM26" i="9" l="1"/>
  <c r="AM34" i="9" l="1"/>
  <c r="AM33" i="9"/>
  <c r="AM31" i="9"/>
  <c r="AM30" i="9" s="1"/>
  <c r="AM17" i="9"/>
  <c r="AM16" i="9"/>
  <c r="AM15" i="9"/>
  <c r="AM14" i="9"/>
  <c r="AM13" i="9"/>
  <c r="AM12" i="9"/>
  <c r="AM11" i="9"/>
  <c r="AM10" i="9"/>
  <c r="I34" i="9"/>
  <c r="H34" i="9" s="1"/>
  <c r="I33" i="9"/>
  <c r="I31" i="9"/>
  <c r="I26" i="9"/>
  <c r="H26" i="9" s="1"/>
  <c r="I17" i="9"/>
  <c r="I16" i="9"/>
  <c r="H16" i="9" s="1"/>
  <c r="I15" i="9"/>
  <c r="H15" i="9" s="1"/>
  <c r="I14" i="9"/>
  <c r="H14" i="9" s="1"/>
  <c r="I13" i="9"/>
  <c r="H13" i="9" s="1"/>
  <c r="I12" i="9"/>
  <c r="H12" i="9" s="1"/>
  <c r="I11" i="9"/>
  <c r="H11" i="9" s="1"/>
  <c r="I10" i="9"/>
  <c r="H10" i="9" s="1"/>
  <c r="AM35" i="9" l="1"/>
  <c r="I30" i="9"/>
  <c r="AP38" i="5"/>
  <c r="AP41" i="5"/>
  <c r="K11" i="5"/>
  <c r="M3" i="3" l="1"/>
  <c r="M16" i="3"/>
  <c r="N3" i="3" l="1"/>
  <c r="Q3" i="3" s="1"/>
  <c r="S3" i="3" s="1"/>
  <c r="O20" i="3" l="1"/>
  <c r="O15" i="3"/>
  <c r="O13" i="3"/>
  <c r="O12" i="3"/>
  <c r="O11" i="3"/>
  <c r="P11" i="3" s="1"/>
  <c r="J17" i="9" l="1"/>
  <c r="K17" i="9"/>
  <c r="L17" i="9"/>
  <c r="M17" i="9"/>
  <c r="N17" i="9"/>
  <c r="O17" i="9"/>
  <c r="P17" i="9"/>
  <c r="Q17" i="9"/>
  <c r="R17" i="9"/>
  <c r="S17" i="9"/>
  <c r="T17" i="9"/>
  <c r="U17" i="9"/>
  <c r="V17" i="9"/>
  <c r="W17" i="9"/>
  <c r="X17" i="9"/>
  <c r="Y17" i="9"/>
  <c r="Z17" i="9"/>
  <c r="AA17" i="9"/>
  <c r="AB17" i="9"/>
  <c r="AC17" i="9"/>
  <c r="AD17" i="9"/>
  <c r="AE17" i="9"/>
  <c r="AF17" i="9"/>
  <c r="AG17" i="9"/>
  <c r="AH17" i="9"/>
  <c r="AI17" i="9"/>
  <c r="AJ17" i="9"/>
  <c r="AK17" i="9"/>
  <c r="AL17" i="9"/>
  <c r="AG29" i="9"/>
  <c r="Y29" i="9"/>
  <c r="X29" i="9"/>
  <c r="W29" i="9"/>
  <c r="U29" i="9"/>
  <c r="T29" i="9"/>
  <c r="S29" i="9"/>
  <c r="R29" i="9"/>
  <c r="P29" i="9"/>
  <c r="K29" i="9"/>
  <c r="AJ29" i="9"/>
  <c r="AI29" i="9"/>
  <c r="AH29" i="9"/>
  <c r="AF29" i="9"/>
  <c r="AE29" i="9"/>
  <c r="AD29" i="9"/>
  <c r="AC29" i="9"/>
  <c r="AB29" i="9"/>
  <c r="AA29" i="9"/>
  <c r="Z29" i="9"/>
  <c r="V29" i="9"/>
  <c r="Q29" i="9"/>
  <c r="O29" i="9"/>
  <c r="N29" i="9"/>
  <c r="M29" i="9"/>
  <c r="L29" i="9"/>
  <c r="J29" i="9"/>
  <c r="H29" i="9" s="1"/>
  <c r="R28" i="9"/>
  <c r="R27" i="9" s="1"/>
  <c r="Q28" i="9"/>
  <c r="Q27" i="9" s="1"/>
  <c r="P28" i="9"/>
  <c r="P27" i="9" s="1"/>
  <c r="O28" i="9"/>
  <c r="O27" i="9" s="1"/>
  <c r="N28" i="9"/>
  <c r="N27" i="9" s="1"/>
  <c r="M28" i="9"/>
  <c r="M27" i="9" s="1"/>
  <c r="L28" i="9"/>
  <c r="L27" i="9" s="1"/>
  <c r="K28" i="9"/>
  <c r="K27" i="9" s="1"/>
  <c r="J28" i="9"/>
  <c r="AJ25" i="9"/>
  <c r="AI25" i="9"/>
  <c r="AH25" i="9"/>
  <c r="AG25" i="9"/>
  <c r="AF25" i="9"/>
  <c r="AE25" i="9"/>
  <c r="AD25" i="9"/>
  <c r="AC25" i="9"/>
  <c r="AB25" i="9"/>
  <c r="AA25" i="9"/>
  <c r="Z25" i="9"/>
  <c r="Y25" i="9"/>
  <c r="X25" i="9"/>
  <c r="W25" i="9"/>
  <c r="V25" i="9"/>
  <c r="U25" i="9"/>
  <c r="T25" i="9"/>
  <c r="S25" i="9"/>
  <c r="R25" i="9"/>
  <c r="Q25" i="9"/>
  <c r="P25" i="9"/>
  <c r="O25" i="9"/>
  <c r="N25" i="9"/>
  <c r="M25" i="9"/>
  <c r="H25" i="9" s="1"/>
  <c r="AL24" i="9"/>
  <c r="AK24" i="9"/>
  <c r="AJ24" i="9"/>
  <c r="AI24" i="9"/>
  <c r="AH24" i="9"/>
  <c r="AG24" i="9"/>
  <c r="AF24" i="9"/>
  <c r="AE24" i="9"/>
  <c r="AD24" i="9"/>
  <c r="AC24" i="9"/>
  <c r="AB24" i="9"/>
  <c r="AA24" i="9"/>
  <c r="Z24" i="9"/>
  <c r="Y24" i="9"/>
  <c r="X24" i="9"/>
  <c r="W24" i="9"/>
  <c r="V24" i="9"/>
  <c r="U24" i="9"/>
  <c r="T24" i="9"/>
  <c r="S24" i="9"/>
  <c r="R24" i="9"/>
  <c r="Q24" i="9"/>
  <c r="H24" i="9" s="1"/>
  <c r="AH23" i="9"/>
  <c r="AG23" i="9"/>
  <c r="AF23" i="9"/>
  <c r="AE23" i="9"/>
  <c r="AD23" i="9"/>
  <c r="AC23" i="9"/>
  <c r="AB23" i="9"/>
  <c r="AA23" i="9"/>
  <c r="Z23" i="9"/>
  <c r="Y23" i="9"/>
  <c r="X23" i="9"/>
  <c r="W23" i="9"/>
  <c r="V23" i="9"/>
  <c r="U23" i="9"/>
  <c r="T23" i="9"/>
  <c r="S23" i="9"/>
  <c r="R23" i="9"/>
  <c r="Q23" i="9"/>
  <c r="P23" i="9"/>
  <c r="O23" i="9"/>
  <c r="N23" i="9"/>
  <c r="H23" i="9" s="1"/>
  <c r="N22" i="9"/>
  <c r="M22" i="9"/>
  <c r="L22" i="9"/>
  <c r="K22" i="9"/>
  <c r="J22" i="9"/>
  <c r="H22" i="9" s="1"/>
  <c r="W21" i="9"/>
  <c r="V21" i="9"/>
  <c r="S21" i="9"/>
  <c r="T21" i="9"/>
  <c r="U20" i="9"/>
  <c r="P20" i="9"/>
  <c r="K20" i="9"/>
  <c r="T20" i="9"/>
  <c r="S20" i="9"/>
  <c r="R20" i="9"/>
  <c r="Q20" i="9"/>
  <c r="O20" i="9"/>
  <c r="N20" i="9"/>
  <c r="M20" i="9"/>
  <c r="L20" i="9"/>
  <c r="J20" i="9"/>
  <c r="H20" i="9" s="1"/>
  <c r="R19" i="9"/>
  <c r="Q19" i="9"/>
  <c r="P19" i="9"/>
  <c r="O19" i="9"/>
  <c r="N19" i="9"/>
  <c r="L19" i="9"/>
  <c r="M19" i="9"/>
  <c r="M18" i="9"/>
  <c r="N18" i="9"/>
  <c r="O18" i="9"/>
  <c r="P18" i="9"/>
  <c r="Q18" i="9"/>
  <c r="L18" i="9"/>
  <c r="K18" i="9"/>
  <c r="J18" i="9"/>
  <c r="H18" i="9" s="1"/>
  <c r="AL33" i="9"/>
  <c r="AK33" i="9"/>
  <c r="AJ33" i="9"/>
  <c r="AI33" i="9"/>
  <c r="AH33" i="9"/>
  <c r="AG33" i="9"/>
  <c r="AF33" i="9"/>
  <c r="AE33" i="9"/>
  <c r="AD33" i="9"/>
  <c r="AC33" i="9"/>
  <c r="AB33" i="9"/>
  <c r="AA33" i="9"/>
  <c r="Z33" i="9"/>
  <c r="Y33" i="9"/>
  <c r="X33" i="9"/>
  <c r="W33" i="9"/>
  <c r="V33" i="9"/>
  <c r="U33" i="9"/>
  <c r="T33" i="9"/>
  <c r="S33" i="9"/>
  <c r="R33" i="9"/>
  <c r="Q33" i="9"/>
  <c r="P33" i="9"/>
  <c r="O33" i="9"/>
  <c r="N33" i="9"/>
  <c r="M33" i="9"/>
  <c r="L33" i="9"/>
  <c r="K33" i="9"/>
  <c r="J33" i="9"/>
  <c r="H33" i="9" s="1"/>
  <c r="T32" i="9"/>
  <c r="S32" i="9"/>
  <c r="R32" i="9"/>
  <c r="Q32" i="9"/>
  <c r="P32" i="9"/>
  <c r="O32" i="9"/>
  <c r="N32" i="9"/>
  <c r="M32" i="9"/>
  <c r="L32" i="9"/>
  <c r="K32" i="9"/>
  <c r="J32" i="9"/>
  <c r="AE32" i="9"/>
  <c r="AD32" i="9"/>
  <c r="AC32" i="9"/>
  <c r="AB32" i="9"/>
  <c r="AA32" i="9"/>
  <c r="Z32" i="9"/>
  <c r="Y32" i="9"/>
  <c r="X32" i="9"/>
  <c r="W32" i="9"/>
  <c r="V32" i="9"/>
  <c r="U32" i="9"/>
  <c r="T31" i="9"/>
  <c r="S31" i="9"/>
  <c r="R31" i="9"/>
  <c r="Q31" i="9"/>
  <c r="P31" i="9"/>
  <c r="O31" i="9"/>
  <c r="N31" i="9"/>
  <c r="M31" i="9"/>
  <c r="L31" i="9"/>
  <c r="K31" i="9"/>
  <c r="J31" i="9"/>
  <c r="AE31" i="9"/>
  <c r="AD31" i="9"/>
  <c r="AC31" i="9"/>
  <c r="AB31" i="9"/>
  <c r="AA31" i="9"/>
  <c r="Z31" i="9"/>
  <c r="Y31" i="9"/>
  <c r="X31" i="9"/>
  <c r="W31" i="9"/>
  <c r="V31" i="9"/>
  <c r="U31" i="9"/>
  <c r="AK31" i="9"/>
  <c r="AJ31" i="9"/>
  <c r="AI31" i="9"/>
  <c r="AH31" i="9"/>
  <c r="AG31" i="9"/>
  <c r="H31" i="9" l="1"/>
  <c r="H32" i="9"/>
  <c r="K28" i="5"/>
  <c r="K29" i="5"/>
  <c r="K34" i="5"/>
  <c r="K33" i="5"/>
  <c r="H19" i="9"/>
  <c r="H21" i="9"/>
  <c r="J27" i="9"/>
  <c r="H27" i="9" s="1"/>
  <c r="H28" i="9"/>
  <c r="H17" i="9"/>
  <c r="AL30" i="9"/>
  <c r="AL35" i="9" s="1"/>
  <c r="AK30" i="9"/>
  <c r="AK35" i="9" s="1"/>
  <c r="AJ30" i="9"/>
  <c r="AJ35" i="9" s="1"/>
  <c r="AI30" i="9"/>
  <c r="AI35" i="9" s="1"/>
  <c r="AH30" i="9"/>
  <c r="AH35" i="9" s="1"/>
  <c r="AG30" i="9"/>
  <c r="AG35" i="9" s="1"/>
  <c r="AF30" i="9"/>
  <c r="AF35" i="9" s="1"/>
  <c r="AE30" i="9"/>
  <c r="AE35" i="9" s="1"/>
  <c r="AD30" i="9"/>
  <c r="AD35" i="9" s="1"/>
  <c r="AC30" i="9"/>
  <c r="AC35" i="9" s="1"/>
  <c r="AB30" i="9"/>
  <c r="AB35" i="9" s="1"/>
  <c r="AA30" i="9"/>
  <c r="AA35" i="9" s="1"/>
  <c r="Z30" i="9"/>
  <c r="Z35" i="9" s="1"/>
  <c r="Y30" i="9"/>
  <c r="Y35" i="9" s="1"/>
  <c r="X30" i="9"/>
  <c r="X35" i="9" s="1"/>
  <c r="W30" i="9"/>
  <c r="W35" i="9" s="1"/>
  <c r="V30" i="9"/>
  <c r="V35" i="9" s="1"/>
  <c r="U30" i="9"/>
  <c r="U35" i="9" s="1"/>
  <c r="T30" i="9"/>
  <c r="T35" i="9" s="1"/>
  <c r="S30" i="9"/>
  <c r="S35" i="9" s="1"/>
  <c r="R30" i="9"/>
  <c r="R35" i="9" s="1"/>
  <c r="Q30" i="9"/>
  <c r="Q35" i="9" s="1"/>
  <c r="P30" i="9"/>
  <c r="P35" i="9" s="1"/>
  <c r="O30" i="9"/>
  <c r="O35" i="9" s="1"/>
  <c r="N30" i="9"/>
  <c r="N35" i="9" s="1"/>
  <c r="M30" i="9"/>
  <c r="M35" i="9" s="1"/>
  <c r="L30" i="9"/>
  <c r="L35" i="9" s="1"/>
  <c r="K30" i="9"/>
  <c r="K35" i="9" s="1"/>
  <c r="J30" i="9"/>
  <c r="E32" i="9"/>
  <c r="E33" i="9"/>
  <c r="C31" i="9"/>
  <c r="C32" i="9"/>
  <c r="C33" i="9"/>
  <c r="K32" i="5"/>
  <c r="K31" i="5"/>
  <c r="J34" i="5"/>
  <c r="G33" i="9" s="1"/>
  <c r="J32" i="5"/>
  <c r="G31" i="9" s="1"/>
  <c r="I34" i="5"/>
  <c r="F33" i="9" s="1"/>
  <c r="I33" i="5"/>
  <c r="F32" i="9" s="1"/>
  <c r="I32" i="5"/>
  <c r="F31" i="9" s="1"/>
  <c r="B34" i="5"/>
  <c r="B33" i="5"/>
  <c r="B33" i="9" s="1"/>
  <c r="A34" i="5"/>
  <c r="A33" i="5"/>
  <c r="B32" i="5"/>
  <c r="B32" i="9" s="1"/>
  <c r="A32" i="5"/>
  <c r="E31" i="9"/>
  <c r="AP35" i="9"/>
  <c r="AQ35" i="9"/>
  <c r="AR35" i="9"/>
  <c r="AS35" i="9"/>
  <c r="AT35" i="9"/>
  <c r="AU35" i="9"/>
  <c r="AV35" i="9"/>
  <c r="AW35" i="9"/>
  <c r="AX35" i="9"/>
  <c r="AY35" i="9"/>
  <c r="AZ35" i="9"/>
  <c r="BA35" i="9"/>
  <c r="BB35" i="9"/>
  <c r="BC35" i="9"/>
  <c r="BD35" i="9"/>
  <c r="BE35" i="9"/>
  <c r="BF35" i="9"/>
  <c r="BG35" i="9"/>
  <c r="BH35" i="9"/>
  <c r="BI35" i="9"/>
  <c r="BJ35" i="9"/>
  <c r="BK35" i="9"/>
  <c r="BL35" i="9"/>
  <c r="BM35" i="9"/>
  <c r="BN35" i="9"/>
  <c r="BO35" i="9"/>
  <c r="BP35" i="9"/>
  <c r="BQ35" i="9"/>
  <c r="BR35" i="9"/>
  <c r="AO35" i="9"/>
  <c r="AN17" i="9"/>
  <c r="AN11" i="9"/>
  <c r="AN12" i="9"/>
  <c r="AN13" i="9"/>
  <c r="AN14" i="9"/>
  <c r="AN15" i="9"/>
  <c r="AN16" i="9"/>
  <c r="AN18" i="9"/>
  <c r="AN19" i="9"/>
  <c r="AN20" i="9"/>
  <c r="AN21" i="9"/>
  <c r="AN22" i="9"/>
  <c r="AN23" i="9"/>
  <c r="AN24" i="9"/>
  <c r="AN25" i="9"/>
  <c r="AN26" i="9"/>
  <c r="AN27" i="9"/>
  <c r="AN29" i="9"/>
  <c r="AN30" i="9"/>
  <c r="AN34" i="9"/>
  <c r="AN10" i="9"/>
  <c r="H30" i="9" l="1"/>
  <c r="J35" i="9"/>
  <c r="AI39" i="9"/>
  <c r="J40" i="9"/>
  <c r="K40" i="9"/>
  <c r="L40" i="9"/>
  <c r="M40" i="9"/>
  <c r="N40" i="9"/>
  <c r="O40" i="9"/>
  <c r="P40" i="9"/>
  <c r="Q40" i="9"/>
  <c r="R40" i="9"/>
  <c r="S40" i="9"/>
  <c r="T40" i="9"/>
  <c r="U40" i="9"/>
  <c r="V40" i="9"/>
  <c r="W40" i="9"/>
  <c r="X40" i="9"/>
  <c r="Y40" i="9"/>
  <c r="Z40" i="9"/>
  <c r="AA40" i="9"/>
  <c r="AB40" i="9"/>
  <c r="AC40" i="9"/>
  <c r="AD40" i="9"/>
  <c r="AE40" i="9"/>
  <c r="AF40" i="9"/>
  <c r="AG40" i="9"/>
  <c r="AH40" i="9"/>
  <c r="AI40" i="9"/>
  <c r="AJ40" i="9"/>
  <c r="AK40" i="9"/>
  <c r="AL40" i="9"/>
  <c r="AA39" i="9"/>
  <c r="AA43" i="9" s="1"/>
  <c r="AB39" i="9"/>
  <c r="AB43" i="9" s="1"/>
  <c r="AC39" i="9"/>
  <c r="AD39" i="9"/>
  <c r="AD43" i="9" s="1"/>
  <c r="AE39" i="9"/>
  <c r="AE43" i="9" s="1"/>
  <c r="AF39" i="9"/>
  <c r="AF43" i="9" s="1"/>
  <c r="AG39" i="9"/>
  <c r="AH39" i="9"/>
  <c r="AH43" i="9" s="1"/>
  <c r="AJ39" i="9"/>
  <c r="AK39" i="9"/>
  <c r="AL39" i="9"/>
  <c r="E11" i="9"/>
  <c r="E12" i="9"/>
  <c r="E13" i="9"/>
  <c r="E14" i="9"/>
  <c r="E15" i="9"/>
  <c r="E16" i="9"/>
  <c r="E17" i="9"/>
  <c r="E18" i="9"/>
  <c r="E19" i="9"/>
  <c r="E20" i="9"/>
  <c r="E21" i="9"/>
  <c r="E22" i="9"/>
  <c r="E23" i="9"/>
  <c r="E24" i="9"/>
  <c r="E25" i="9"/>
  <c r="E26" i="9"/>
  <c r="E27" i="9"/>
  <c r="E29" i="9"/>
  <c r="E30" i="9"/>
  <c r="E34" i="9"/>
  <c r="E10" i="9"/>
  <c r="C11" i="9"/>
  <c r="C12" i="9"/>
  <c r="C13" i="9"/>
  <c r="C14" i="9"/>
  <c r="C15" i="9"/>
  <c r="C16" i="9"/>
  <c r="C17" i="9"/>
  <c r="A24" i="9"/>
  <c r="A25" i="9"/>
  <c r="A26" i="9"/>
  <c r="A27" i="9"/>
  <c r="A29" i="9"/>
  <c r="A30" i="9"/>
  <c r="A34" i="9"/>
  <c r="K30" i="5"/>
  <c r="K26" i="5"/>
  <c r="K25" i="5"/>
  <c r="K27" i="5" l="1"/>
  <c r="K35" i="5"/>
  <c r="AJ43" i="9"/>
  <c r="AI43" i="9"/>
  <c r="AL43" i="9"/>
  <c r="AK43" i="9"/>
  <c r="AG43" i="9"/>
  <c r="AC43" i="9"/>
  <c r="AN35" i="9"/>
  <c r="K24" i="5" l="1"/>
  <c r="K22" i="5" l="1"/>
  <c r="K21" i="5"/>
  <c r="K20" i="5"/>
  <c r="AQ20" i="5"/>
  <c r="AQ21" i="5"/>
  <c r="AQ22" i="5"/>
  <c r="AQ23" i="5"/>
  <c r="AQ24" i="5"/>
  <c r="AQ25" i="5"/>
  <c r="AQ26" i="5"/>
  <c r="AQ27" i="5"/>
  <c r="AQ28" i="5"/>
  <c r="AQ30" i="5"/>
  <c r="AQ31" i="5"/>
  <c r="AQ35" i="5"/>
  <c r="AQ12" i="5"/>
  <c r="AQ13" i="5"/>
  <c r="AQ14" i="5"/>
  <c r="AQ15" i="5"/>
  <c r="AQ16" i="5"/>
  <c r="AQ17" i="5"/>
  <c r="AQ18" i="5"/>
  <c r="I12" i="5"/>
  <c r="F11" i="9" s="1"/>
  <c r="I13" i="5"/>
  <c r="F12" i="9" s="1"/>
  <c r="I14" i="5"/>
  <c r="F13" i="9" s="1"/>
  <c r="I15" i="5"/>
  <c r="F14" i="9" s="1"/>
  <c r="I16" i="5"/>
  <c r="F15" i="9" s="1"/>
  <c r="I17" i="5"/>
  <c r="F16" i="9" s="1"/>
  <c r="I18" i="5"/>
  <c r="F17" i="9" s="1"/>
  <c r="I11" i="5"/>
  <c r="F10" i="9" s="1"/>
  <c r="J19" i="5"/>
  <c r="G18" i="9" s="1"/>
  <c r="J12" i="5"/>
  <c r="J13" i="5"/>
  <c r="J14" i="5"/>
  <c r="J15" i="5"/>
  <c r="J16" i="5"/>
  <c r="J17" i="5"/>
  <c r="J18" i="5"/>
  <c r="J11" i="5"/>
  <c r="G10" i="9" s="1"/>
  <c r="BK36" i="5"/>
  <c r="AD38" i="5" s="1"/>
  <c r="BL36" i="5"/>
  <c r="AE38" i="5" s="1"/>
  <c r="BM36" i="5"/>
  <c r="AF38" i="5" s="1"/>
  <c r="BN36" i="5"/>
  <c r="AG38" i="5" s="1"/>
  <c r="BO36" i="5"/>
  <c r="AH38" i="5" s="1"/>
  <c r="BP36" i="5"/>
  <c r="AI38" i="5" s="1"/>
  <c r="BQ36" i="5"/>
  <c r="AJ38" i="5" s="1"/>
  <c r="BR36" i="5"/>
  <c r="AK38" i="5" s="1"/>
  <c r="BS36" i="5"/>
  <c r="AL38" i="5" s="1"/>
  <c r="BT36" i="5"/>
  <c r="AM38" i="5" s="1"/>
  <c r="BU36" i="5"/>
  <c r="AN38" i="5" s="1"/>
  <c r="BV36" i="5"/>
  <c r="AO38" i="5" s="1"/>
  <c r="AO41" i="5" s="1"/>
  <c r="AQ11" i="5"/>
  <c r="BK9" i="5"/>
  <c r="BK10" i="5" s="1"/>
  <c r="BL9" i="5"/>
  <c r="BL10" i="5" s="1"/>
  <c r="BM9" i="5"/>
  <c r="BM10" i="5" s="1"/>
  <c r="BN9" i="5"/>
  <c r="BN10" i="5" s="1"/>
  <c r="BO9" i="5"/>
  <c r="BO10" i="5" s="1"/>
  <c r="BP9" i="5"/>
  <c r="BP10" i="5" s="1"/>
  <c r="BQ9" i="5"/>
  <c r="BQ10" i="5" s="1"/>
  <c r="BR9" i="5"/>
  <c r="BR10" i="5" s="1"/>
  <c r="BS9" i="5"/>
  <c r="BS10" i="5" s="1"/>
  <c r="BT9" i="5"/>
  <c r="BT10" i="5" s="1"/>
  <c r="BU9" i="5"/>
  <c r="BU10" i="5" s="1"/>
  <c r="BV9" i="5"/>
  <c r="BV10" i="5" s="1"/>
  <c r="AR26" i="5"/>
  <c r="AR31" i="5"/>
  <c r="AD10" i="5"/>
  <c r="AE10" i="5"/>
  <c r="AF10" i="5"/>
  <c r="AG10" i="5"/>
  <c r="AH10" i="5"/>
  <c r="AI10" i="5"/>
  <c r="AJ10" i="5"/>
  <c r="AK10" i="5"/>
  <c r="AL10" i="5"/>
  <c r="AM10" i="5"/>
  <c r="AN10" i="5"/>
  <c r="AO10" i="5"/>
  <c r="O10" i="5"/>
  <c r="P10" i="5"/>
  <c r="AR20" i="5" l="1"/>
  <c r="AN41" i="5"/>
  <c r="AM41" i="5"/>
  <c r="AL41" i="5"/>
  <c r="AK41" i="5"/>
  <c r="AJ41" i="5"/>
  <c r="AI41" i="5"/>
  <c r="AH41" i="5"/>
  <c r="AG41" i="5"/>
  <c r="AF41" i="5"/>
  <c r="AE41" i="5"/>
  <c r="AD41" i="5"/>
  <c r="K19" i="5"/>
  <c r="K23" i="5"/>
  <c r="AR23" i="5"/>
  <c r="AR30" i="5"/>
  <c r="AR25" i="5"/>
  <c r="AR28" i="5"/>
  <c r="AR24" i="5"/>
  <c r="AR27" i="5"/>
  <c r="AR21" i="5"/>
  <c r="AR22" i="5"/>
  <c r="G17" i="9"/>
  <c r="G16" i="9"/>
  <c r="G15" i="9"/>
  <c r="G14" i="9"/>
  <c r="G13" i="9"/>
  <c r="G12" i="9"/>
  <c r="G11" i="9"/>
  <c r="AR35" i="5"/>
  <c r="AO36" i="5" l="1"/>
  <c r="AO37" i="5" s="1"/>
  <c r="AN36" i="5"/>
  <c r="AN37" i="5" s="1"/>
  <c r="AM36" i="5"/>
  <c r="AM37" i="5" s="1"/>
  <c r="AL36" i="5"/>
  <c r="AL37" i="5" s="1"/>
  <c r="AK36" i="5"/>
  <c r="AK37" i="5" s="1"/>
  <c r="AJ36" i="5"/>
  <c r="AJ37" i="5" s="1"/>
  <c r="AI36" i="5"/>
  <c r="AI37" i="5" s="1"/>
  <c r="AH36" i="5"/>
  <c r="AH37" i="5" s="1"/>
  <c r="AG36" i="5"/>
  <c r="AG37" i="5" s="1"/>
  <c r="AF36" i="5"/>
  <c r="AF37" i="5" s="1"/>
  <c r="AE36" i="5"/>
  <c r="AE37" i="5" s="1"/>
  <c r="AD36" i="5"/>
  <c r="AD37" i="5" s="1"/>
  <c r="AC36" i="5"/>
  <c r="AC37" i="5" s="1"/>
  <c r="AB36" i="5"/>
  <c r="AB37" i="5" s="1"/>
  <c r="AB40" i="5" s="1"/>
  <c r="AA36" i="5"/>
  <c r="AA37" i="5" s="1"/>
  <c r="AA40" i="5" s="1"/>
  <c r="Z36" i="5"/>
  <c r="Z37" i="5" s="1"/>
  <c r="Z40" i="5" s="1"/>
  <c r="Y36" i="5"/>
  <c r="Y37" i="5" s="1"/>
  <c r="X36" i="5"/>
  <c r="X37" i="5" s="1"/>
  <c r="X40" i="5" s="1"/>
  <c r="W36" i="5"/>
  <c r="W37" i="5" s="1"/>
  <c r="W40" i="5" s="1"/>
  <c r="V36" i="5"/>
  <c r="V37" i="5" s="1"/>
  <c r="V40" i="5" s="1"/>
  <c r="U36" i="5"/>
  <c r="U37" i="5" s="1"/>
  <c r="U40" i="5" s="1"/>
  <c r="T36" i="5"/>
  <c r="T37" i="5" s="1"/>
  <c r="T40" i="5" s="1"/>
  <c r="S36" i="5"/>
  <c r="S37" i="5" s="1"/>
  <c r="S40" i="5" s="1"/>
  <c r="R36" i="5"/>
  <c r="R37" i="5" s="1"/>
  <c r="R40" i="5" s="1"/>
  <c r="Q36" i="5"/>
  <c r="Q37" i="5" s="1"/>
  <c r="Q40" i="5" s="1"/>
  <c r="P36" i="5"/>
  <c r="P37" i="5" s="1"/>
  <c r="P40" i="5" s="1"/>
  <c r="O36" i="5"/>
  <c r="O37" i="5" s="1"/>
  <c r="O40" i="5" s="1"/>
  <c r="N36" i="5"/>
  <c r="N37" i="5" s="1"/>
  <c r="N40" i="5" s="1"/>
  <c r="M36" i="5"/>
  <c r="M37" i="5" s="1"/>
  <c r="M40" i="5" s="1"/>
  <c r="K12" i="5"/>
  <c r="AP36" i="5"/>
  <c r="AP37" i="5" s="1"/>
  <c r="K13" i="5"/>
  <c r="AR13" i="5" s="1"/>
  <c r="K14" i="5"/>
  <c r="K15" i="5"/>
  <c r="AR15" i="5" s="1"/>
  <c r="K16" i="5"/>
  <c r="AR16" i="5" s="1"/>
  <c r="K17" i="5"/>
  <c r="AR17" i="5" s="1"/>
  <c r="K18" i="5"/>
  <c r="AR18" i="5" s="1"/>
  <c r="AR12" i="5"/>
  <c r="AR14" i="5"/>
  <c r="C11" i="5"/>
  <c r="C10" i="9" s="1"/>
  <c r="B12" i="5"/>
  <c r="B11" i="9" s="1"/>
  <c r="A12" i="5"/>
  <c r="B13" i="5"/>
  <c r="B12" i="9" s="1"/>
  <c r="A13" i="5"/>
  <c r="B18" i="5"/>
  <c r="B17" i="9" s="1"/>
  <c r="A18" i="5"/>
  <c r="B17" i="5"/>
  <c r="B16" i="9" s="1"/>
  <c r="A17" i="5"/>
  <c r="C19" i="5"/>
  <c r="C18" i="9" s="1"/>
  <c r="C20" i="5"/>
  <c r="C19" i="9" s="1"/>
  <c r="B16" i="5"/>
  <c r="B15" i="9" s="1"/>
  <c r="B15" i="5"/>
  <c r="B14" i="9" s="1"/>
  <c r="B14" i="5"/>
  <c r="B13" i="9" s="1"/>
  <c r="B11" i="5"/>
  <c r="B10" i="9" s="1"/>
  <c r="A16" i="5"/>
  <c r="A15" i="5"/>
  <c r="A14" i="5"/>
  <c r="I19" i="5"/>
  <c r="F18" i="9" s="1"/>
  <c r="I20" i="5"/>
  <c r="F19" i="9" s="1"/>
  <c r="J20" i="5"/>
  <c r="G19" i="9" s="1"/>
  <c r="I21" i="5"/>
  <c r="F20" i="9" s="1"/>
  <c r="J21" i="5"/>
  <c r="G20" i="9" s="1"/>
  <c r="I22" i="5"/>
  <c r="F21" i="9" s="1"/>
  <c r="J22" i="5"/>
  <c r="G21" i="9" s="1"/>
  <c r="I23" i="5"/>
  <c r="F22" i="9" s="1"/>
  <c r="J23" i="5"/>
  <c r="G22" i="9" s="1"/>
  <c r="I24" i="5"/>
  <c r="F23" i="9" s="1"/>
  <c r="J24" i="5"/>
  <c r="G23" i="9" s="1"/>
  <c r="I25" i="5"/>
  <c r="F24" i="9" s="1"/>
  <c r="J25" i="5"/>
  <c r="G24" i="9" s="1"/>
  <c r="I26" i="5"/>
  <c r="F25" i="9" s="1"/>
  <c r="J26" i="5"/>
  <c r="G25" i="9" s="1"/>
  <c r="I27" i="5"/>
  <c r="F26" i="9" s="1"/>
  <c r="J27" i="5"/>
  <c r="G26" i="9" s="1"/>
  <c r="I28" i="5"/>
  <c r="F27" i="9" s="1"/>
  <c r="J28" i="5"/>
  <c r="G27" i="9" s="1"/>
  <c r="I30" i="5"/>
  <c r="F29" i="9" s="1"/>
  <c r="J30" i="5"/>
  <c r="G29" i="9" s="1"/>
  <c r="I31" i="5"/>
  <c r="F30" i="9" s="1"/>
  <c r="J31" i="5"/>
  <c r="G30" i="9" s="1"/>
  <c r="I35" i="5"/>
  <c r="F34" i="9" s="1"/>
  <c r="J35" i="5"/>
  <c r="G34" i="9" s="1"/>
  <c r="B19" i="5"/>
  <c r="B18" i="9" s="1"/>
  <c r="B20" i="5"/>
  <c r="B19" i="9" s="1"/>
  <c r="B21" i="5"/>
  <c r="B20" i="9" s="1"/>
  <c r="B22" i="5"/>
  <c r="B21" i="9" s="1"/>
  <c r="B23" i="5"/>
  <c r="B22" i="9" s="1"/>
  <c r="B24" i="5"/>
  <c r="B23" i="9" s="1"/>
  <c r="B25" i="5"/>
  <c r="B24" i="9" s="1"/>
  <c r="B26" i="5"/>
  <c r="B25" i="9" s="1"/>
  <c r="B27" i="5"/>
  <c r="B26" i="9" s="1"/>
  <c r="B28" i="5"/>
  <c r="B27" i="9" s="1"/>
  <c r="B30" i="5"/>
  <c r="B29" i="9" s="1"/>
  <c r="B31" i="5"/>
  <c r="B35" i="5"/>
  <c r="B34" i="9" s="1"/>
  <c r="C35" i="5"/>
  <c r="C34" i="9" s="1"/>
  <c r="C30" i="5"/>
  <c r="C29" i="9" s="1"/>
  <c r="C31" i="5"/>
  <c r="C26" i="5"/>
  <c r="C25" i="9" s="1"/>
  <c r="C27" i="5"/>
  <c r="C26" i="9" s="1"/>
  <c r="C28" i="5"/>
  <c r="C27" i="9" s="1"/>
  <c r="C21" i="5"/>
  <c r="C20" i="9" s="1"/>
  <c r="C22" i="5"/>
  <c r="C21" i="9" s="1"/>
  <c r="C23" i="5"/>
  <c r="C22" i="9" s="1"/>
  <c r="C24" i="5"/>
  <c r="C23" i="9" s="1"/>
  <c r="C25" i="5"/>
  <c r="C24" i="9" s="1"/>
  <c r="AJ9" i="3"/>
  <c r="M11" i="3"/>
  <c r="M12" i="3"/>
  <c r="M13" i="3"/>
  <c r="M14" i="3"/>
  <c r="M15" i="3"/>
  <c r="M17" i="3"/>
  <c r="M18" i="3"/>
  <c r="M19" i="3"/>
  <c r="M20" i="3"/>
  <c r="M21" i="3"/>
  <c r="M22" i="3"/>
  <c r="M23" i="3"/>
  <c r="M10" i="3"/>
  <c r="O16" i="3"/>
  <c r="O17" i="3"/>
  <c r="O18" i="3"/>
  <c r="O21" i="3"/>
  <c r="A10" i="3"/>
  <c r="AP40" i="5" l="1"/>
  <c r="AP42" i="5"/>
  <c r="Y40" i="5"/>
  <c r="AC40" i="5"/>
  <c r="AD40" i="5"/>
  <c r="AD42" i="5"/>
  <c r="AE40" i="5"/>
  <c r="AE42" i="5"/>
  <c r="AF40" i="5"/>
  <c r="AF42" i="5"/>
  <c r="AG40" i="5"/>
  <c r="AG42" i="5"/>
  <c r="AH40" i="5"/>
  <c r="AH42" i="5"/>
  <c r="AI40" i="5"/>
  <c r="AI42" i="5"/>
  <c r="AJ40" i="5"/>
  <c r="AJ42" i="5"/>
  <c r="AK40" i="5"/>
  <c r="AK42" i="5"/>
  <c r="AL40" i="5"/>
  <c r="AL42" i="5"/>
  <c r="AM40" i="5"/>
  <c r="AM42" i="5"/>
  <c r="AN40" i="5"/>
  <c r="AN42" i="5"/>
  <c r="AO42" i="5"/>
  <c r="AO40" i="5"/>
  <c r="C30" i="9"/>
  <c r="B30" i="9"/>
  <c r="B31" i="9"/>
  <c r="Q22" i="3"/>
  <c r="N21" i="3"/>
  <c r="P21" i="3"/>
  <c r="P20" i="3"/>
  <c r="N20" i="3"/>
  <c r="Q20" i="3" s="1"/>
  <c r="Q19" i="3"/>
  <c r="N18" i="3"/>
  <c r="P18" i="3"/>
  <c r="A22" i="3"/>
  <c r="B22" i="3"/>
  <c r="A23" i="3"/>
  <c r="B23" i="3"/>
  <c r="B21" i="3"/>
  <c r="A21" i="3"/>
  <c r="B18" i="3"/>
  <c r="B19" i="3"/>
  <c r="B20" i="3"/>
  <c r="A18" i="3"/>
  <c r="A19" i="3"/>
  <c r="A20" i="3"/>
  <c r="D11" i="2"/>
  <c r="A10" i="2"/>
  <c r="L10" i="5"/>
  <c r="R9" i="3"/>
  <c r="Q18" i="3" l="1"/>
  <c r="Q21" i="3"/>
  <c r="A8" i="6"/>
  <c r="M10" i="5"/>
  <c r="N10" i="5"/>
  <c r="Q10" i="5"/>
  <c r="R10" i="5"/>
  <c r="S10" i="5"/>
  <c r="T10" i="5"/>
  <c r="U10" i="5"/>
  <c r="V10" i="5"/>
  <c r="W10" i="5"/>
  <c r="X10" i="5"/>
  <c r="Y10" i="5"/>
  <c r="Z10" i="5"/>
  <c r="AA10" i="5"/>
  <c r="AB10" i="5"/>
  <c r="AC10" i="5"/>
  <c r="N11" i="3" l="1"/>
  <c r="Q11" i="3" l="1"/>
  <c r="P13" i="3"/>
  <c r="P16" i="3"/>
  <c r="N13" i="3"/>
  <c r="N14" i="3"/>
  <c r="N15" i="3"/>
  <c r="N16" i="3"/>
  <c r="N17" i="3"/>
  <c r="Q23" i="3" l="1"/>
  <c r="Q17" i="3"/>
  <c r="Q16" i="3"/>
  <c r="Q15" i="3"/>
  <c r="Q14" i="3"/>
  <c r="Q13" i="3"/>
  <c r="Q10" i="3"/>
  <c r="AS9" i="5"/>
  <c r="AS10" i="5" s="1"/>
  <c r="AI9" i="3"/>
  <c r="AH9" i="3"/>
  <c r="AG9" i="3"/>
  <c r="AF9" i="3"/>
  <c r="AE9" i="3"/>
  <c r="AD9" i="3"/>
  <c r="AC9" i="3"/>
  <c r="AB9" i="3"/>
  <c r="AA9" i="3"/>
  <c r="Z9" i="3"/>
  <c r="Y9" i="3"/>
  <c r="X9" i="3"/>
  <c r="W9" i="3"/>
  <c r="V9" i="3"/>
  <c r="U9" i="3"/>
  <c r="T9" i="3"/>
  <c r="S9" i="3"/>
  <c r="AT9" i="5" l="1"/>
  <c r="AT10" i="5" s="1"/>
  <c r="AU9" i="5"/>
  <c r="AU10" i="5" s="1"/>
  <c r="AV9" i="5"/>
  <c r="AV10" i="5" s="1"/>
  <c r="AW9" i="5"/>
  <c r="AW10" i="5" s="1"/>
  <c r="AX9" i="5"/>
  <c r="AX10" i="5" s="1"/>
  <c r="AY9" i="5"/>
  <c r="AY10" i="5" s="1"/>
  <c r="AZ9" i="5"/>
  <c r="AZ10" i="5" s="1"/>
  <c r="BA9" i="5"/>
  <c r="BA10" i="5" s="1"/>
  <c r="BB9" i="5"/>
  <c r="BB10" i="5" s="1"/>
  <c r="BC9" i="5"/>
  <c r="BC10" i="5" s="1"/>
  <c r="BD9" i="5"/>
  <c r="BD10" i="5" s="1"/>
  <c r="BE9" i="5"/>
  <c r="BE10" i="5" s="1"/>
  <c r="BF9" i="5"/>
  <c r="BF10" i="5" s="1"/>
  <c r="BG9" i="5"/>
  <c r="BG10" i="5" s="1"/>
  <c r="BH9" i="5"/>
  <c r="BH10" i="5" s="1"/>
  <c r="BI9" i="5"/>
  <c r="BI10" i="5" s="1"/>
  <c r="BJ9" i="5"/>
  <c r="BJ10" i="5" s="1"/>
  <c r="B11" i="3" l="1"/>
  <c r="B12" i="3"/>
  <c r="B13" i="3"/>
  <c r="B14" i="3"/>
  <c r="B15" i="3"/>
  <c r="B16" i="3"/>
  <c r="B17" i="3"/>
  <c r="A11" i="3"/>
  <c r="A12" i="3"/>
  <c r="A13" i="3"/>
  <c r="A14" i="3"/>
  <c r="A15" i="3"/>
  <c r="A16" i="3"/>
  <c r="A17" i="3"/>
  <c r="A9" i="2"/>
  <c r="A8" i="2"/>
  <c r="A8" i="11"/>
  <c r="B8" i="6"/>
  <c r="B8" i="11" l="1"/>
  <c r="I40" i="9" l="1"/>
  <c r="H40" i="9" s="1"/>
  <c r="AW15" i="3" l="1"/>
  <c r="AW14" i="3"/>
  <c r="AW13" i="3"/>
  <c r="AW17" i="3"/>
  <c r="AW23" i="3"/>
  <c r="AW12" i="3" l="1"/>
  <c r="AW11" i="3"/>
  <c r="A23" i="9"/>
  <c r="A22" i="9"/>
  <c r="A21" i="9"/>
  <c r="A20" i="9"/>
  <c r="A19" i="9"/>
  <c r="A18" i="9"/>
  <c r="A17" i="9"/>
  <c r="A16" i="9"/>
  <c r="A15" i="9"/>
  <c r="A14" i="9"/>
  <c r="A13" i="9"/>
  <c r="A12" i="9"/>
  <c r="A11" i="9"/>
  <c r="A10" i="9"/>
  <c r="BJ36" i="5"/>
  <c r="AC38" i="5" s="1"/>
  <c r="BI36" i="5"/>
  <c r="AB38" i="5" s="1"/>
  <c r="BH36" i="5"/>
  <c r="AA38" i="5" s="1"/>
  <c r="BG36" i="5"/>
  <c r="Z38" i="5" s="1"/>
  <c r="BF36" i="5"/>
  <c r="Y38" i="5" s="1"/>
  <c r="BE36" i="5"/>
  <c r="X38" i="5" s="1"/>
  <c r="BD36" i="5"/>
  <c r="W38" i="5" s="1"/>
  <c r="BC36" i="5"/>
  <c r="V38" i="5" s="1"/>
  <c r="BB36" i="5"/>
  <c r="U38" i="5" s="1"/>
  <c r="BA36" i="5"/>
  <c r="T38" i="5" s="1"/>
  <c r="AZ36" i="5"/>
  <c r="S38" i="5" s="1"/>
  <c r="AY36" i="5"/>
  <c r="R38" i="5" s="1"/>
  <c r="AX36" i="5"/>
  <c r="Q38" i="5" s="1"/>
  <c r="AW36" i="5"/>
  <c r="P38" i="5" s="1"/>
  <c r="AV36" i="5"/>
  <c r="O38" i="5" s="1"/>
  <c r="AU36" i="5"/>
  <c r="N38" i="5" s="1"/>
  <c r="AS36" i="5"/>
  <c r="L38" i="5" s="1"/>
  <c r="L36" i="5"/>
  <c r="L37" i="5" s="1"/>
  <c r="L40" i="5" s="1"/>
  <c r="AV23" i="3"/>
  <c r="A35" i="5"/>
  <c r="AV17" i="3"/>
  <c r="A31" i="5"/>
  <c r="A30" i="5"/>
  <c r="A28" i="5"/>
  <c r="A27" i="5"/>
  <c r="A26" i="5"/>
  <c r="A25" i="5"/>
  <c r="AV14" i="3"/>
  <c r="A24" i="5"/>
  <c r="A23" i="5"/>
  <c r="A22" i="5"/>
  <c r="A21" i="5"/>
  <c r="A20" i="5"/>
  <c r="AQ19" i="5"/>
  <c r="AR19" i="5" s="1"/>
  <c r="AV11" i="3"/>
  <c r="A19" i="5"/>
  <c r="AV10" i="3"/>
  <c r="A11" i="5"/>
  <c r="N41" i="5" l="1"/>
  <c r="N42" i="5"/>
  <c r="O41" i="5"/>
  <c r="O42" i="5"/>
  <c r="P41" i="5"/>
  <c r="P42" i="5"/>
  <c r="Q41" i="5"/>
  <c r="Q42" i="5"/>
  <c r="R41" i="5"/>
  <c r="R42" i="5"/>
  <c r="S41" i="5"/>
  <c r="S42" i="5"/>
  <c r="T41" i="5"/>
  <c r="T42" i="5"/>
  <c r="U41" i="5"/>
  <c r="U42" i="5"/>
  <c r="V41" i="5"/>
  <c r="V42" i="5"/>
  <c r="W41" i="5"/>
  <c r="W42" i="5"/>
  <c r="X41" i="5"/>
  <c r="X42" i="5"/>
  <c r="Y41" i="5"/>
  <c r="Y42" i="5"/>
  <c r="Z41" i="5"/>
  <c r="Z42" i="5"/>
  <c r="AA41" i="5"/>
  <c r="AA42" i="5"/>
  <c r="AB41" i="5"/>
  <c r="AB42" i="5"/>
  <c r="AC41" i="5"/>
  <c r="AC42" i="5"/>
  <c r="AW10" i="3"/>
  <c r="AV12" i="3"/>
  <c r="AT36" i="5"/>
  <c r="AV13" i="3"/>
  <c r="AV15" i="3"/>
  <c r="L41" i="5"/>
  <c r="L42" i="5"/>
  <c r="K37" i="5"/>
  <c r="M38" i="5" l="1"/>
  <c r="AR11" i="5"/>
  <c r="AQ36" i="5"/>
  <c r="I9" i="1" s="1"/>
  <c r="I42" i="9"/>
  <c r="J42" i="9" s="1"/>
  <c r="K42" i="9" s="1"/>
  <c r="L42" i="9" s="1"/>
  <c r="M42" i="9" s="1"/>
  <c r="N42" i="9" s="1"/>
  <c r="O42" i="9" s="1"/>
  <c r="P42" i="9" s="1"/>
  <c r="Q42" i="9" s="1"/>
  <c r="R42" i="9" s="1"/>
  <c r="S42" i="9" s="1"/>
  <c r="T42" i="9" s="1"/>
  <c r="U42" i="9" s="1"/>
  <c r="V42" i="9" s="1"/>
  <c r="W42" i="9" s="1"/>
  <c r="X42" i="9" s="1"/>
  <c r="Y42" i="9" s="1"/>
  <c r="Z42" i="9" s="1"/>
  <c r="AA42" i="9" s="1"/>
  <c r="AB42" i="9" s="1"/>
  <c r="AC42" i="9" s="1"/>
  <c r="AD42" i="9" s="1"/>
  <c r="AE42" i="9" s="1"/>
  <c r="AF42" i="9" s="1"/>
  <c r="AG42" i="9" s="1"/>
  <c r="AH42" i="9" s="1"/>
  <c r="AI42" i="9" s="1"/>
  <c r="AJ42" i="9" s="1"/>
  <c r="AK42" i="9" s="1"/>
  <c r="AL42" i="9" s="1"/>
  <c r="M39" i="9"/>
  <c r="M43" i="9" s="1"/>
  <c r="M41" i="5" l="1"/>
  <c r="M42" i="5"/>
  <c r="K38" i="5"/>
  <c r="N39" i="9"/>
  <c r="N43" i="9" s="1"/>
  <c r="O39" i="9" l="1"/>
  <c r="O43" i="9" s="1"/>
  <c r="P39" i="9" l="1"/>
  <c r="P43" i="9" s="1"/>
  <c r="Q39" i="9" l="1"/>
  <c r="Q43" i="9" s="1"/>
  <c r="R39" i="9" l="1"/>
  <c r="R43" i="9" s="1"/>
  <c r="S39" i="9" l="1"/>
  <c r="S43" i="9" s="1"/>
  <c r="T39" i="9" l="1"/>
  <c r="T43" i="9" s="1"/>
  <c r="U39" i="9" l="1"/>
  <c r="U43" i="9" s="1"/>
  <c r="V39" i="9" l="1"/>
  <c r="V43" i="9" s="1"/>
  <c r="W39" i="9" l="1"/>
  <c r="W43" i="9" s="1"/>
  <c r="X39" i="9" l="1"/>
  <c r="X43" i="9" s="1"/>
  <c r="Z39" i="9" l="1"/>
  <c r="Z43" i="9" s="1"/>
  <c r="Y39" i="9"/>
  <c r="Y43" i="9" s="1"/>
  <c r="B10" i="3" l="1"/>
  <c r="K39" i="9" l="1"/>
  <c r="L39" i="9"/>
  <c r="L43" i="9" s="1"/>
  <c r="AV16" i="3"/>
  <c r="AV24" i="3" s="1"/>
  <c r="K36" i="5"/>
  <c r="K43" i="9" l="1"/>
  <c r="N12" i="3" l="1"/>
  <c r="Q12" i="3" s="1"/>
  <c r="AW16" i="3" l="1"/>
  <c r="AW24" i="3" s="1"/>
  <c r="AW26" i="3" s="1"/>
  <c r="I35" i="9" l="1"/>
  <c r="I39" i="9" s="1"/>
  <c r="I41" i="9" l="1"/>
  <c r="I43" i="9"/>
  <c r="J39" i="9"/>
  <c r="H35" i="9"/>
  <c r="H37" i="9" s="1"/>
  <c r="H39" i="9" l="1"/>
  <c r="J41" i="9"/>
  <c r="K41" i="9" s="1"/>
  <c r="L41" i="9" s="1"/>
  <c r="M41" i="9" s="1"/>
  <c r="N41" i="9" s="1"/>
  <c r="O41" i="9" s="1"/>
  <c r="P41" i="9" s="1"/>
  <c r="Q41" i="9" s="1"/>
  <c r="R41" i="9" s="1"/>
  <c r="S41" i="9" s="1"/>
  <c r="T41" i="9" s="1"/>
  <c r="U41" i="9" s="1"/>
  <c r="V41" i="9" s="1"/>
  <c r="W41" i="9" s="1"/>
  <c r="X41" i="9" s="1"/>
  <c r="Y41" i="9" s="1"/>
  <c r="Z41" i="9" s="1"/>
  <c r="AA41" i="9" s="1"/>
  <c r="AB41" i="9" s="1"/>
  <c r="AC41" i="9" s="1"/>
  <c r="AD41" i="9" s="1"/>
  <c r="AE41" i="9" s="1"/>
  <c r="AF41" i="9" s="1"/>
  <c r="AG41" i="9" s="1"/>
  <c r="AH41" i="9" s="1"/>
  <c r="AI41" i="9" s="1"/>
  <c r="AJ41" i="9" s="1"/>
  <c r="AK41" i="9" s="1"/>
  <c r="AL41" i="9" s="1"/>
  <c r="J4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NARDA</author>
    <author>Monica</author>
  </authors>
  <commentList>
    <comment ref="G6" authorId="0" shapeId="0" xr:uid="{7BB78B65-681B-467C-A4DB-8AB0F3A61425}">
      <text>
        <r>
          <rPr>
            <b/>
            <sz val="9"/>
            <color indexed="81"/>
            <rFont val="Tahoma"/>
            <family val="2"/>
          </rPr>
          <t>NARDA:</t>
        </r>
        <r>
          <rPr>
            <sz val="9"/>
            <color indexed="81"/>
            <rFont val="Tahoma"/>
            <family val="2"/>
          </rPr>
          <t xml:space="preserve">
La supervisión recomienda programar la unidad de medida %.</t>
        </r>
      </text>
    </comment>
    <comment ref="H6" authorId="0" shapeId="0" xr:uid="{8F059C2D-043C-4378-A9ED-0D26030461A5}">
      <text>
        <r>
          <rPr>
            <b/>
            <sz val="9"/>
            <color indexed="81"/>
            <rFont val="Tahoma"/>
            <family val="2"/>
          </rPr>
          <t>NARDA:</t>
        </r>
        <r>
          <rPr>
            <sz val="9"/>
            <color indexed="81"/>
            <rFont val="Tahoma"/>
            <family val="2"/>
          </rPr>
          <t xml:space="preserve">
Colocar el total de meses que utilizarán en la ejecución de la actividad.
</t>
        </r>
      </text>
    </comment>
    <comment ref="K6" authorId="0" shapeId="0" xr:uid="{057D2A65-6495-4F28-9275-F9587FE3FBD1}">
      <text>
        <r>
          <rPr>
            <b/>
            <sz val="9"/>
            <color indexed="81"/>
            <rFont val="Tahoma"/>
            <family val="2"/>
          </rPr>
          <t>NARDA:</t>
        </r>
        <r>
          <rPr>
            <sz val="9"/>
            <color indexed="81"/>
            <rFont val="Tahoma"/>
            <family val="2"/>
          </rPr>
          <t xml:space="preserve">
Relacionar el número de la o las actividad (es) predecesoras.</t>
        </r>
      </text>
    </comment>
    <comment ref="N6" authorId="0" shapeId="0" xr:uid="{D008A6BF-4126-4574-B053-EE269AB18EA2}">
      <text>
        <r>
          <rPr>
            <b/>
            <sz val="9"/>
            <color indexed="81"/>
            <rFont val="Tahoma"/>
            <family val="2"/>
          </rPr>
          <t>NARDA:</t>
        </r>
        <r>
          <rPr>
            <sz val="9"/>
            <color indexed="81"/>
            <rFont val="Tahoma"/>
            <family val="2"/>
          </rPr>
          <t xml:space="preserve">
No se debe diligenciar, está formulada
</t>
        </r>
      </text>
    </comment>
    <comment ref="O6" authorId="0" shapeId="0" xr:uid="{0D5F85B7-2949-4D20-BC85-9A9FF1C8D81F}">
      <text>
        <r>
          <rPr>
            <b/>
            <sz val="9"/>
            <color indexed="81"/>
            <rFont val="Tahoma"/>
            <family val="2"/>
          </rPr>
          <t>NARDA:</t>
        </r>
        <r>
          <rPr>
            <sz val="9"/>
            <color indexed="81"/>
            <rFont val="Tahoma"/>
            <family val="2"/>
          </rPr>
          <t xml:space="preserve">
El tiempo probable de ejecución en días
</t>
        </r>
      </text>
    </comment>
    <comment ref="P6" authorId="0" shapeId="0" xr:uid="{0E019894-BC35-428C-BF94-4D4C8F23B8C3}">
      <text>
        <r>
          <rPr>
            <b/>
            <sz val="9"/>
            <color indexed="81"/>
            <rFont val="Tahoma"/>
            <family val="2"/>
          </rPr>
          <t>NARDA:</t>
        </r>
        <r>
          <rPr>
            <sz val="9"/>
            <color indexed="81"/>
            <rFont val="Tahoma"/>
            <family val="2"/>
          </rPr>
          <t xml:space="preserve">
No se debe diligenciar, está formulada
</t>
        </r>
      </text>
    </comment>
    <comment ref="Q6" authorId="0" shapeId="0" xr:uid="{4F35AFE1-D23A-4508-BF9C-F017250C8E50}">
      <text>
        <r>
          <rPr>
            <b/>
            <sz val="9"/>
            <color indexed="81"/>
            <rFont val="Tahoma"/>
            <family val="2"/>
          </rPr>
          <t xml:space="preserve">NARDA:Formulada
</t>
        </r>
      </text>
    </comment>
    <comment ref="AV6" authorId="0" shapeId="0" xr:uid="{414275B7-0BAA-4A61-9C34-183D8CAB1551}">
      <text>
        <r>
          <rPr>
            <b/>
            <sz val="9"/>
            <color indexed="81"/>
            <rFont val="Tahoma"/>
            <family val="2"/>
          </rPr>
          <t xml:space="preserve">NARDA:Formulado
</t>
        </r>
      </text>
    </comment>
    <comment ref="AW6" authorId="0" shapeId="0" xr:uid="{2062CA62-E3AB-4FA1-86BF-64B801EF27F5}">
      <text>
        <r>
          <rPr>
            <b/>
            <sz val="9"/>
            <color indexed="81"/>
            <rFont val="Tahoma"/>
            <family val="2"/>
          </rPr>
          <t>NARDA:</t>
        </r>
        <r>
          <rPr>
            <sz val="9"/>
            <color indexed="81"/>
            <rFont val="Tahoma"/>
            <family val="2"/>
          </rPr>
          <t xml:space="preserve">
Formulado
</t>
        </r>
      </text>
    </comment>
    <comment ref="N10" authorId="1" shapeId="0" xr:uid="{16C1712A-A07E-424A-A58A-CDAE23BDD316}">
      <text>
        <r>
          <rPr>
            <b/>
            <sz val="9"/>
            <color indexed="81"/>
            <rFont val="Tahoma"/>
            <family val="2"/>
          </rPr>
          <t>Monica:</t>
        </r>
        <r>
          <rPr>
            <sz val="9"/>
            <color indexed="81"/>
            <rFont val="Tahoma"/>
            <family val="2"/>
          </rPr>
          <t xml:space="preserve">
Se ajustaron para que la ruta crítica sea de 915 días y queden llos 30 meses completos en GESPROY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NARDA</author>
  </authors>
  <commentList>
    <comment ref="A7" authorId="0" shapeId="0" xr:uid="{BDB88139-4D87-408F-A5B6-EFEBC67B6225}">
      <text>
        <r>
          <rPr>
            <b/>
            <sz val="9"/>
            <color indexed="81"/>
            <rFont val="Tahoma"/>
            <family val="2"/>
          </rPr>
          <t>NARDA:</t>
        </r>
        <r>
          <rPr>
            <sz val="9"/>
            <color indexed="81"/>
            <rFont val="Tahoma"/>
            <family val="2"/>
          </rPr>
          <t xml:space="preserve">
Formulado</t>
        </r>
      </text>
    </comment>
    <comment ref="D7" authorId="0" shapeId="0" xr:uid="{26D89603-A5BF-4BE1-AB9A-E3F1A9B5C44F}">
      <text>
        <r>
          <rPr>
            <b/>
            <sz val="9"/>
            <color indexed="81"/>
            <rFont val="Tahoma"/>
            <family val="2"/>
          </rPr>
          <t>NARDA:</t>
        </r>
        <r>
          <rPr>
            <sz val="9"/>
            <color indexed="81"/>
            <rFont val="Tahoma"/>
            <family val="2"/>
          </rPr>
          <t xml:space="preserve">
Numerar las tareas por actividad, ejemplo: Actividad 1.1.1. No. de Tarea 1-2-3...</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2" authorId="0" shapeId="0" xr:uid="{A5CA0C21-8F5E-45DF-9389-B4C3F80C5641}">
      <text>
        <r>
          <rPr>
            <sz val="9"/>
            <color indexed="81"/>
            <rFont val="Tahoma"/>
            <family val="2"/>
          </rPr>
          <t xml:space="preserve">
Describa como se determinó el porcentaje asignado a cada uno de los objetivos especificos </t>
        </r>
      </text>
    </comment>
    <comment ref="A18" authorId="0" shapeId="0" xr:uid="{E55D6988-C574-4292-BCBD-8A4EEAD49074}">
      <text>
        <r>
          <rPr>
            <sz val="9"/>
            <color indexed="81"/>
            <rFont val="Tahoma"/>
            <family val="2"/>
          </rPr>
          <t xml:space="preserve">Describa como se determinó el porcentaje asignado a cada una de las actividades </t>
        </r>
      </text>
    </comment>
    <comment ref="A34" authorId="0" shapeId="0" xr:uid="{79F7ADFA-514A-4DC8-8CE3-8594A7878EA0}">
      <text>
        <r>
          <rPr>
            <sz val="9"/>
            <color indexed="81"/>
            <rFont val="Tahoma"/>
            <family val="2"/>
          </rPr>
          <t xml:space="preserve">Describa como se determinó el porcentaje asignado a cada uno de los entregables </t>
        </r>
      </text>
    </comment>
  </commentList>
</comments>
</file>

<file path=xl/sharedStrings.xml><?xml version="1.0" encoding="utf-8"?>
<sst xmlns="http://schemas.openxmlformats.org/spreadsheetml/2006/main" count="920" uniqueCount="309">
  <si>
    <t>Generalidades</t>
  </si>
  <si>
    <t>1.	El Plan Operativo de Actividades - POA es el instrumento de seguimiento a la ejecución y control del proyecto.
2.	El POA  será insumo para programar las actividades del proyecto en GESPROY en su línea base.
3.	La información para el diligenciamiento del POA debe extraerse de la MGA  y el presupuesto aprobado.
4.	Es responsabilidad de la entidad ejecutora el diligenciamiento de todas las pestañas.
5.	El diligenciamiento de la ejecución mensual es responsabilidad de la entidad, en las pestañas de POA técnico y financiero.
6.	La entidad ejecutora no podrá registrar porcentajes de avance diferentes al período que está reportando ni en GESPROY ni en el POA sin el aval de la supervisión. (En los casos que la supervisión no se pronuncie el día 15, la entidad ejecutora podrá registrar el porcentaje que presenta en su informe mensual de ejecución).  
7.	Este documento de POA debe ser enviado junto con el informe de ejecución en cada período. 
8.	Este documento de POA solo podrá ser modificado si lo antecede un ajuste/modificación aprobado (Supervisión, OCAD CTeI SGR, Secretaría técnica).</t>
  </si>
  <si>
    <t>Datos Generales del Proyecto</t>
  </si>
  <si>
    <t>La Información debe extraerse de la MGA aprobada.</t>
  </si>
  <si>
    <t>Control de Ajustes</t>
  </si>
  <si>
    <t>Consecutivo de las modificaciones/ajustes solicitados y aprobados por el supervisor/Secretaría Técnica/OCAD. Actualizarlo con todos los ajustes realizados desde la aprobación del proyecto hasta el cierre.</t>
  </si>
  <si>
    <t>Control de Ajustes POA</t>
  </si>
  <si>
    <t>Consecutivo de las modificaciones realizadas al POA</t>
  </si>
  <si>
    <t>Actividades MGA</t>
  </si>
  <si>
    <t xml:space="preserve">Nota 1. La columna "PESO FÍSICO OBJETIVOS ESPECIFICOS” Se puede determinar mediante la importancia del aporte del objetivo específico para el cumplimiento del objetivo general, u otro marco de referencia que sustente la entidad. La sumatoria de los objetivos específicos debe ser 100%.  En unidades de %  se debe calcular con dos (2) digitos decimales.
Nota 2. La supervisión recomienda programar con unidades de %.
Nota 3. Actividades Predecesoras. 
Nota 4. Actividad-CC/FC. Corresponde al tipo de actividad. CC: Comienzo-Comienzo, la actividad puede comenzar una vez haya comenzado la actividad precedente. Fin-Comienzo, la actividad no puede empezar hasta tanti no haya terminado la actividad precedente.
Nota 5. Tiempo Probable: El tiempo más frecuente de ejecución de una actividad de iguales características.
</t>
  </si>
  <si>
    <t>POA Técnico</t>
  </si>
  <si>
    <t>Nota 1. Las columnas "OBJETIVO GENERAL", "OBJETIVO ESPECÍFICO", "PAQUETE DE TRABAJO (ACTIVIDADES DE LA MGA)", "PRODUCTO", "INDICADORES", "META", es información que debe extraerse de la MGA del proyecto aprobado. Recordar que el nombre de las actividades deberá registrarse conforme numeración de la MGA.
Nota 2. La columna "PESO FÍSICO ACTIVIDADES" Se puede determinar mediante la importancia del aporte de la actividad para el cumplimiento del objetivo específico, o por  la ponderación del costo de la actividad frente al valor total del objetivo específico, u otro marco de referencia que sustente la entidad. La sumatoria de las actividades debe ser 100%.  En unidades de %  se debe calcular con dos (2) digitos decimales.
Nota 3. En la columna "ENTREGABLE", diligenciar por actividad el nombre del/los entregable/s para el cumplimiento de la misma. Cada entregable deberá relacionarse en una fila independiente.
Nota 4. En la columna "MEDIO DE VERIFICACIÓN DEL ENTREGABLE", diligenciar mediante que soporte(s) se podrá validar el cumplimiento del avance mensual para el entregable.
Nota 5. La columna "PESO FÍSICO ENTREGABLE" podrá determinarse por la importancia del aporte del entregable para el cumplimiento de la actividad, u otro marco de referencia que sustente la entidad (sin incluir recursos). En unidades de %  se debe calcular con dos (2) digitos decimales.
Nota 6. Las columnas "DURACIÓN ENTREGABLES", "MES INICIO ", "MES FIN ", son información que deberá registrar la entidad para el tiempo requerido en ejecutar el entregable.
Nota 7. Las filas relacionadas a lo "Planeado" deberán ser diligenciadas por la entidad ejecutora. 
Nota 8. Las filas relacionadas a lo "Ejecutado" deberán diligenciadas por la entidad ejecutora a partir del inicio del proyecto.</t>
  </si>
  <si>
    <t>POA Financiero</t>
  </si>
  <si>
    <t>Para el diligenciamiento del POA Financiero, las actividades serán registradas conforme a los valores aprobados por actividad en el proyecto.</t>
  </si>
  <si>
    <t>Metodología de Cuantificación de Actividades</t>
  </si>
  <si>
    <t>Metodología: La formulación del POA debe reflejar el conjunto de resultados concretos, medibles, realizables y verificables que se esperan obtener en el horizonte de tiempo del proyecto. Las actividades aprobadas en la MGA deben establecerse en términos de resultado o productos, en este sentido, la gestión institucional que se adelante es el medio para cumplir el objetivo general del proyecto, y sus porcentajes programados no es el presupuesto sino la importancia o el aporte al cumplimiento del proyecto desde lo técnico.
Se recomienda a la entidad describir brevemente la metodología realizada para la formulación del POA, que posibilite hacer un seguimiento y control del cumplimiento de lo contemplado en este instrumento y su cuantificación frente a los entregables, evidencias.</t>
  </si>
  <si>
    <t>Fecha Inicio del Proyecto</t>
  </si>
  <si>
    <t xml:space="preserve">Fecha de Terminación del Proyecto: </t>
  </si>
  <si>
    <t>DILIGENCIA ENTIDAD EJECUTORA-INFORMACIÓN EXTRAIDA DE LA MGA</t>
  </si>
  <si>
    <t>BPIN</t>
  </si>
  <si>
    <t>Nombre del Proyecto</t>
  </si>
  <si>
    <t>Objetivo General</t>
  </si>
  <si>
    <t>Acuerdo Aprobación OCAD</t>
  </si>
  <si>
    <t>Convocatoria</t>
  </si>
  <si>
    <t>Entidad Ejecutora</t>
  </si>
  <si>
    <t>Costo Total del Proyecto</t>
  </si>
  <si>
    <t>Plazo</t>
  </si>
  <si>
    <t>% Ejecución Física</t>
  </si>
  <si>
    <t>% Ejecución financiera</t>
  </si>
  <si>
    <t>Representante Legal</t>
  </si>
  <si>
    <t>Localización</t>
  </si>
  <si>
    <t>Fortalecimiento de la innovación en las MiPymes a partir de los resultados de investigación de las IES del Departamento del Valle del Cauca</t>
  </si>
  <si>
    <t>Aumentar los niveles de Innovación en las empresas MiPymes a partir del aprovechamiento de los resultados de los grupos de investigación de las IES – Instituciones de Educación Superior del departamento del Valle del Cauca</t>
  </si>
  <si>
    <t xml:space="preserve">ACUERDO No. 29 del 29/12/2022
</t>
  </si>
  <si>
    <t>CONVOCATORIA No. 29 "Convocatoria de la asignación para la CTeI del SGR para la conformación de un listado de propuestas de proyecto elegibles para el fortalecimiento de capacidades en innovación del tejido empresarial regional"</t>
  </si>
  <si>
    <t>REDDI AGENCIA DE DESARROLLO TECNOLÓGICO Y DE INNOVACIÓN</t>
  </si>
  <si>
    <t>30 meses</t>
  </si>
  <si>
    <t>Juan Manuel Chaves Echeverri</t>
  </si>
  <si>
    <t>Valle del Cauca</t>
  </si>
  <si>
    <t>Diligenciar por parte de la Entidad Ejecutora</t>
  </si>
  <si>
    <t>Diligencia- Apoyo de la Supervisión</t>
  </si>
  <si>
    <t>Proyecto</t>
  </si>
  <si>
    <t>Tipo de Modificación o Ajuste</t>
  </si>
  <si>
    <t>Fecha de Radicación</t>
  </si>
  <si>
    <t>Instancia que Aprueba</t>
  </si>
  <si>
    <t>DESCRIPCIÓN DEL AJUSTE</t>
  </si>
  <si>
    <t>Firmado por el Supervisor
(SI / NO)</t>
  </si>
  <si>
    <t>Fecha de aprobación</t>
  </si>
  <si>
    <t>Fecha de notificación de aprobación a la Entidad Ejecutora</t>
  </si>
  <si>
    <t>Ajuste</t>
  </si>
  <si>
    <t>Supervisión</t>
  </si>
  <si>
    <t>Fecha radicado
POA a Modificar</t>
  </si>
  <si>
    <t>Fecha Mesa Técnica</t>
  </si>
  <si>
    <t>Fecha de aprobación del POA</t>
  </si>
  <si>
    <t>OBSERVACIONES
Describa brevemente la modificación</t>
  </si>
  <si>
    <t xml:space="preserve"> </t>
  </si>
  <si>
    <t>DILIGENCIA EL EJECUTOR - EXTRAE LA INFORMACIÓN DE LA MGA</t>
  </si>
  <si>
    <t>Nombre de Proyecto</t>
  </si>
  <si>
    <t>Objetivos Específicos</t>
  </si>
  <si>
    <t>Objetivo Específico</t>
  </si>
  <si>
    <t>VALOR</t>
  </si>
  <si>
    <t>Nombre Producto MGA</t>
  </si>
  <si>
    <t>Indicador del producto</t>
  </si>
  <si>
    <t>Unidad de Medida del producto</t>
  </si>
  <si>
    <t>Cantidad</t>
  </si>
  <si>
    <t>Fortalecer la gestión en las IES para la interacción con el sector empresarial</t>
  </si>
  <si>
    <t>1.1 Servicio de apoyo para el desarrollo tecnológico y la innovación</t>
  </si>
  <si>
    <t>Número de proyectos</t>
  </si>
  <si>
    <t>Unidad</t>
  </si>
  <si>
    <t>Conectar la oferta y demanda de servicios de innovación</t>
  </si>
  <si>
    <t>2.1 Servicio de apoyo para la transferencia de conocimiento y tecnología</t>
  </si>
  <si>
    <t>Número de organizaciones</t>
  </si>
  <si>
    <t>Fortalecer las capacidades para la gestión de innovación en las empresas Mipymes del dpto del Cauca</t>
  </si>
  <si>
    <t>3.1 Servicio de fomento a la vigilancia y prospectiva tecnológica</t>
  </si>
  <si>
    <t>Número de estudios</t>
  </si>
  <si>
    <t>SE DILIGENCIA AUTOMÁTICAMENTE</t>
  </si>
  <si>
    <t>ENTIDAD EJECUTORA - PROGRAMA POR MESES</t>
  </si>
  <si>
    <t>Nombre del proyecto</t>
  </si>
  <si>
    <t>%</t>
  </si>
  <si>
    <t>No. de la actividad</t>
  </si>
  <si>
    <t>Descripción de la actividad</t>
  </si>
  <si>
    <t>Unidad de Medida</t>
  </si>
  <si>
    <t xml:space="preserve">Duración (Mes - Meses)
</t>
  </si>
  <si>
    <t>Mes Inicio de la Actividad</t>
  </si>
  <si>
    <t>Mes de Terminación de la Actividad</t>
  </si>
  <si>
    <t>Actividad Predecesora</t>
  </si>
  <si>
    <t>Actividad 
CC/FC</t>
  </si>
  <si>
    <t>Días</t>
  </si>
  <si>
    <t>Tiempo Optimista
Días</t>
  </si>
  <si>
    <t>Tiempo Probable
Días</t>
  </si>
  <si>
    <t>Tiempo Pesimista
Mes</t>
  </si>
  <si>
    <t>Tiempo Estimado/Ruta Crítica</t>
  </si>
  <si>
    <t>Peso Porcentual</t>
  </si>
  <si>
    <t>Presupuesto</t>
  </si>
  <si>
    <t>Aporte en especie</t>
  </si>
  <si>
    <t>Mes 1</t>
  </si>
  <si>
    <t>Mes 2</t>
  </si>
  <si>
    <t>Mes 3</t>
  </si>
  <si>
    <t>Mes 4</t>
  </si>
  <si>
    <t>Mes 5</t>
  </si>
  <si>
    <t>Mes 6</t>
  </si>
  <si>
    <t>Mes 7</t>
  </si>
  <si>
    <t>Mes 8</t>
  </si>
  <si>
    <t>Mes 9</t>
  </si>
  <si>
    <t>Mes 10</t>
  </si>
  <si>
    <t>Mes 11</t>
  </si>
  <si>
    <t>Mes 12</t>
  </si>
  <si>
    <t>Mes 13</t>
  </si>
  <si>
    <t>Mes 14</t>
  </si>
  <si>
    <t>Mes 15</t>
  </si>
  <si>
    <t>Mes 16</t>
  </si>
  <si>
    <t>Mes 17</t>
  </si>
  <si>
    <t>Mes 18</t>
  </si>
  <si>
    <t>Mes 19</t>
  </si>
  <si>
    <t>Mes 20</t>
  </si>
  <si>
    <t>Mes 21</t>
  </si>
  <si>
    <t>Mes 22</t>
  </si>
  <si>
    <t>Mes 23</t>
  </si>
  <si>
    <t>Mes 24</t>
  </si>
  <si>
    <t>Mes 25</t>
  </si>
  <si>
    <t>Mes 26</t>
  </si>
  <si>
    <t>Mes 27</t>
  </si>
  <si>
    <t>Mes 28</t>
  </si>
  <si>
    <t>Mes 29</t>
  </si>
  <si>
    <t>Mes 30</t>
  </si>
  <si>
    <t>Junio</t>
  </si>
  <si>
    <t>Julio</t>
  </si>
  <si>
    <t>Agosto</t>
  </si>
  <si>
    <t>Sept</t>
  </si>
  <si>
    <t>Oct</t>
  </si>
  <si>
    <t>Nov</t>
  </si>
  <si>
    <t>Dic</t>
  </si>
  <si>
    <t>Enero</t>
  </si>
  <si>
    <t>Feb</t>
  </si>
  <si>
    <t>Mar</t>
  </si>
  <si>
    <t>Abril</t>
  </si>
  <si>
    <t>Mayo</t>
  </si>
  <si>
    <t>Ene</t>
  </si>
  <si>
    <t>Abr</t>
  </si>
  <si>
    <t>May</t>
  </si>
  <si>
    <t>Jun</t>
  </si>
  <si>
    <t>Jul</t>
  </si>
  <si>
    <t>Ago</t>
  </si>
  <si>
    <t>Sep</t>
  </si>
  <si>
    <t>1. Fortalecer la gestión en las IES para la interacción con el sector empresarial</t>
  </si>
  <si>
    <t>Actividad 1.1.1</t>
  </si>
  <si>
    <t>1.1 .1 Realizar una Planeación detallada y Dirección - Gerencia del Proyecto</t>
  </si>
  <si>
    <t>x</t>
  </si>
  <si>
    <t>Actividad 1.1.2</t>
  </si>
  <si>
    <t>1.1.2 Realizar el diagnóstico de las IES de tercera misión</t>
  </si>
  <si>
    <t>Actividad 1.1.3</t>
  </si>
  <si>
    <t>1.1.3 Sensibilizar a la comunidad universitaria sobre la tercera misión de las IES</t>
  </si>
  <si>
    <t>1.1.2</t>
  </si>
  <si>
    <t>CC</t>
  </si>
  <si>
    <t xml:space="preserve">Actividad 1.1.4 </t>
  </si>
  <si>
    <t>1.1.4 Construir propuestas normativas internas y de procesos organizacionales en las IES para brindar soporte a la interacción Universidad - Empresa. Acompañar el proceso de aprobación</t>
  </si>
  <si>
    <t xml:space="preserve">Actividad 1.1.5 </t>
  </si>
  <si>
    <t>1.1.5 Acompañar la implementación de la nueva normatividad y procesos organizacionales aprobados por las universidades en la relación con las Mipymes beneficiarias</t>
  </si>
  <si>
    <t>1.1.4</t>
  </si>
  <si>
    <t>FC</t>
  </si>
  <si>
    <t>2. Conectar la oferta y demanda de servicios de innovación</t>
  </si>
  <si>
    <t>Actividad 2.1.1</t>
  </si>
  <si>
    <t>2.1.1 Identificar la demanda por servicios de innovación de las empresas beneficiarias</t>
  </si>
  <si>
    <t>Actividad 2.1 .2</t>
  </si>
  <si>
    <t>2.1.2 Estructurar la oferta de servicios, conocimientos y tecnologías de las IES orientada a la innovación a las empresas</t>
  </si>
  <si>
    <t xml:space="preserve">Actividad 2.1.3 </t>
  </si>
  <si>
    <t>2.1.3 Divulgar y gestionar los resultados de investigación de las IES en las empresas</t>
  </si>
  <si>
    <t>Actividad 2.1 .4</t>
  </si>
  <si>
    <t>2.1.4 Desarrollar la maduración de conocimientos y tecnologías de las IES. Convocatoria y desarrollo de los proyectos ganadores: al menos 10 proyectos</t>
  </si>
  <si>
    <t>Actividad 2.1.5</t>
  </si>
  <si>
    <t>2.1.5 Crear e implementar los espacios de interacción U-E-E buscando fortalecer la productividad empresarial</t>
  </si>
  <si>
    <t>3. Fortalecer las capacidades para la gestión de innovación en las empresas Mipymes del departamento del Valle del Cauca</t>
  </si>
  <si>
    <t>Actividad 3.1.1</t>
  </si>
  <si>
    <t>3.1.1  Realizar interacción inicial con las MiPymes beneficiarias de la convocatoria</t>
  </si>
  <si>
    <t>Actividad 3.1.2</t>
  </si>
  <si>
    <t>3.1.2 Realizar los procesos de Intervención en Mipymes de los sectores priorizados del departamento</t>
  </si>
  <si>
    <t>2.1.1</t>
  </si>
  <si>
    <t>Actividad 3.1.3</t>
  </si>
  <si>
    <t>3.1.3 Realizar las actividades de administración del proyecto</t>
  </si>
  <si>
    <t>Actividad 3.1.4</t>
  </si>
  <si>
    <t>3.1.4 Realizar las actividades de supervisión del proyecto</t>
  </si>
  <si>
    <t>Valor total del Proyecto</t>
  </si>
  <si>
    <t>RESPONSABLE</t>
  </si>
  <si>
    <t>Reddi Agencia de Desarrollo Tecnológico y de Innovación</t>
  </si>
  <si>
    <t>No. de Tareas</t>
  </si>
  <si>
    <t>Descripción de la Tarea</t>
  </si>
  <si>
    <t>Entregables</t>
  </si>
  <si>
    <t>Medio de Verificación</t>
  </si>
  <si>
    <t>Fecha cumplimiento entregable</t>
  </si>
  <si>
    <t>Mes de Inicio</t>
  </si>
  <si>
    <t>Mes de Terminación</t>
  </si>
  <si>
    <t>Ponderación de Tarea</t>
  </si>
  <si>
    <t>PROGRAMACIÓN DE ACTIVIDADES</t>
  </si>
  <si>
    <t>Total Ejecutado</t>
  </si>
  <si>
    <t>AVANCE DE CUMPLIMIENTO</t>
  </si>
  <si>
    <t>EJECUCIÓN ACTIVIDADES/AVANCE FÍSICO</t>
  </si>
  <si>
    <t>Septiembre</t>
  </si>
  <si>
    <t>Octubre</t>
  </si>
  <si>
    <t>Noviembre</t>
  </si>
  <si>
    <t>Diciembre</t>
  </si>
  <si>
    <t>Febrero</t>
  </si>
  <si>
    <t>Marzo</t>
  </si>
  <si>
    <t>Realizar la revisión de los documentos construidos durante la formulación y cumplimiento de requisitos para aprobación de OCAD. Gestionar cronograma de actividades. Realizar la dirección y gerencia del proyecto, según la guía PMBoK del PMI. Entregar informes de avance mensual que evidencie el desarrollo de las actividades para el cumplimiento de los objetivos</t>
  </si>
  <si>
    <t>Plan detallado por actividad y de todo el proyecto, con la guía PMBoK del PMI. Documentos asociados a la dirección y gerencia del proyecto</t>
  </si>
  <si>
    <t>Informes de avance mensual de la dirección del proyecto</t>
  </si>
  <si>
    <r>
      <t xml:space="preserve">1.1.1 Realizar Planeación estratégica </t>
    </r>
    <r>
      <rPr>
        <b/>
        <sz val="8"/>
        <color theme="1"/>
        <rFont val="Calibri"/>
        <family val="2"/>
        <scheme val="minor"/>
      </rPr>
      <t>REDDI</t>
    </r>
  </si>
  <si>
    <t>Articular con la entidad aliada el desarrollo de las actividades administrativas y de coordinación del desarrollo de las actividades que se realicen con la entidad en el marco del proyecto</t>
  </si>
  <si>
    <t>Documentos asociados a la dirección y gerencia del proyecto</t>
  </si>
  <si>
    <r>
      <t xml:space="preserve">1.1.1 Realizar Planeación estratégica con </t>
    </r>
    <r>
      <rPr>
        <b/>
        <sz val="8"/>
        <color theme="1"/>
        <rFont val="Calibri"/>
        <family val="2"/>
        <scheme val="minor"/>
      </rPr>
      <t>UNIVALLE</t>
    </r>
  </si>
  <si>
    <r>
      <t xml:space="preserve">1.1.1 Realizar planeación estratégica con </t>
    </r>
    <r>
      <rPr>
        <b/>
        <sz val="8"/>
        <color theme="1"/>
        <rFont val="Calibri"/>
        <family val="2"/>
        <scheme val="minor"/>
      </rPr>
      <t>UAO</t>
    </r>
  </si>
  <si>
    <r>
      <t xml:space="preserve">1.1.1 Realizar planeación estratégica con </t>
    </r>
    <r>
      <rPr>
        <b/>
        <sz val="8"/>
        <color theme="1"/>
        <rFont val="Calibri"/>
        <family val="2"/>
        <scheme val="minor"/>
      </rPr>
      <t>PUJ Cali</t>
    </r>
  </si>
  <si>
    <r>
      <t xml:space="preserve">1.1.1 Realizar planeación estratégica </t>
    </r>
    <r>
      <rPr>
        <b/>
        <sz val="8"/>
        <color theme="1"/>
        <rFont val="Calibri"/>
        <family val="2"/>
        <scheme val="minor"/>
      </rPr>
      <t>Icesi</t>
    </r>
  </si>
  <si>
    <r>
      <t xml:space="preserve">1.1.1 Realizar planeación estratégica con </t>
    </r>
    <r>
      <rPr>
        <b/>
        <sz val="8"/>
        <color theme="1"/>
        <rFont val="Calibri"/>
        <family val="2"/>
        <scheme val="minor"/>
      </rPr>
      <t>USB Cali</t>
    </r>
  </si>
  <si>
    <r>
      <t xml:space="preserve">1.1.1 Realizar planeación estratégica </t>
    </r>
    <r>
      <rPr>
        <b/>
        <sz val="8"/>
        <color theme="1"/>
        <rFont val="Calibri"/>
        <family val="2"/>
        <scheme val="minor"/>
      </rPr>
      <t>FUNDAUTONOMA</t>
    </r>
  </si>
  <si>
    <t>Ejecutar el servicio de diagnóstico y sensibilización de la tercera misión en las IES. Caracterización de grupos de investigación de las IES aliadas, a partir de fuentes primarias y secundarias. Identificación de la oferta científico-tecnológica pertinente a las MiPymes</t>
  </si>
  <si>
    <t>Documento del diagnóstico de capacidades de las IES para la transferencia tecnológica y la innovación. Documento con la relación oferta científico-tecnológica de las IES con la demandas de las MiPymes</t>
  </si>
  <si>
    <t>Informes entregados a la supervisión</t>
  </si>
  <si>
    <t>Ejecutar el servicio de diagnóstico y sensibilización de la tercera misión en las IES. Realizar espacios de socialización/talleres sobre tercera misión de las IES</t>
  </si>
  <si>
    <t>Documento descriptivo con las evidencias de las socializaciones realizadas</t>
  </si>
  <si>
    <t>31/03/204</t>
  </si>
  <si>
    <t>Ejecutar el servicio de diagnóstico y propuestas normativas de la tercera misión en IES. Identificar el estado actual de las IES aliadas en cuanto a procesos, procedimientos, normatividad de las IES que soporte la interacción Universidad-Empresa. Establecer propuesta normativa de la tercera misión en cada IES</t>
  </si>
  <si>
    <t>Documento descriptivo con las propuestas normativas y de procesos organizaciones de cada IES que soporte la interacción Universidad-Empresa</t>
  </si>
  <si>
    <t>Validar los informes periódicos entregados por el proveedor del servicio de diagnóstico y normativas de la tercera misión en IES. Planear agenda de acompañamiento en cada MiPymes. Realizar y documentar acompañamiento</t>
  </si>
  <si>
    <t>Documento que evidencie el acompañamiento realizado en la implementación de las propuestas</t>
  </si>
  <si>
    <t>Realizar revisión de la literatura que apoye la identificación de demendas por servicios de innovación empresarial. Identificar necesidades, oportunidades y retos de innovación de las MiPymes</t>
  </si>
  <si>
    <t>Documento con la demanda de servicios de innovación de las MiPymes beneficiarias</t>
  </si>
  <si>
    <t>31/12/22023</t>
  </si>
  <si>
    <t>Estructurar la oferta de servicios, conocimientos y tecnologías de las IES orientada a la innovación en las empresas (Empaquetamiento)</t>
  </si>
  <si>
    <t>Documento con la estructruación de la oferta de servicios, conocimientos y tecnologías de las IES orientadas a la innovación a las empresas</t>
  </si>
  <si>
    <t>Realizar reuniones con las empresas beneficiarias, visibilizar la oferta de servicios de innovación de las IES a las empresas beneficiarias y demás actores de interés. Alimentar y actualizar el contenido de la plataforma web con el portafolio de servicios de innovación de las IES</t>
  </si>
  <si>
    <t>Documento con la desripción de las acciones de divulgación y gestión de resultados de investigación de las IES.
Oferta de servicios de innovación de las IES divulgados en plataforma web</t>
  </si>
  <si>
    <t>Realizar convocatoria para maduración de conocimientos y tecnologías de las IES, evaluar y seleccionar las propuestas. Madurar conocimientos y tecnologías de los 10 proyectos seleccionados</t>
  </si>
  <si>
    <t>Documento con los términos de referencia de la convocatoria. Documento de la descripción del proceso de selección y documentación del acompañamiento a la ejecución de los 10 proyectos de maduración seleccionados</t>
  </si>
  <si>
    <t>Identificar actores clave U-E-E en el proyecto. Desarrollar eventos periódicos de interacción U-E-E, para fortalecer la conexión de oferta y demanda en CTeI. Desarrollar espacios de interacción con apoyo de jóvenes de bae comunitaria</t>
  </si>
  <si>
    <t>Documento con la descripción de los espacios de interacción U-E-E</t>
  </si>
  <si>
    <t>Gestionar la participación y caracterizar las 20 MiPymes beneficiarias. Apoyar la gestión de espacios y formulación de proyectos IES-MiPymes (20) que se presentarán en convocatoria de maduración</t>
  </si>
  <si>
    <t>Documento con descripción de la interacción con las MiPymes. Documentos asociados al acuerdo de compromiso de las MiPymes</t>
  </si>
  <si>
    <r>
      <t xml:space="preserve">3.1.1  Realizar interacción inicial con las MiPymes beneficiarias de la convocatoria - </t>
    </r>
    <r>
      <rPr>
        <b/>
        <sz val="8"/>
        <color theme="1"/>
        <rFont val="Calibri"/>
        <family val="2"/>
        <scheme val="minor"/>
      </rPr>
      <t>REDDI</t>
    </r>
  </si>
  <si>
    <t>Generar 20 productos y/o servicios innovadores nuevos o mejorados de las MiPymes beneficiarias. Ejecutar los servicios tecnológicos: 1) apoyo a procesos de innovación entre empresarios e IES, 2) Formulación de 10 proyectos de CTeI en las MiPymes para acceder a beneficios tributarios, 3) Estructuración de 10 modelos de negocio, 4) Estudios de Vigilancia Tecnológica</t>
  </si>
  <si>
    <t>Informes de la generación de 20 productos y/o servicios innovadores de las MiPymes.  Informe acompañamiento en procesos de innovación entre empresarios e IES. Informe formulación de 10 proyectos para beneficios tributarios en CTeI. Informes 10 modelos de negocio. Informes vigilnacias tecnológicas.Documentos asociados con la ejecución de los servicios tecnológicos.</t>
  </si>
  <si>
    <t>Gestionar los componentes administrativos, financieros y jurídicos del proyecto</t>
  </si>
  <si>
    <t>Informes administrativos, jurídicos y financieros del proyecto</t>
  </si>
  <si>
    <r>
      <t xml:space="preserve">3.1.3 Realizar las actividades de administración del proyecto - </t>
    </r>
    <r>
      <rPr>
        <b/>
        <sz val="8"/>
        <color theme="1"/>
        <rFont val="Calibri"/>
        <family val="2"/>
        <scheme val="minor"/>
      </rPr>
      <t>UNIVALLE</t>
    </r>
  </si>
  <si>
    <r>
      <t xml:space="preserve">3.1.3 Realizar las actividades de administración del proyecto - </t>
    </r>
    <r>
      <rPr>
        <b/>
        <sz val="8"/>
        <color theme="1"/>
        <rFont val="Calibri"/>
        <family val="2"/>
        <scheme val="minor"/>
      </rPr>
      <t>PUJ Cali</t>
    </r>
  </si>
  <si>
    <r>
      <t xml:space="preserve">3.1.3 Realizar las actividades de administración del proyecto - </t>
    </r>
    <r>
      <rPr>
        <b/>
        <sz val="8"/>
        <color theme="1"/>
        <rFont val="Calibri"/>
        <family val="2"/>
        <scheme val="minor"/>
      </rPr>
      <t>Icesi</t>
    </r>
  </si>
  <si>
    <t>Gestionar la supervisión por parte de Minciencias</t>
  </si>
  <si>
    <t xml:space="preserve">Planeado </t>
  </si>
  <si>
    <t xml:space="preserve">Ejecutado </t>
  </si>
  <si>
    <t>Acumulado Planeado</t>
  </si>
  <si>
    <t>Acumulado Ejecuado</t>
  </si>
  <si>
    <t>Cumplimiento</t>
  </si>
  <si>
    <t>PROGRAMACIÓN DE ACTIVIDADES POR PRESUPUESTO</t>
  </si>
  <si>
    <t>EJECUCIÓN ACTIVIDADES POR PRESUPUESTO-DESEMBOLSOS</t>
  </si>
  <si>
    <t>METODOLOGÍA CÁLCULO PORCENTAJES ASIGNADO A LOS OBJETIVOS ESPECIFICOS</t>
  </si>
  <si>
    <t>Por la ponderación del costo de la actividad frente al valor total del objetivo específico</t>
  </si>
  <si>
    <t>METODOLOGÍA CÁLCULO PORCENTAJES ASIGNADO A LAS ACTIVIDADES</t>
  </si>
  <si>
    <t>Por la ponderación del costo de la actividad frente al valor total del proyecto</t>
  </si>
  <si>
    <t>METODOLOGÍA CÁLCULO PORCENTAJES ASIGNADO A LOS ENTREGABLES</t>
  </si>
  <si>
    <t>Se asocia un entregable por actividad, entonces, el porcentaje de cada entregable corresponde a la sumatoria del porcentaje de la actividad correspondiente</t>
  </si>
  <si>
    <t>Item</t>
  </si>
  <si>
    <t>Nombre</t>
  </si>
  <si>
    <t>Entidad</t>
  </si>
  <si>
    <t>Rol</t>
  </si>
  <si>
    <t>Correo</t>
  </si>
  <si>
    <t>Teléfono</t>
  </si>
  <si>
    <t>Fecha de Ingreso</t>
  </si>
  <si>
    <t>Fecha de Terminación</t>
  </si>
  <si>
    <t>REDDI Colombia</t>
  </si>
  <si>
    <t>Gerente General de REDDI</t>
  </si>
  <si>
    <t>jchaves@reddicolombia.com</t>
  </si>
  <si>
    <t>3006094598‬</t>
  </si>
  <si>
    <t>Ronald Penagos</t>
  </si>
  <si>
    <t>Jefe Administrativo y Financiero de REDDI</t>
  </si>
  <si>
    <t>rpenagos@reddicolombia.com</t>
  </si>
  <si>
    <t>Mónica Gisela Dueñas Gómez</t>
  </si>
  <si>
    <t>Investigadora principal del proyecto</t>
  </si>
  <si>
    <t>mduenas@reddicolombia.com</t>
  </si>
  <si>
    <t>Global</t>
  </si>
  <si>
    <t>Si</t>
  </si>
  <si>
    <t>mes</t>
  </si>
  <si>
    <t>días</t>
  </si>
  <si>
    <t>No</t>
  </si>
  <si>
    <t>OCAD</t>
  </si>
  <si>
    <t>Modificiación</t>
  </si>
  <si>
    <t>Día</t>
  </si>
  <si>
    <t xml:space="preserve">Secretaría Técnica </t>
  </si>
  <si>
    <t>Hora</t>
  </si>
  <si>
    <t>Ha</t>
  </si>
  <si>
    <t>Hp</t>
  </si>
  <si>
    <t>Jornal</t>
  </si>
  <si>
    <t>KVA</t>
  </si>
  <si>
    <t>KW</t>
  </si>
  <si>
    <t>Kg</t>
  </si>
  <si>
    <t>Km</t>
  </si>
  <si>
    <t>Km2</t>
  </si>
  <si>
    <t>Operación</t>
  </si>
  <si>
    <t>Pre-Inversión</t>
  </si>
  <si>
    <t>Ton</t>
  </si>
  <si>
    <t>Año</t>
  </si>
  <si>
    <t>gl</t>
  </si>
  <si>
    <t>l</t>
  </si>
  <si>
    <t>lb</t>
  </si>
  <si>
    <t>m</t>
  </si>
  <si>
    <t>m2</t>
  </si>
  <si>
    <t>m3</t>
  </si>
  <si>
    <t>m3/km</t>
  </si>
  <si>
    <t>min</t>
  </si>
  <si>
    <t>seg</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</si>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</sst>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Red]\-&quot;$&quot;\ #,##0"/>
    <numFmt numFmtId="165" formatCode="&quot;$&quot;\ #,##0.00;[Red]\-&quot;$&quot;\ #,##0.00"/>
    <numFmt numFmtId="166" formatCode="0.000%"/>
    <numFmt numFmtId="167" formatCode="_-* #,##0.000_-;\-* #,##0.000_-;_-* &quot;-&quot;??_-;_-@_-"/>
    <numFmt numFmtId="168" formatCode="0.0000%"/>
  </numFmts>
  <fonts count="29">
    <font>
      <sz val="11"/>
      <color theme="1"/>
      <name val="Calibri"/>
      <family val="2"/>
      <scheme val="minor"/>
    </font>
    <font>
      <sz val="11"/>
      <color theme="1"/>
      <name val="Calibri"/>
      <family val="2"/>
      <scheme val="minor"/>
    </font>
    <font>
      <sz val="10"/>
      <color theme="1"/>
      <name val="Calibri"/>
      <family val="2"/>
      <scheme val="minor"/>
    </font>
    <font>
      <sz val="9"/>
      <color theme="1"/>
      <name val="Calibri"/>
      <family val="2"/>
      <scheme val="minor"/>
    </font>
    <font>
      <b/>
      <sz val="8"/>
      <color theme="1"/>
      <name val="Calibri"/>
      <family val="2"/>
      <scheme val="minor"/>
    </font>
    <font>
      <sz val="8"/>
      <color theme="1"/>
      <name val="Calibri"/>
      <family val="2"/>
      <scheme val="minor"/>
    </font>
    <font>
      <b/>
      <sz val="8"/>
      <color theme="0"/>
      <name val="Calibri"/>
      <family val="2"/>
      <scheme val="minor"/>
    </font>
    <font>
      <b/>
      <sz val="9"/>
      <color theme="0"/>
      <name val="Calibri"/>
      <family val="2"/>
      <scheme val="minor"/>
    </font>
    <font>
      <b/>
      <sz val="10"/>
      <color theme="0"/>
      <name val="Calibri"/>
      <family val="2"/>
      <scheme val="minor"/>
    </font>
    <font>
      <sz val="8"/>
      <color theme="0"/>
      <name val="Calibri"/>
      <family val="2"/>
      <scheme val="minor"/>
    </font>
    <font>
      <sz val="12"/>
      <color theme="1"/>
      <name val="Arial Narrow"/>
      <family val="2"/>
    </font>
    <font>
      <b/>
      <sz val="11"/>
      <color theme="1"/>
      <name val="Arial Narrow"/>
      <family val="2"/>
    </font>
    <font>
      <b/>
      <sz val="11"/>
      <color theme="1"/>
      <name val="Calibri"/>
      <family val="2"/>
      <scheme val="minor"/>
    </font>
    <font>
      <b/>
      <sz val="12"/>
      <color theme="1"/>
      <name val="Arial Narrow"/>
      <family val="2"/>
    </font>
    <font>
      <sz val="9"/>
      <color indexed="81"/>
      <name val="Tahoma"/>
      <family val="2"/>
    </font>
    <font>
      <sz val="8"/>
      <color theme="1"/>
      <name val="Calibri"/>
      <family val="2"/>
    </font>
    <font>
      <sz val="8"/>
      <color rgb="FF000000"/>
      <name val="Calibri"/>
      <family val="2"/>
    </font>
    <font>
      <b/>
      <sz val="8"/>
      <color theme="0"/>
      <name val="Calibri"/>
      <family val="2"/>
    </font>
    <font>
      <b/>
      <sz val="10"/>
      <color theme="0"/>
      <name val="Calibri"/>
      <family val="2"/>
    </font>
    <font>
      <b/>
      <sz val="9"/>
      <color theme="0"/>
      <name val="Calibri"/>
      <family val="2"/>
    </font>
    <font>
      <sz val="9"/>
      <color theme="0"/>
      <name val="Calibri"/>
      <family val="2"/>
      <scheme val="minor"/>
    </font>
    <font>
      <sz val="10"/>
      <color theme="1"/>
      <name val="Calibri"/>
      <family val="2"/>
    </font>
    <font>
      <b/>
      <sz val="12"/>
      <color theme="0"/>
      <name val="Calibri"/>
      <family val="2"/>
      <scheme val="minor"/>
    </font>
    <font>
      <b/>
      <sz val="9"/>
      <color indexed="81"/>
      <name val="Tahoma"/>
      <family val="2"/>
    </font>
    <font>
      <b/>
      <sz val="12"/>
      <color theme="1"/>
      <name val="Calibri"/>
      <family val="2"/>
      <scheme val="minor"/>
    </font>
    <font>
      <sz val="12"/>
      <color theme="1"/>
      <name val="Calibri"/>
      <family val="2"/>
      <scheme val="minor"/>
    </font>
    <font>
      <sz val="8"/>
      <name val="Calibri"/>
      <family val="2"/>
      <scheme val="minor"/>
    </font>
    <font>
      <sz val="10"/>
      <name val="Arial"/>
      <family val="2"/>
    </font>
    <font>
      <u/>
      <sz val="11"/>
      <color theme="10"/>
      <name val="Calibri"/>
      <family val="2"/>
      <scheme val="minor"/>
    </font>
  </fonts>
  <fills count="19">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4"/>
        <bgColor theme="4"/>
      </patternFill>
    </fill>
    <fill>
      <patternFill patternType="solid">
        <fgColor rgb="FF0070C0"/>
        <bgColor indexed="64"/>
      </patternFill>
    </fill>
    <fill>
      <patternFill patternType="solid">
        <fgColor rgb="FF0070C0"/>
        <bgColor theme="4"/>
      </patternFill>
    </fill>
    <fill>
      <patternFill patternType="solid">
        <fgColor rgb="FFDEEAF6"/>
        <bgColor rgb="FFDEEAF6"/>
      </patternFill>
    </fill>
    <fill>
      <patternFill patternType="solid">
        <fgColor rgb="FFFF0000"/>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9"/>
        <bgColor indexed="64"/>
      </patternFill>
    </fill>
    <fill>
      <patternFill patternType="solid">
        <fgColor rgb="FFFFFF00"/>
        <bgColor rgb="FFDEEAF6"/>
      </patternFill>
    </fill>
    <fill>
      <patternFill patternType="solid">
        <fgColor theme="5"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double">
        <color indexed="64"/>
      </top>
      <bottom/>
      <diagonal/>
    </border>
    <border>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27" fillId="0" borderId="0"/>
    <xf numFmtId="0" fontId="28" fillId="0" borderId="0" applyNumberFormat="0" applyFill="0" applyBorder="0" applyAlignment="0" applyProtection="0"/>
  </cellStyleXfs>
  <cellXfs count="196">
    <xf numFmtId="0" fontId="0" fillId="0" borderId="0" xfId="0"/>
    <xf numFmtId="0" fontId="2" fillId="0" borderId="0" xfId="0" applyFont="1"/>
    <xf numFmtId="0" fontId="3" fillId="0" borderId="0" xfId="0" applyFont="1"/>
    <xf numFmtId="0" fontId="5" fillId="0" borderId="0" xfId="0" applyFont="1"/>
    <xf numFmtId="0" fontId="5" fillId="0" borderId="0" xfId="0" applyFont="1" applyAlignment="1">
      <alignment vertical="center"/>
    </xf>
    <xf numFmtId="0" fontId="5" fillId="0" borderId="7" xfId="0" applyFont="1" applyBorder="1"/>
    <xf numFmtId="0" fontId="6" fillId="2" borderId="0" xfId="0" applyFont="1" applyFill="1" applyAlignment="1">
      <alignment horizontal="center" vertical="center"/>
    </xf>
    <xf numFmtId="0" fontId="6" fillId="2" borderId="0" xfId="0" applyFont="1" applyFill="1" applyAlignment="1">
      <alignment horizontal="center" vertical="center" wrapText="1"/>
    </xf>
    <xf numFmtId="0" fontId="0" fillId="0" borderId="0" xfId="0" applyAlignment="1">
      <alignment horizontal="center"/>
    </xf>
    <xf numFmtId="0" fontId="9" fillId="0" borderId="0" xfId="0" applyFont="1" applyAlignment="1">
      <alignment horizontal="center" vertical="center" wrapText="1"/>
    </xf>
    <xf numFmtId="0" fontId="5" fillId="3" borderId="4" xfId="0" applyFont="1" applyFill="1" applyBorder="1" applyAlignment="1">
      <alignment horizontal="center" vertical="center" wrapText="1"/>
    </xf>
    <xf numFmtId="43" fontId="5" fillId="3" borderId="4" xfId="1" applyFont="1" applyFill="1" applyBorder="1" applyAlignment="1">
      <alignment horizontal="center" vertical="center" wrapText="1"/>
    </xf>
    <xf numFmtId="0" fontId="5" fillId="3" borderId="4" xfId="0" applyFont="1" applyFill="1" applyBorder="1" applyAlignment="1">
      <alignment horizontal="center" vertical="center"/>
    </xf>
    <xf numFmtId="0" fontId="5" fillId="3" borderId="0" xfId="0" applyFont="1" applyFill="1" applyAlignment="1">
      <alignment vertical="center" wrapText="1"/>
    </xf>
    <xf numFmtId="0" fontId="5" fillId="3" borderId="0" xfId="0" applyFont="1" applyFill="1" applyAlignment="1">
      <alignment horizontal="center" vertical="center"/>
    </xf>
    <xf numFmtId="164" fontId="5" fillId="3" borderId="0" xfId="0" applyNumberFormat="1" applyFont="1" applyFill="1" applyAlignment="1">
      <alignment vertical="center"/>
    </xf>
    <xf numFmtId="0" fontId="5" fillId="3" borderId="0" xfId="0" applyFont="1" applyFill="1" applyAlignment="1">
      <alignment horizontal="center" vertical="center" wrapText="1"/>
    </xf>
    <xf numFmtId="0" fontId="5" fillId="3" borderId="8" xfId="0" applyFont="1" applyFill="1" applyBorder="1" applyAlignment="1">
      <alignment vertical="center" wrapText="1"/>
    </xf>
    <xf numFmtId="0" fontId="5" fillId="3" borderId="8" xfId="0" applyFont="1" applyFill="1" applyBorder="1" applyAlignment="1">
      <alignment horizontal="center" vertical="center"/>
    </xf>
    <xf numFmtId="164" fontId="5" fillId="3" borderId="8" xfId="0" applyNumberFormat="1" applyFont="1" applyFill="1" applyBorder="1" applyAlignment="1">
      <alignment vertical="center"/>
    </xf>
    <xf numFmtId="0" fontId="5" fillId="3" borderId="8" xfId="0" applyFont="1" applyFill="1" applyBorder="1" applyAlignment="1">
      <alignment horizontal="center" vertical="center" wrapText="1"/>
    </xf>
    <xf numFmtId="0" fontId="5" fillId="3" borderId="5" xfId="0" applyFont="1" applyFill="1" applyBorder="1" applyAlignment="1">
      <alignment horizontal="center" wrapText="1"/>
    </xf>
    <xf numFmtId="0" fontId="5" fillId="3" borderId="5" xfId="0" applyFont="1" applyFill="1" applyBorder="1" applyAlignment="1">
      <alignment horizontal="center" vertical="center" wrapText="1"/>
    </xf>
    <xf numFmtId="10" fontId="7" fillId="2" borderId="0" xfId="2" applyNumberFormat="1" applyFont="1" applyFill="1" applyAlignment="1">
      <alignment horizontal="center" vertical="center" wrapText="1"/>
    </xf>
    <xf numFmtId="10" fontId="5" fillId="0" borderId="0" xfId="2" applyNumberFormat="1" applyFont="1" applyAlignment="1">
      <alignment horizontal="center" vertical="center"/>
    </xf>
    <xf numFmtId="10" fontId="5" fillId="4" borderId="4" xfId="2" applyNumberFormat="1" applyFont="1" applyFill="1" applyBorder="1" applyAlignment="1">
      <alignment horizontal="center" vertical="center"/>
    </xf>
    <xf numFmtId="10" fontId="5" fillId="4" borderId="5" xfId="2" applyNumberFormat="1" applyFont="1" applyFill="1" applyBorder="1" applyAlignment="1">
      <alignment horizontal="center" vertical="center"/>
    </xf>
    <xf numFmtId="10" fontId="5" fillId="4" borderId="0" xfId="2" applyNumberFormat="1" applyFont="1" applyFill="1" applyBorder="1" applyAlignment="1">
      <alignment horizontal="center" vertical="center"/>
    </xf>
    <xf numFmtId="0" fontId="10" fillId="0" borderId="0" xfId="0" applyFont="1" applyAlignment="1">
      <alignment horizontal="justify" vertical="center"/>
    </xf>
    <xf numFmtId="0" fontId="8" fillId="2" borderId="4" xfId="0" applyFont="1" applyFill="1" applyBorder="1" applyAlignment="1">
      <alignment horizontal="center" vertical="center"/>
    </xf>
    <xf numFmtId="0" fontId="8" fillId="2" borderId="4" xfId="0" applyFont="1" applyFill="1" applyBorder="1" applyAlignment="1">
      <alignment horizontal="center" vertical="center" wrapText="1"/>
    </xf>
    <xf numFmtId="0" fontId="5" fillId="3" borderId="5" xfId="0" applyFont="1" applyFill="1" applyBorder="1"/>
    <xf numFmtId="10" fontId="5" fillId="4" borderId="3" xfId="2" applyNumberFormat="1" applyFont="1" applyFill="1" applyBorder="1" applyAlignment="1">
      <alignment horizontal="center" vertical="center"/>
    </xf>
    <xf numFmtId="10" fontId="4" fillId="0" borderId="0" xfId="0" applyNumberFormat="1" applyFont="1" applyAlignment="1">
      <alignment horizontal="center"/>
    </xf>
    <xf numFmtId="1" fontId="5" fillId="3" borderId="4" xfId="0" applyNumberFormat="1" applyFont="1" applyFill="1" applyBorder="1" applyAlignment="1">
      <alignment horizontal="center" vertical="center" wrapText="1"/>
    </xf>
    <xf numFmtId="0" fontId="5" fillId="3" borderId="4" xfId="0" applyFont="1" applyFill="1" applyBorder="1" applyAlignment="1">
      <alignment horizontal="left" vertical="center" wrapText="1"/>
    </xf>
    <xf numFmtId="1" fontId="5" fillId="3" borderId="5" xfId="0" applyNumberFormat="1" applyFont="1" applyFill="1" applyBorder="1" applyAlignment="1">
      <alignment horizontal="center" vertical="center" wrapText="1"/>
    </xf>
    <xf numFmtId="0" fontId="5" fillId="3" borderId="5" xfId="0" applyFont="1" applyFill="1" applyBorder="1" applyAlignment="1">
      <alignment horizontal="left" vertical="center" wrapText="1"/>
    </xf>
    <xf numFmtId="0" fontId="10" fillId="3" borderId="5" xfId="0" applyFont="1" applyFill="1" applyBorder="1" applyAlignment="1">
      <alignment horizontal="justify" vertical="center"/>
    </xf>
    <xf numFmtId="10" fontId="5" fillId="0" borderId="4" xfId="2" applyNumberFormat="1" applyFont="1" applyFill="1" applyBorder="1" applyAlignment="1">
      <alignment horizontal="center" vertical="center"/>
    </xf>
    <xf numFmtId="10" fontId="0" fillId="0" borderId="0" xfId="2" applyNumberFormat="1" applyFont="1" applyFill="1"/>
    <xf numFmtId="0" fontId="5" fillId="3" borderId="4" xfId="0" applyFont="1" applyFill="1" applyBorder="1" applyAlignment="1">
      <alignment vertical="center" wrapText="1"/>
    </xf>
    <xf numFmtId="10" fontId="5" fillId="0" borderId="0" xfId="2" applyNumberFormat="1" applyFont="1" applyFill="1" applyAlignment="1">
      <alignment horizontal="center" vertical="center"/>
    </xf>
    <xf numFmtId="0" fontId="0" fillId="0" borderId="6" xfId="0" applyBorder="1" applyAlignment="1">
      <alignment horizontal="center"/>
    </xf>
    <xf numFmtId="0" fontId="0" fillId="0" borderId="6" xfId="0" applyBorder="1"/>
    <xf numFmtId="10" fontId="4" fillId="0" borderId="6" xfId="2" applyNumberFormat="1" applyFont="1" applyFill="1" applyBorder="1" applyAlignment="1">
      <alignment horizontal="center"/>
    </xf>
    <xf numFmtId="10" fontId="4" fillId="0" borderId="6" xfId="2" applyNumberFormat="1" applyFont="1" applyFill="1" applyBorder="1" applyAlignment="1">
      <alignment horizontal="center" vertical="center"/>
    </xf>
    <xf numFmtId="10" fontId="4" fillId="0" borderId="6" xfId="2" applyNumberFormat="1" applyFont="1" applyBorder="1" applyAlignment="1">
      <alignment horizontal="center" vertical="center"/>
    </xf>
    <xf numFmtId="10" fontId="5" fillId="3" borderId="4" xfId="1" applyNumberFormat="1" applyFont="1" applyFill="1" applyBorder="1" applyAlignment="1">
      <alignment horizontal="center" vertical="center" wrapText="1"/>
    </xf>
    <xf numFmtId="1" fontId="5" fillId="3" borderId="4" xfId="0" applyNumberFormat="1" applyFont="1" applyFill="1" applyBorder="1" applyAlignment="1">
      <alignment vertical="center"/>
    </xf>
    <xf numFmtId="43" fontId="5" fillId="3" borderId="4" xfId="1" applyFont="1" applyFill="1" applyBorder="1" applyAlignment="1">
      <alignment vertical="center" wrapText="1"/>
    </xf>
    <xf numFmtId="14" fontId="5" fillId="3" borderId="4" xfId="0" applyNumberFormat="1" applyFont="1" applyFill="1" applyBorder="1" applyAlignment="1">
      <alignment horizontal="center" vertical="center"/>
    </xf>
    <xf numFmtId="10" fontId="5" fillId="5" borderId="4" xfId="2" applyNumberFormat="1" applyFont="1" applyFill="1" applyBorder="1" applyAlignment="1">
      <alignment horizontal="center" vertical="center"/>
    </xf>
    <xf numFmtId="10" fontId="5" fillId="5" borderId="5" xfId="2" applyNumberFormat="1" applyFont="1" applyFill="1" applyBorder="1" applyAlignment="1">
      <alignment horizontal="center" vertical="center"/>
    </xf>
    <xf numFmtId="10" fontId="5" fillId="5" borderId="0" xfId="2" applyNumberFormat="1" applyFont="1" applyFill="1" applyBorder="1" applyAlignment="1">
      <alignment horizontal="center" vertical="center"/>
    </xf>
    <xf numFmtId="10" fontId="5" fillId="5" borderId="3" xfId="2" applyNumberFormat="1" applyFont="1" applyFill="1" applyBorder="1" applyAlignment="1">
      <alignment horizontal="center" vertical="center"/>
    </xf>
    <xf numFmtId="0" fontId="2" fillId="3" borderId="4" xfId="0" applyFont="1" applyFill="1" applyBorder="1"/>
    <xf numFmtId="0" fontId="2" fillId="3" borderId="4" xfId="0" applyFont="1" applyFill="1" applyBorder="1" applyAlignment="1">
      <alignment horizontal="center"/>
    </xf>
    <xf numFmtId="0" fontId="11" fillId="6" borderId="0" xfId="0" applyFont="1" applyFill="1" applyAlignment="1">
      <alignment vertical="center"/>
    </xf>
    <xf numFmtId="0" fontId="11" fillId="6" borderId="5" xfId="0" applyFont="1" applyFill="1" applyBorder="1" applyAlignment="1">
      <alignment vertical="center"/>
    </xf>
    <xf numFmtId="43" fontId="5" fillId="0" borderId="4" xfId="1" applyFont="1" applyFill="1" applyBorder="1" applyAlignment="1">
      <alignment horizontal="center" vertical="center"/>
    </xf>
    <xf numFmtId="43" fontId="4" fillId="0" borderId="6" xfId="1" applyFont="1" applyFill="1" applyBorder="1" applyAlignment="1">
      <alignment horizontal="center"/>
    </xf>
    <xf numFmtId="43" fontId="11" fillId="6" borderId="0" xfId="1" applyFont="1" applyFill="1" applyBorder="1" applyAlignment="1">
      <alignment vertical="center"/>
    </xf>
    <xf numFmtId="43" fontId="5" fillId="0" borderId="0" xfId="1" applyFont="1" applyAlignment="1">
      <alignment horizontal="center" vertical="center"/>
    </xf>
    <xf numFmtId="43" fontId="5" fillId="0" borderId="0" xfId="1" applyFont="1" applyFill="1" applyAlignment="1">
      <alignment horizontal="center" vertical="center"/>
    </xf>
    <xf numFmtId="43" fontId="7" fillId="2" borderId="0" xfId="1" applyFont="1" applyFill="1" applyAlignment="1">
      <alignment horizontal="center" vertical="center" wrapText="1"/>
    </xf>
    <xf numFmtId="43" fontId="5" fillId="5" borderId="4" xfId="1" applyFont="1" applyFill="1" applyBorder="1" applyAlignment="1">
      <alignment horizontal="center" vertical="center"/>
    </xf>
    <xf numFmtId="43" fontId="5" fillId="5" borderId="5" xfId="1" applyFont="1" applyFill="1" applyBorder="1" applyAlignment="1">
      <alignment horizontal="center" vertical="center"/>
    </xf>
    <xf numFmtId="43" fontId="5" fillId="5" borderId="0" xfId="1" applyFont="1" applyFill="1" applyBorder="1" applyAlignment="1">
      <alignment horizontal="center" vertical="center"/>
    </xf>
    <xf numFmtId="43" fontId="5" fillId="5" borderId="3" xfId="1" applyFont="1" applyFill="1" applyBorder="1" applyAlignment="1">
      <alignment horizontal="center" vertical="center"/>
    </xf>
    <xf numFmtId="43" fontId="4" fillId="0" borderId="6" xfId="1" applyFont="1" applyFill="1" applyBorder="1" applyAlignment="1">
      <alignment horizontal="center" vertical="center"/>
    </xf>
    <xf numFmtId="43" fontId="4" fillId="0" borderId="6" xfId="1" applyFont="1" applyBorder="1" applyAlignment="1">
      <alignment horizontal="center" vertical="center"/>
    </xf>
    <xf numFmtId="43" fontId="5" fillId="4" borderId="1" xfId="1" applyFont="1" applyFill="1" applyBorder="1" applyAlignment="1">
      <alignment horizontal="center" vertical="center"/>
    </xf>
    <xf numFmtId="43" fontId="5" fillId="3" borderId="0" xfId="1" applyFont="1" applyFill="1" applyAlignment="1">
      <alignment horizontal="center" vertical="center"/>
    </xf>
    <xf numFmtId="43" fontId="4" fillId="0" borderId="0" xfId="0" applyNumberFormat="1" applyFont="1"/>
    <xf numFmtId="0" fontId="5" fillId="3" borderId="7" xfId="0" applyFont="1" applyFill="1" applyBorder="1" applyAlignment="1">
      <alignment horizontal="center" vertical="center"/>
    </xf>
    <xf numFmtId="10" fontId="5" fillId="3" borderId="7" xfId="0" applyNumberFormat="1" applyFont="1" applyFill="1" applyBorder="1" applyAlignment="1">
      <alignment horizontal="center" vertical="center"/>
    </xf>
    <xf numFmtId="43" fontId="5" fillId="3" borderId="7" xfId="1" applyFont="1" applyFill="1" applyBorder="1" applyAlignment="1">
      <alignment horizontal="center" vertical="center"/>
    </xf>
    <xf numFmtId="10" fontId="5" fillId="3" borderId="0" xfId="0" applyNumberFormat="1" applyFont="1" applyFill="1" applyAlignment="1">
      <alignment horizontal="center" vertical="center"/>
    </xf>
    <xf numFmtId="43" fontId="5" fillId="3" borderId="0" xfId="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4" fontId="5" fillId="3" borderId="4" xfId="0" applyNumberFormat="1" applyFont="1" applyFill="1" applyBorder="1" applyAlignment="1">
      <alignment horizontal="center" vertical="center" wrapText="1"/>
    </xf>
    <xf numFmtId="14" fontId="5" fillId="3" borderId="0" xfId="0" applyNumberFormat="1" applyFont="1" applyFill="1" applyAlignment="1">
      <alignment horizontal="center" vertical="center" wrapText="1"/>
    </xf>
    <xf numFmtId="14" fontId="5" fillId="3" borderId="3" xfId="0" applyNumberFormat="1" applyFont="1" applyFill="1" applyBorder="1" applyAlignment="1">
      <alignment horizontal="center" vertical="center" wrapText="1"/>
    </xf>
    <xf numFmtId="0" fontId="4" fillId="0" borderId="0" xfId="0" applyFont="1" applyAlignment="1">
      <alignment vertical="center"/>
    </xf>
    <xf numFmtId="0" fontId="5" fillId="0" borderId="0" xfId="0" applyFont="1" applyAlignment="1">
      <alignment horizontal="center"/>
    </xf>
    <xf numFmtId="10" fontId="5" fillId="3" borderId="0" xfId="2" applyNumberFormat="1" applyFont="1" applyFill="1" applyAlignment="1">
      <alignment horizontal="center" vertical="center"/>
    </xf>
    <xf numFmtId="10" fontId="0" fillId="3" borderId="0" xfId="2" applyNumberFormat="1" applyFont="1" applyFill="1"/>
    <xf numFmtId="9" fontId="5" fillId="3" borderId="0" xfId="2" applyFont="1" applyFill="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8" borderId="0" xfId="0" applyFill="1"/>
    <xf numFmtId="1" fontId="7" fillId="2" borderId="0" xfId="2" applyNumberFormat="1" applyFont="1" applyFill="1" applyAlignment="1">
      <alignment horizontal="center" vertical="center" wrapText="1"/>
    </xf>
    <xf numFmtId="0" fontId="20" fillId="10" borderId="0" xfId="0" applyFont="1" applyFill="1" applyAlignment="1">
      <alignment horizontal="center" vertical="center"/>
    </xf>
    <xf numFmtId="10" fontId="7" fillId="10" borderId="0" xfId="2" applyNumberFormat="1" applyFont="1" applyFill="1" applyAlignment="1">
      <alignment horizontal="center" vertical="center" wrapText="1"/>
    </xf>
    <xf numFmtId="0" fontId="15" fillId="12" borderId="0" xfId="0" applyFont="1" applyFill="1" applyAlignment="1">
      <alignment horizontal="center" vertical="center"/>
    </xf>
    <xf numFmtId="0" fontId="8" fillId="2" borderId="7" xfId="0" applyFont="1" applyFill="1" applyBorder="1" applyAlignment="1">
      <alignment horizontal="center" vertical="center"/>
    </xf>
    <xf numFmtId="0" fontId="18" fillId="9" borderId="7" xfId="0" applyFont="1" applyFill="1" applyBorder="1" applyAlignment="1">
      <alignment horizontal="center" vertical="center" wrapText="1"/>
    </xf>
    <xf numFmtId="14" fontId="21" fillId="12" borderId="20" xfId="0" applyNumberFormat="1" applyFont="1" applyFill="1" applyBorder="1"/>
    <xf numFmtId="1" fontId="5" fillId="3" borderId="0" xfId="0" applyNumberFormat="1" applyFont="1" applyFill="1" applyAlignment="1">
      <alignment horizontal="center" vertical="center"/>
    </xf>
    <xf numFmtId="1" fontId="5" fillId="3" borderId="7" xfId="0" applyNumberFormat="1" applyFont="1" applyFill="1" applyBorder="1" applyAlignment="1">
      <alignment horizontal="center" vertical="center"/>
    </xf>
    <xf numFmtId="2" fontId="15" fillId="12" borderId="0" xfId="0" applyNumberFormat="1" applyFont="1" applyFill="1" applyAlignment="1">
      <alignment horizontal="center" vertical="center"/>
    </xf>
    <xf numFmtId="2" fontId="15" fillId="12" borderId="7" xfId="0" applyNumberFormat="1" applyFont="1" applyFill="1" applyBorder="1" applyAlignment="1">
      <alignment horizontal="center" vertical="center"/>
    </xf>
    <xf numFmtId="10" fontId="19" fillId="11" borderId="0" xfId="0" applyNumberFormat="1" applyFont="1" applyFill="1" applyAlignment="1">
      <alignment horizontal="center" vertical="center" wrapText="1"/>
    </xf>
    <xf numFmtId="0" fontId="7" fillId="2" borderId="0" xfId="0" applyFont="1" applyFill="1" applyAlignment="1">
      <alignment vertical="center" wrapText="1"/>
    </xf>
    <xf numFmtId="0" fontId="0" fillId="13" borderId="0" xfId="0" applyFill="1"/>
    <xf numFmtId="10" fontId="5" fillId="0" borderId="6" xfId="2" applyNumberFormat="1" applyFont="1" applyFill="1" applyBorder="1" applyAlignment="1">
      <alignment horizontal="center" vertical="center"/>
    </xf>
    <xf numFmtId="0" fontId="0" fillId="14" borderId="0" xfId="0" applyFill="1"/>
    <xf numFmtId="14" fontId="5" fillId="3" borderId="4" xfId="0" applyNumberFormat="1" applyFont="1" applyFill="1" applyBorder="1" applyAlignment="1">
      <alignment horizontal="left" vertical="center" wrapText="1"/>
    </xf>
    <xf numFmtId="14" fontId="25" fillId="0" borderId="0" xfId="0" applyNumberFormat="1" applyFont="1" applyAlignment="1">
      <alignment vertical="center"/>
    </xf>
    <xf numFmtId="0" fontId="25" fillId="0" borderId="0" xfId="0" applyFont="1" applyAlignment="1">
      <alignment vertical="center"/>
    </xf>
    <xf numFmtId="0" fontId="17" fillId="2" borderId="1" xfId="0" applyFont="1" applyFill="1" applyBorder="1" applyAlignment="1">
      <alignment horizontal="center" vertical="center" wrapText="1"/>
    </xf>
    <xf numFmtId="0" fontId="0" fillId="0" borderId="0" xfId="0" applyAlignment="1">
      <alignment wrapText="1"/>
    </xf>
    <xf numFmtId="165" fontId="5" fillId="3" borderId="4" xfId="1" applyNumberFormat="1" applyFont="1" applyFill="1" applyBorder="1" applyAlignment="1">
      <alignment vertical="center" wrapText="1"/>
    </xf>
    <xf numFmtId="0" fontId="5" fillId="3" borderId="0" xfId="0" applyFont="1" applyFill="1" applyAlignment="1">
      <alignment horizontal="left" vertical="top" wrapText="1"/>
    </xf>
    <xf numFmtId="9" fontId="5" fillId="3" borderId="0" xfId="2" applyFont="1" applyFill="1" applyBorder="1" applyAlignment="1">
      <alignment horizontal="left" vertical="top" wrapText="1"/>
    </xf>
    <xf numFmtId="0" fontId="5" fillId="3" borderId="0" xfId="0" applyFont="1" applyFill="1" applyAlignment="1">
      <alignment horizontal="center" vertical="top"/>
    </xf>
    <xf numFmtId="0" fontId="5" fillId="3" borderId="0" xfId="0" applyFont="1" applyFill="1" applyAlignment="1">
      <alignment vertical="top" wrapText="1"/>
    </xf>
    <xf numFmtId="0" fontId="5" fillId="3" borderId="7" xfId="0" applyFont="1" applyFill="1" applyBorder="1" applyAlignment="1">
      <alignment horizontal="left" vertical="top" wrapText="1"/>
    </xf>
    <xf numFmtId="0" fontId="5" fillId="3" borderId="7" xfId="0" applyFont="1" applyFill="1" applyBorder="1" applyAlignment="1">
      <alignment vertical="top" wrapText="1"/>
    </xf>
    <xf numFmtId="0" fontId="22" fillId="15" borderId="0" xfId="0" applyFont="1" applyFill="1" applyAlignment="1">
      <alignment horizontal="center"/>
    </xf>
    <xf numFmtId="1" fontId="5" fillId="3" borderId="4" xfId="0" applyNumberFormat="1" applyFont="1" applyFill="1" applyBorder="1" applyAlignment="1">
      <alignment horizontal="center" vertical="center"/>
    </xf>
    <xf numFmtId="43" fontId="5" fillId="4" borderId="21" xfId="1" applyFont="1" applyFill="1" applyBorder="1" applyAlignment="1">
      <alignment horizontal="center" vertical="center"/>
    </xf>
    <xf numFmtId="43" fontId="5" fillId="4" borderId="1" xfId="1" applyFont="1" applyFill="1" applyBorder="1" applyAlignment="1">
      <alignment vertical="center"/>
    </xf>
    <xf numFmtId="43" fontId="5" fillId="4" borderId="21" xfId="1" applyFont="1" applyFill="1" applyBorder="1" applyAlignment="1">
      <alignment vertical="center"/>
    </xf>
    <xf numFmtId="43" fontId="5" fillId="4" borderId="2" xfId="1" applyFont="1" applyFill="1" applyBorder="1" applyAlignment="1">
      <alignment vertical="center"/>
    </xf>
    <xf numFmtId="0" fontId="2" fillId="3" borderId="4" xfId="0" applyFont="1" applyFill="1" applyBorder="1" applyAlignment="1">
      <alignment wrapText="1"/>
    </xf>
    <xf numFmtId="0" fontId="28" fillId="3" borderId="4" xfId="4" applyFill="1" applyBorder="1"/>
    <xf numFmtId="0" fontId="2" fillId="3" borderId="4" xfId="0" applyFont="1" applyFill="1" applyBorder="1" applyAlignment="1">
      <alignment horizontal="left"/>
    </xf>
    <xf numFmtId="165" fontId="6" fillId="2" borderId="7" xfId="0" applyNumberFormat="1" applyFont="1" applyFill="1" applyBorder="1"/>
    <xf numFmtId="0" fontId="5" fillId="5" borderId="4" xfId="0" applyFont="1" applyFill="1" applyBorder="1" applyAlignment="1">
      <alignment horizontal="center" vertical="center" wrapText="1"/>
    </xf>
    <xf numFmtId="14" fontId="5" fillId="5" borderId="4"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wrapText="1"/>
    </xf>
    <xf numFmtId="43" fontId="5" fillId="0" borderId="1" xfId="1" applyFont="1" applyFill="1" applyBorder="1" applyAlignment="1">
      <alignment horizontal="center" vertical="center"/>
    </xf>
    <xf numFmtId="0" fontId="5" fillId="5" borderId="5" xfId="0" applyFont="1" applyFill="1" applyBorder="1" applyAlignment="1">
      <alignment horizontal="center" vertical="center" wrapText="1"/>
    </xf>
    <xf numFmtId="14" fontId="5" fillId="5" borderId="3" xfId="0" applyNumberFormat="1" applyFont="1" applyFill="1" applyBorder="1" applyAlignment="1">
      <alignment horizontal="center" vertical="center" wrapText="1"/>
    </xf>
    <xf numFmtId="0" fontId="5" fillId="5" borderId="4" xfId="0" applyFont="1" applyFill="1" applyBorder="1" applyAlignment="1">
      <alignment horizontal="center" vertical="center"/>
    </xf>
    <xf numFmtId="43" fontId="0" fillId="0" borderId="0" xfId="1" applyFont="1" applyFill="1"/>
    <xf numFmtId="43" fontId="0" fillId="3" borderId="0" xfId="1" applyFont="1" applyFill="1"/>
    <xf numFmtId="14" fontId="5" fillId="5" borderId="0" xfId="0" applyNumberFormat="1" applyFont="1" applyFill="1" applyAlignment="1">
      <alignment horizontal="center" vertical="center" wrapText="1"/>
    </xf>
    <xf numFmtId="1" fontId="5" fillId="5" borderId="4" xfId="0" applyNumberFormat="1" applyFont="1" applyFill="1" applyBorder="1" applyAlignment="1">
      <alignment horizontal="center" vertical="center"/>
    </xf>
    <xf numFmtId="10" fontId="5" fillId="8" borderId="4" xfId="2" applyNumberFormat="1" applyFont="1" applyFill="1" applyBorder="1" applyAlignment="1">
      <alignment horizontal="center" vertical="center"/>
    </xf>
    <xf numFmtId="0" fontId="15" fillId="17" borderId="0" xfId="0" applyFont="1" applyFill="1" applyAlignment="1">
      <alignment horizontal="center" vertical="center"/>
    </xf>
    <xf numFmtId="2" fontId="5" fillId="0" borderId="0" xfId="0" applyNumberFormat="1" applyFont="1"/>
    <xf numFmtId="1" fontId="5" fillId="8" borderId="4" xfId="0" applyNumberFormat="1" applyFont="1" applyFill="1" applyBorder="1" applyAlignment="1">
      <alignment horizontal="center" vertical="center"/>
    </xf>
    <xf numFmtId="1" fontId="5" fillId="8" borderId="4" xfId="0" applyNumberFormat="1" applyFont="1" applyFill="1" applyBorder="1" applyAlignment="1">
      <alignment horizontal="center" vertical="center" wrapText="1"/>
    </xf>
    <xf numFmtId="0" fontId="15" fillId="0" borderId="0" xfId="0" applyFont="1" applyAlignment="1">
      <alignment horizontal="center" vertical="center"/>
    </xf>
    <xf numFmtId="10" fontId="5" fillId="18" borderId="4" xfId="2" applyNumberFormat="1" applyFont="1" applyFill="1" applyBorder="1" applyAlignment="1">
      <alignment horizontal="center" vertical="center"/>
    </xf>
    <xf numFmtId="10" fontId="5" fillId="18" borderId="5" xfId="2" applyNumberFormat="1" applyFont="1" applyFill="1" applyBorder="1" applyAlignment="1">
      <alignment horizontal="center" vertical="center"/>
    </xf>
    <xf numFmtId="166" fontId="5" fillId="0" borderId="4" xfId="2" applyNumberFormat="1" applyFont="1" applyFill="1" applyBorder="1" applyAlignment="1">
      <alignment horizontal="center" vertical="center"/>
    </xf>
    <xf numFmtId="10" fontId="5" fillId="18" borderId="0" xfId="2" applyNumberFormat="1" applyFont="1" applyFill="1" applyBorder="1" applyAlignment="1">
      <alignment horizontal="center" vertical="center"/>
    </xf>
    <xf numFmtId="10" fontId="5" fillId="18" borderId="3" xfId="2" applyNumberFormat="1" applyFont="1" applyFill="1" applyBorder="1" applyAlignment="1">
      <alignment horizontal="center" vertical="center"/>
    </xf>
    <xf numFmtId="167" fontId="5" fillId="0" borderId="1" xfId="1" applyNumberFormat="1" applyFont="1" applyFill="1" applyBorder="1" applyAlignment="1">
      <alignment horizontal="center" vertical="center"/>
    </xf>
    <xf numFmtId="0" fontId="15" fillId="3" borderId="1" xfId="0" applyFont="1" applyFill="1" applyBorder="1" applyAlignment="1">
      <alignment horizontal="justify" vertical="top" wrapText="1"/>
    </xf>
    <xf numFmtId="0" fontId="16" fillId="3" borderId="1" xfId="0" applyFont="1" applyFill="1" applyBorder="1" applyAlignment="1">
      <alignment horizontal="left" vertical="center" wrapText="1"/>
    </xf>
    <xf numFmtId="0" fontId="15" fillId="3" borderId="1" xfId="0" applyFont="1" applyFill="1" applyBorder="1" applyAlignment="1">
      <alignment horizontal="left" vertical="center" wrapText="1"/>
    </xf>
    <xf numFmtId="0" fontId="16" fillId="3" borderId="21" xfId="0" applyFont="1" applyFill="1" applyBorder="1" applyAlignment="1">
      <alignment horizontal="justify" vertical="top" wrapText="1"/>
    </xf>
    <xf numFmtId="0" fontId="16" fillId="3" borderId="5" xfId="0" applyFont="1" applyFill="1" applyBorder="1" applyAlignment="1">
      <alignment horizontal="justify" vertical="top" wrapText="1"/>
    </xf>
    <xf numFmtId="0" fontId="16" fillId="3" borderId="22" xfId="0" applyFont="1" applyFill="1" applyBorder="1" applyAlignment="1">
      <alignment horizontal="justify" vertical="top" wrapText="1"/>
    </xf>
    <xf numFmtId="0" fontId="24" fillId="0" borderId="0" xfId="0" applyFont="1" applyAlignment="1">
      <alignment horizontal="left" vertical="center"/>
    </xf>
    <xf numFmtId="0" fontId="22" fillId="15" borderId="0" xfId="0" applyFont="1" applyFill="1" applyAlignment="1">
      <alignment horizontal="center"/>
    </xf>
    <xf numFmtId="0" fontId="22" fillId="16" borderId="0" xfId="0" applyFont="1" applyFill="1" applyAlignment="1">
      <alignment horizontal="center" wrapText="1"/>
    </xf>
    <xf numFmtId="0" fontId="22" fillId="15" borderId="4" xfId="0" applyFont="1" applyFill="1" applyBorder="1" applyAlignment="1">
      <alignment horizontal="center"/>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18" fillId="11" borderId="0" xfId="0" applyFont="1" applyFill="1" applyAlignment="1">
      <alignment horizontal="center" vertical="center" wrapText="1"/>
    </xf>
    <xf numFmtId="0" fontId="8" fillId="10" borderId="0" xfId="0" applyFont="1" applyFill="1" applyAlignment="1">
      <alignment horizontal="center" vertical="center" wrapText="1"/>
    </xf>
    <xf numFmtId="10" fontId="19" fillId="11" borderId="0" xfId="0" applyNumberFormat="1" applyFont="1" applyFill="1" applyAlignment="1">
      <alignment horizontal="center" vertical="center" wrapText="1"/>
    </xf>
    <xf numFmtId="0" fontId="8" fillId="10" borderId="0" xfId="0" applyFont="1" applyFill="1" applyAlignment="1">
      <alignment horizontal="center" vertical="center"/>
    </xf>
    <xf numFmtId="0" fontId="8" fillId="10" borderId="3" xfId="0" applyFont="1" applyFill="1" applyBorder="1" applyAlignment="1">
      <alignment horizontal="center" vertical="center" wrapText="1"/>
    </xf>
    <xf numFmtId="0" fontId="7" fillId="2" borderId="0" xfId="0" applyFont="1" applyFill="1" applyAlignment="1">
      <alignment vertical="center" wrapText="1"/>
    </xf>
    <xf numFmtId="0" fontId="12" fillId="0" borderId="6" xfId="0" applyFont="1" applyBorder="1" applyAlignment="1">
      <alignment horizontal="left"/>
    </xf>
    <xf numFmtId="0" fontId="7" fillId="2" borderId="19" xfId="0" applyFont="1" applyFill="1" applyBorder="1" applyAlignment="1">
      <alignment vertical="center" wrapText="1"/>
    </xf>
    <xf numFmtId="10" fontId="7" fillId="2" borderId="0" xfId="2" applyNumberFormat="1" applyFont="1" applyFill="1" applyAlignment="1">
      <alignment horizontal="center" vertical="center" wrapText="1"/>
    </xf>
    <xf numFmtId="0" fontId="7" fillId="2" borderId="0" xfId="0" applyFont="1" applyFill="1" applyAlignment="1">
      <alignment horizontal="center" vertical="center" wrapText="1"/>
    </xf>
    <xf numFmtId="0" fontId="11" fillId="6" borderId="5" xfId="0" applyFont="1" applyFill="1" applyBorder="1" applyAlignment="1">
      <alignment horizontal="left" vertical="center"/>
    </xf>
    <xf numFmtId="43" fontId="7" fillId="2" borderId="0" xfId="1" applyFont="1" applyFill="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wrapText="1"/>
    </xf>
    <xf numFmtId="0" fontId="0" fillId="0" borderId="8" xfId="0" applyBorder="1" applyAlignment="1">
      <alignment horizontal="center" vertical="center" wrapText="1"/>
    </xf>
    <xf numFmtId="0" fontId="0" fillId="0" borderId="16" xfId="0" applyBorder="1" applyAlignment="1">
      <alignment horizontal="center" vertical="center"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13" fillId="7" borderId="12"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13" fillId="7" borderId="15"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7" borderId="16" xfId="0" applyFont="1" applyFill="1" applyBorder="1" applyAlignment="1">
      <alignment horizontal="center" vertical="center" wrapText="1"/>
    </xf>
    <xf numFmtId="168" fontId="5" fillId="4" borderId="4" xfId="2" applyNumberFormat="1" applyFont="1" applyFill="1" applyBorder="1" applyAlignment="1">
      <alignment horizontal="center" vertical="center"/>
    </xf>
  </cellXfs>
  <cellStyles count="5">
    <cellStyle name="Hipervínculo" xfId="4" builtinId="8"/>
    <cellStyle name="Millares" xfId="1" builtinId="3"/>
    <cellStyle name="Normal" xfId="0" builtinId="0"/>
    <cellStyle name="Normal 3" xfId="3" xr:uid="{62BDFBE0-7EB5-47A0-BB8A-90F07E20E50B}"/>
    <cellStyle name="Porcentaje" xfId="2" builtinId="5"/>
  </cellStyles>
  <dxfs count="9">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numFmt numFmtId="14" formatCode="0.00%"/>
      <fill>
        <patternFill>
          <bgColor theme="9" tint="-0.24994659260841701"/>
        </patternFill>
      </fill>
    </dxf>
    <dxf>
      <font>
        <b/>
        <i val="0"/>
        <color theme="0"/>
      </font>
      <numFmt numFmtId="14" formatCode="0.00%"/>
      <fill>
        <patternFill>
          <bgColor rgb="FFC00000"/>
        </patternFill>
      </fill>
    </dxf>
    <dxf>
      <font>
        <b/>
        <i val="0"/>
        <color theme="0"/>
      </font>
      <fill>
        <patternFill>
          <bgColor theme="9" tint="-0.24994659260841701"/>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112568</xdr:rowOff>
    </xdr:from>
    <xdr:to>
      <xdr:col>5</xdr:col>
      <xdr:colOff>93980</xdr:colOff>
      <xdr:row>3</xdr:row>
      <xdr:rowOff>115743</xdr:rowOff>
    </xdr:to>
    <xdr:pic>
      <xdr:nvPicPr>
        <xdr:cNvPr id="3" name="Imagen 2" descr="Texto&#10;&#10;Descripción generada automáticamente con confianza baja">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1386" y="112568"/>
          <a:ext cx="3141980" cy="5746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152751</xdr:colOff>
      <xdr:row>4</xdr:row>
      <xdr:rowOff>7228</xdr:rowOff>
    </xdr:to>
    <xdr:pic>
      <xdr:nvPicPr>
        <xdr:cNvPr id="3" name="Imagen 2" descr="Texto&#10;&#10;Descripción generada automáticamente con confianza baja">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141980" cy="57467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584884</xdr:colOff>
      <xdr:row>3</xdr:row>
      <xdr:rowOff>135060</xdr:rowOff>
    </xdr:to>
    <xdr:pic>
      <xdr:nvPicPr>
        <xdr:cNvPr id="3" name="Imagen 2" descr="Texto&#10;&#10;Descripción generada automáticamente con confianza baja">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141980" cy="57467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586105</xdr:colOff>
      <xdr:row>4</xdr:row>
      <xdr:rowOff>3175</xdr:rowOff>
    </xdr:to>
    <xdr:pic>
      <xdr:nvPicPr>
        <xdr:cNvPr id="3" name="Imagen 2" descr="Texto&#10;&#10;Descripción generada automáticamente con confianza baja">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141980" cy="5746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14653</xdr:rowOff>
    </xdr:from>
    <xdr:to>
      <xdr:col>1</xdr:col>
      <xdr:colOff>284480</xdr:colOff>
      <xdr:row>4</xdr:row>
      <xdr:rowOff>3174</xdr:rowOff>
    </xdr:to>
    <xdr:pic>
      <xdr:nvPicPr>
        <xdr:cNvPr id="3" name="Imagen 2" descr="Texto&#10;&#10;Descripción generada automáticamente con confianza baja">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4653"/>
          <a:ext cx="3141980" cy="57467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2552700" cy="4953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0" y="0"/>
          <a:ext cx="2552700" cy="495300"/>
        </a:xfrm>
        <a:prstGeom prst="rect">
          <a:avLst/>
        </a:prstGeom>
        <a:noFill/>
      </xdr:spPr>
    </xdr:pic>
    <xdr:clientData fLocksWithSheet="0"/>
  </xdr:oneCellAnchor>
  <xdr:twoCellAnchor editAs="oneCell">
    <xdr:from>
      <xdr:col>3</xdr:col>
      <xdr:colOff>0</xdr:colOff>
      <xdr:row>0</xdr:row>
      <xdr:rowOff>0</xdr:rowOff>
    </xdr:from>
    <xdr:to>
      <xdr:col>5</xdr:col>
      <xdr:colOff>1920295</xdr:colOff>
      <xdr:row>3</xdr:row>
      <xdr:rowOff>139838</xdr:rowOff>
    </xdr:to>
    <xdr:pic>
      <xdr:nvPicPr>
        <xdr:cNvPr id="3" name="Imagen 2" descr="Texto&#10;&#10;Descripción generada automáticamente con confianza baja">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28397" y="0"/>
          <a:ext cx="3141980" cy="57467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53468</xdr:colOff>
      <xdr:row>9</xdr:row>
      <xdr:rowOff>35672</xdr:rowOff>
    </xdr:to>
    <xdr:pic>
      <xdr:nvPicPr>
        <xdr:cNvPr id="3" name="Imagen 2" descr="Texto&#10;&#10;Descripción generada automáticamente con confianza baja">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141980" cy="57467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2552700" cy="4953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xfrm>
          <a:off x="0" y="0"/>
          <a:ext cx="2552700" cy="495300"/>
        </a:xfrm>
        <a:prstGeom prst="rect">
          <a:avLst/>
        </a:prstGeom>
        <a:noFill/>
      </xdr:spPr>
    </xdr:pic>
    <xdr:clientData fLocksWithSheet="0"/>
  </xdr:oneCellAnchor>
  <xdr:twoCellAnchor editAs="oneCell">
    <xdr:from>
      <xdr:col>44</xdr:col>
      <xdr:colOff>0</xdr:colOff>
      <xdr:row>0</xdr:row>
      <xdr:rowOff>0</xdr:rowOff>
    </xdr:from>
    <xdr:to>
      <xdr:col>48</xdr:col>
      <xdr:colOff>87115</xdr:colOff>
      <xdr:row>9</xdr:row>
      <xdr:rowOff>36899</xdr:rowOff>
    </xdr:to>
    <xdr:pic>
      <xdr:nvPicPr>
        <xdr:cNvPr id="4" name="Imagen 3" descr="Texto&#10;&#10;Descripción generada automáticamente con confianza baja">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737432" y="0"/>
          <a:ext cx="3141980" cy="574675"/>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2</xdr:col>
      <xdr:colOff>389255</xdr:colOff>
      <xdr:row>3</xdr:row>
      <xdr:rowOff>31750</xdr:rowOff>
    </xdr:to>
    <xdr:pic>
      <xdr:nvPicPr>
        <xdr:cNvPr id="3" name="Imagen 2" descr="Texto&#10;&#10;Descripción generada automáticamente con confianza baja">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8575"/>
          <a:ext cx="3141980" cy="57467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ARDA\Downloads\SPI%207735_ENERO-ABRIL%20%20DE%20%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RDA\Downloads\Anexo%203.%20POA%20MINCIENCIAS%20Proyecto18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acastro_reddicolombia_com/Documents/REDDI/10.2.%20FUSI&#211;Ni3%20Valle/PRESUPUESTO%20SGR%202023_Actualiz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ENA DE VALOR 2020"/>
      <sheetName val="CADENA DE VALOR 2021"/>
      <sheetName val="RESERVAS 2021"/>
      <sheetName val="EJECUCIÓN 2020"/>
      <sheetName val="EJECUCIÓN 2021"/>
      <sheetName val="ESTRATÉGICO"/>
      <sheetName val="INDICE"/>
      <sheetName val="EJECUCIÓN"/>
      <sheetName val="Cuadro Control"/>
      <sheetName val="homologación conceptos"/>
      <sheetName val="Listas"/>
      <sheetName val="Cadena de Valor"/>
      <sheetName val="Proyecto"/>
      <sheetName val="Metas proyecto"/>
      <sheetName val="Metas PDD"/>
      <sheetName val="Productos MGA"/>
      <sheetName val="Actividades"/>
      <sheetName val="Tareas"/>
      <sheetName val="Territorialización y Población"/>
      <sheetName val="Directorio UndOpe"/>
      <sheetName val="Glosario"/>
      <sheetName val="Instrucciones"/>
      <sheetName val="Sopor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OYECTO"/>
      <sheetName val="CONTROL DE AJUSTES"/>
      <sheetName val="CONTROL DE CAMBIOS POA"/>
      <sheetName val="PRODUCTOS MGA"/>
      <sheetName val="ACTIVIDADES MGA"/>
      <sheetName val="POA TÉCNICO"/>
      <sheetName val="Hoja1"/>
      <sheetName val="POA FINAN"/>
      <sheetName val="METODOLOGÍA"/>
      <sheetName val="DIRECTORI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Enero</v>
          </cell>
          <cell r="C2">
            <v>30</v>
          </cell>
        </row>
        <row r="3">
          <cell r="B3" t="str">
            <v>Feb</v>
          </cell>
          <cell r="C3">
            <v>28</v>
          </cell>
        </row>
        <row r="4">
          <cell r="B4" t="str">
            <v>Mar</v>
          </cell>
          <cell r="C4">
            <v>31</v>
          </cell>
        </row>
        <row r="5">
          <cell r="B5" t="str">
            <v>Abril</v>
          </cell>
          <cell r="C5">
            <v>30</v>
          </cell>
        </row>
        <row r="6">
          <cell r="B6" t="str">
            <v>Mayo</v>
          </cell>
          <cell r="C6">
            <v>31</v>
          </cell>
        </row>
        <row r="7">
          <cell r="B7" t="str">
            <v>Junio</v>
          </cell>
          <cell r="C7">
            <v>30</v>
          </cell>
        </row>
        <row r="8">
          <cell r="B8" t="str">
            <v>Julio</v>
          </cell>
          <cell r="C8">
            <v>31</v>
          </cell>
        </row>
        <row r="9">
          <cell r="B9" t="str">
            <v>Agosto</v>
          </cell>
          <cell r="C9">
            <v>31</v>
          </cell>
        </row>
        <row r="10">
          <cell r="B10" t="str">
            <v>Sept</v>
          </cell>
          <cell r="C10">
            <v>30</v>
          </cell>
        </row>
        <row r="11">
          <cell r="B11" t="str">
            <v>Oct</v>
          </cell>
          <cell r="C11">
            <v>31</v>
          </cell>
        </row>
        <row r="12">
          <cell r="B12" t="str">
            <v>Nov</v>
          </cell>
          <cell r="C12">
            <v>30</v>
          </cell>
        </row>
        <row r="13">
          <cell r="B13" t="str">
            <v>Dic</v>
          </cell>
          <cell r="C13">
            <v>31</v>
          </cell>
        </row>
      </sheetData>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E1 "/>
      <sheetName val="OE2"/>
      <sheetName val="OE3"/>
      <sheetName val="Programación mensual de giros"/>
      <sheetName val="Proyeccción Financiera"/>
      <sheetName val="01. Talento Humano"/>
      <sheetName val="04. Servicios Tecnologicos"/>
      <sheetName val="05. Materiales, Insumos y Doc."/>
      <sheetName val="06. Protección y Divulgacion"/>
      <sheetName val="07. Gastos de viaje"/>
      <sheetName val="0.8 Administrativos"/>
      <sheetName val="09. Supervisión"/>
      <sheetName val="10. OTROS"/>
      <sheetName val="RESOLUCIÓN 0608 MINCI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1">
          <cell r="G21">
            <v>25000000</v>
          </cell>
          <cell r="H21">
            <v>26750000</v>
          </cell>
          <cell r="I21">
            <v>14311250</v>
          </cell>
        </row>
        <row r="22">
          <cell r="G22">
            <v>32421030</v>
          </cell>
          <cell r="H22">
            <v>32421030</v>
          </cell>
        </row>
        <row r="23">
          <cell r="H23">
            <v>2451200</v>
          </cell>
          <cell r="I23">
            <v>2451200</v>
          </cell>
        </row>
      </sheetData>
      <sheetData sheetId="12" refreshError="1"/>
      <sheetData sheetId="13" refreshError="1"/>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3" Type="http://schemas.openxmlformats.org/officeDocument/2006/relationships/hyperlink" Target="mailto:mduenas@reddicolombia.com" TargetMode="External"/><Relationship Id="rId2" Type="http://schemas.openxmlformats.org/officeDocument/2006/relationships/hyperlink" Target="mailto:rpenagos@reddicolombia.com" TargetMode="External"/><Relationship Id="rId1" Type="http://schemas.openxmlformats.org/officeDocument/2006/relationships/hyperlink" Target="mailto:jchaves@reddicolombia.com" TargetMode="External"/><Relationship Id="rId5" Type="http://schemas.openxmlformats.org/officeDocument/2006/relationships/drawing" Target="../drawings/drawing9.xml"/><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69B3C-595A-4E3B-A0E7-91140914E655}">
  <dimension ref="A5:O14"/>
  <sheetViews>
    <sheetView showGridLines="0" zoomScale="110" zoomScaleNormal="110" workbookViewId="0">
      <pane xSplit="1" topLeftCell="B1" activePane="topRight" state="frozen"/>
      <selection pane="topRight" activeCell="B5" sqref="B5:O5"/>
      <selection activeCell="A5" sqref="A5"/>
    </sheetView>
  </sheetViews>
  <sheetFormatPr defaultColWidth="11.42578125" defaultRowHeight="15"/>
  <cols>
    <col min="1" max="1" width="10.5703125" customWidth="1"/>
    <col min="15" max="15" width="8.85546875" customWidth="1"/>
  </cols>
  <sheetData>
    <row r="5" spans="1:15" ht="110.25" customHeight="1">
      <c r="A5" s="111" t="s">
        <v>0</v>
      </c>
      <c r="B5" s="153" t="s">
        <v>1</v>
      </c>
      <c r="C5" s="153"/>
      <c r="D5" s="153"/>
      <c r="E5" s="153"/>
      <c r="F5" s="153"/>
      <c r="G5" s="153"/>
      <c r="H5" s="153"/>
      <c r="I5" s="153"/>
      <c r="J5" s="153"/>
      <c r="K5" s="153"/>
      <c r="L5" s="153"/>
      <c r="M5" s="153"/>
      <c r="N5" s="153"/>
      <c r="O5" s="153"/>
    </row>
    <row r="6" spans="1:15" ht="48" customHeight="1">
      <c r="A6" s="111" t="s">
        <v>2</v>
      </c>
      <c r="B6" s="154" t="s">
        <v>3</v>
      </c>
      <c r="C6" s="154"/>
      <c r="D6" s="154"/>
      <c r="E6" s="154"/>
      <c r="F6" s="154"/>
      <c r="G6" s="154"/>
      <c r="H6" s="154"/>
      <c r="I6" s="154"/>
      <c r="J6" s="154"/>
      <c r="K6" s="154"/>
      <c r="L6" s="154"/>
      <c r="M6" s="154"/>
      <c r="N6" s="154"/>
      <c r="O6" s="154"/>
    </row>
    <row r="7" spans="1:15" ht="35.25" customHeight="1">
      <c r="A7" s="111" t="s">
        <v>4</v>
      </c>
      <c r="B7" s="154" t="s">
        <v>5</v>
      </c>
      <c r="C7" s="154"/>
      <c r="D7" s="154"/>
      <c r="E7" s="154"/>
      <c r="F7" s="154"/>
      <c r="G7" s="154"/>
      <c r="H7" s="154"/>
      <c r="I7" s="154"/>
      <c r="J7" s="154"/>
      <c r="K7" s="154"/>
      <c r="L7" s="154"/>
      <c r="M7" s="154"/>
      <c r="N7" s="154"/>
      <c r="O7" s="154"/>
    </row>
    <row r="8" spans="1:15" ht="27" customHeight="1">
      <c r="A8" s="111" t="s">
        <v>6</v>
      </c>
      <c r="B8" s="154" t="s">
        <v>7</v>
      </c>
      <c r="C8" s="154"/>
      <c r="D8" s="154"/>
      <c r="E8" s="154"/>
      <c r="F8" s="154"/>
      <c r="G8" s="154"/>
      <c r="H8" s="154"/>
      <c r="I8" s="154"/>
      <c r="J8" s="154"/>
      <c r="K8" s="154"/>
      <c r="L8" s="154"/>
      <c r="M8" s="154"/>
      <c r="N8" s="154"/>
      <c r="O8" s="154"/>
    </row>
    <row r="9" spans="1:15" ht="84" customHeight="1">
      <c r="A9" s="111" t="s">
        <v>8</v>
      </c>
      <c r="B9" s="156" t="s">
        <v>9</v>
      </c>
      <c r="C9" s="157"/>
      <c r="D9" s="157"/>
      <c r="E9" s="157"/>
      <c r="F9" s="157"/>
      <c r="G9" s="157"/>
      <c r="H9" s="157"/>
      <c r="I9" s="157"/>
      <c r="J9" s="157"/>
      <c r="K9" s="157"/>
      <c r="L9" s="157"/>
      <c r="M9" s="157"/>
      <c r="N9" s="157"/>
      <c r="O9" s="158"/>
    </row>
    <row r="10" spans="1:15" ht="144" customHeight="1">
      <c r="A10" s="111" t="s">
        <v>10</v>
      </c>
      <c r="B10" s="153" t="s">
        <v>11</v>
      </c>
      <c r="C10" s="153"/>
      <c r="D10" s="153"/>
      <c r="E10" s="153"/>
      <c r="F10" s="153"/>
      <c r="G10" s="153"/>
      <c r="H10" s="153"/>
      <c r="I10" s="153"/>
      <c r="J10" s="153"/>
      <c r="K10" s="153"/>
      <c r="L10" s="153"/>
      <c r="M10" s="153"/>
      <c r="N10" s="153"/>
      <c r="O10" s="153"/>
    </row>
    <row r="11" spans="1:15" ht="22.5" customHeight="1">
      <c r="A11" s="111" t="s">
        <v>12</v>
      </c>
      <c r="B11" s="155" t="s">
        <v>13</v>
      </c>
      <c r="C11" s="155"/>
      <c r="D11" s="155"/>
      <c r="E11" s="155"/>
      <c r="F11" s="155"/>
      <c r="G11" s="155"/>
      <c r="H11" s="155"/>
      <c r="I11" s="155"/>
      <c r="J11" s="155"/>
      <c r="K11" s="155"/>
      <c r="L11" s="155"/>
      <c r="M11" s="155"/>
      <c r="N11" s="155"/>
      <c r="O11" s="155"/>
    </row>
    <row r="12" spans="1:15" ht="78.75" customHeight="1">
      <c r="A12" s="111" t="s">
        <v>14</v>
      </c>
      <c r="B12" s="154" t="s">
        <v>15</v>
      </c>
      <c r="C12" s="154"/>
      <c r="D12" s="154"/>
      <c r="E12" s="154"/>
      <c r="F12" s="154"/>
      <c r="G12" s="154"/>
      <c r="H12" s="154"/>
      <c r="I12" s="154"/>
      <c r="J12" s="154"/>
      <c r="K12" s="154"/>
      <c r="L12" s="154"/>
      <c r="M12" s="154"/>
      <c r="N12" s="154"/>
      <c r="O12" s="154"/>
    </row>
    <row r="14" spans="1:15">
      <c r="C14" s="112"/>
    </row>
  </sheetData>
  <mergeCells count="8">
    <mergeCell ref="B5:O5"/>
    <mergeCell ref="B12:O12"/>
    <mergeCell ref="B10:O10"/>
    <mergeCell ref="B6:O6"/>
    <mergeCell ref="B7:O7"/>
    <mergeCell ref="B11:O11"/>
    <mergeCell ref="B8:O8"/>
    <mergeCell ref="B9:O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3C615-480A-41B6-B7CF-2F634405CECA}">
  <dimension ref="A5:L9"/>
  <sheetViews>
    <sheetView showGridLines="0" topLeftCell="C5" zoomScale="94" workbookViewId="0">
      <selection activeCell="I9" sqref="I9"/>
    </sheetView>
  </sheetViews>
  <sheetFormatPr defaultColWidth="11.42578125" defaultRowHeight="11.25"/>
  <cols>
    <col min="1" max="1" width="12.140625" style="3" bestFit="1" customWidth="1"/>
    <col min="2" max="2" width="32.7109375" style="3" customWidth="1"/>
    <col min="3" max="3" width="32.5703125" style="3" customWidth="1"/>
    <col min="4" max="4" width="13.42578125" style="3" bestFit="1" customWidth="1"/>
    <col min="5" max="5" width="28.5703125" style="3" customWidth="1"/>
    <col min="6" max="6" width="13.7109375" style="3" customWidth="1"/>
    <col min="7" max="7" width="14.7109375" style="3" bestFit="1" customWidth="1"/>
    <col min="8" max="8" width="7.7109375" style="3" bestFit="1" customWidth="1"/>
    <col min="9" max="10" width="10.42578125" style="3" bestFit="1" customWidth="1"/>
    <col min="11" max="11" width="18.42578125" style="3" bestFit="1" customWidth="1"/>
    <col min="12" max="12" width="12.140625" style="3" bestFit="1" customWidth="1"/>
    <col min="13" max="16384" width="11.42578125" style="3"/>
  </cols>
  <sheetData>
    <row r="5" spans="1:12" s="110" customFormat="1" ht="26.25" customHeight="1">
      <c r="A5" s="159" t="s">
        <v>16</v>
      </c>
      <c r="B5" s="159"/>
      <c r="C5" s="109"/>
    </row>
    <row r="6" spans="1:12" s="110" customFormat="1" ht="26.25" customHeight="1">
      <c r="A6" s="159" t="s">
        <v>17</v>
      </c>
      <c r="B6" s="159"/>
      <c r="C6" s="109"/>
    </row>
    <row r="7" spans="1:12" ht="15.75">
      <c r="A7" s="160" t="s">
        <v>18</v>
      </c>
      <c r="B7" s="160"/>
      <c r="C7" s="160"/>
    </row>
    <row r="8" spans="1:12" ht="38.25">
      <c r="A8" s="29" t="s">
        <v>19</v>
      </c>
      <c r="B8" s="29" t="s">
        <v>20</v>
      </c>
      <c r="C8" s="29" t="s">
        <v>21</v>
      </c>
      <c r="D8" s="30" t="s">
        <v>22</v>
      </c>
      <c r="E8" s="29" t="s">
        <v>23</v>
      </c>
      <c r="F8" s="30" t="s">
        <v>24</v>
      </c>
      <c r="G8" s="30" t="s">
        <v>25</v>
      </c>
      <c r="H8" s="30" t="s">
        <v>26</v>
      </c>
      <c r="I8" s="30" t="s">
        <v>27</v>
      </c>
      <c r="J8" s="30" t="s">
        <v>28</v>
      </c>
      <c r="K8" s="30" t="s">
        <v>29</v>
      </c>
      <c r="L8" s="29" t="s">
        <v>30</v>
      </c>
    </row>
    <row r="9" spans="1:12" ht="145.5" customHeight="1">
      <c r="A9" s="49">
        <v>2022000100103</v>
      </c>
      <c r="B9" s="41" t="s">
        <v>31</v>
      </c>
      <c r="C9" s="41" t="s">
        <v>32</v>
      </c>
      <c r="D9" s="41" t="s">
        <v>33</v>
      </c>
      <c r="E9" s="41" t="s">
        <v>34</v>
      </c>
      <c r="F9" s="41" t="s">
        <v>35</v>
      </c>
      <c r="G9" s="113">
        <v>5693337830.7799997</v>
      </c>
      <c r="H9" s="11" t="s">
        <v>36</v>
      </c>
      <c r="I9" s="48">
        <f>+'POA TÉCNICO'!AQ36</f>
        <v>0</v>
      </c>
      <c r="J9" s="50"/>
      <c r="K9" s="41" t="s">
        <v>37</v>
      </c>
      <c r="L9" s="12" t="s">
        <v>38</v>
      </c>
    </row>
  </sheetData>
  <mergeCells count="3">
    <mergeCell ref="A5:B5"/>
    <mergeCell ref="A6:B6"/>
    <mergeCell ref="A7:C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30647-3CD1-467A-A199-5B875B63D4F4}">
  <dimension ref="A6:I13"/>
  <sheetViews>
    <sheetView showGridLines="0" topLeftCell="C1" zoomScale="130" zoomScaleNormal="130" workbookViewId="0">
      <selection activeCell="G7" sqref="G7"/>
    </sheetView>
  </sheetViews>
  <sheetFormatPr defaultColWidth="11.42578125" defaultRowHeight="11.25"/>
  <cols>
    <col min="1" max="1" width="12.140625" style="3" bestFit="1" customWidth="1"/>
    <col min="2" max="2" width="26.140625" style="3" bestFit="1" customWidth="1"/>
    <col min="3" max="3" width="15" style="3" customWidth="1"/>
    <col min="4" max="4" width="11.85546875" style="3" customWidth="1"/>
    <col min="5" max="5" width="12.5703125" style="3" customWidth="1"/>
    <col min="6" max="6" width="60.42578125" style="3" customWidth="1"/>
    <col min="7" max="7" width="11.5703125" style="3" customWidth="1"/>
    <col min="8" max="8" width="10.42578125" style="3" customWidth="1"/>
    <col min="9" max="9" width="12.7109375" style="3" customWidth="1"/>
    <col min="10" max="16384" width="11.42578125" style="3"/>
  </cols>
  <sheetData>
    <row r="6" spans="1:9" ht="15.75">
      <c r="A6" s="160" t="s">
        <v>39</v>
      </c>
      <c r="B6" s="160"/>
      <c r="C6" s="160"/>
      <c r="D6" s="160"/>
      <c r="E6" s="160"/>
      <c r="F6" s="160"/>
      <c r="G6" s="161" t="s">
        <v>40</v>
      </c>
      <c r="H6" s="161"/>
      <c r="I6" s="161"/>
    </row>
    <row r="7" spans="1:9" ht="47.25" customHeight="1">
      <c r="A7" s="6" t="s">
        <v>19</v>
      </c>
      <c r="B7" s="6" t="s">
        <v>41</v>
      </c>
      <c r="C7" s="7" t="s">
        <v>42</v>
      </c>
      <c r="D7" s="7" t="s">
        <v>43</v>
      </c>
      <c r="E7" s="7" t="s">
        <v>44</v>
      </c>
      <c r="F7" s="6" t="s">
        <v>45</v>
      </c>
      <c r="G7" s="7" t="s">
        <v>46</v>
      </c>
      <c r="H7" s="7" t="s">
        <v>47</v>
      </c>
      <c r="I7" s="7" t="s">
        <v>48</v>
      </c>
    </row>
    <row r="8" spans="1:9" ht="56.25">
      <c r="A8" s="34">
        <f>PROYECTO!A9</f>
        <v>2022000100103</v>
      </c>
      <c r="B8" s="35" t="str">
        <f>+PROYECTO!B9</f>
        <v>Fortalecimiento de la innovación en las MiPymes a partir de los resultados de investigación de las IES del Departamento del Valle del Cauca</v>
      </c>
      <c r="C8" s="12" t="s">
        <v>49</v>
      </c>
      <c r="D8" s="51"/>
      <c r="E8" s="12" t="s">
        <v>50</v>
      </c>
      <c r="F8" s="35"/>
      <c r="G8" s="35"/>
      <c r="H8" s="108"/>
      <c r="I8" s="108"/>
    </row>
    <row r="9" spans="1:9">
      <c r="A9" s="34"/>
      <c r="B9" s="35"/>
      <c r="C9" s="12"/>
      <c r="D9" s="51"/>
      <c r="E9" s="12"/>
      <c r="F9" s="35"/>
      <c r="G9" s="35"/>
      <c r="H9" s="108"/>
      <c r="I9" s="108"/>
    </row>
    <row r="10" spans="1:9">
      <c r="A10" s="34"/>
      <c r="B10" s="35"/>
      <c r="C10" s="12"/>
      <c r="D10" s="51"/>
      <c r="E10" s="12"/>
      <c r="F10" s="35"/>
      <c r="G10" s="35"/>
      <c r="H10" s="108"/>
      <c r="I10" s="108"/>
    </row>
    <row r="11" spans="1:9" ht="15.75">
      <c r="A11" s="36"/>
      <c r="B11" s="37"/>
      <c r="C11" s="31"/>
      <c r="D11" s="51"/>
      <c r="E11" s="31"/>
      <c r="F11" s="38"/>
      <c r="G11" s="38"/>
      <c r="H11" s="108"/>
      <c r="I11" s="108"/>
    </row>
    <row r="12" spans="1:9" ht="15.75">
      <c r="F12" s="28"/>
    </row>
    <row r="13" spans="1:9" ht="15.75">
      <c r="F13" s="28"/>
    </row>
  </sheetData>
  <mergeCells count="2">
    <mergeCell ref="A6:F6"/>
    <mergeCell ref="G6:I6"/>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F72486D-41D7-4B6A-BAE5-585CF9FCEFD0}">
          <x14:formula1>
            <xm:f>PARAMETRIZACIÓN!$G$2:$G$4</xm:f>
          </x14:formula1>
          <xm:sqref>E8:E10</xm:sqref>
        </x14:dataValidation>
        <x14:dataValidation type="list" allowBlank="1" showInputMessage="1" showErrorMessage="1" xr:uid="{63C069E7-1E5B-44C2-86E9-CFF91F032F1A}">
          <x14:formula1>
            <xm:f>PARAMETRIZACIÓN!$H$2:$H$3</xm:f>
          </x14:formula1>
          <xm:sqref>C8:C11</xm:sqref>
        </x14:dataValidation>
        <x14:dataValidation type="list" allowBlank="1" showInputMessage="1" showErrorMessage="1" xr:uid="{C969E563-8915-403E-BDCC-1282DC761221}">
          <x14:formula1>
            <xm:f>PARAMETRIZACIÓN!$C$1:$C$2</xm:f>
          </x14:formula1>
          <xm:sqref>G8:G11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0EAC9-DE9D-4213-AC3B-A448079928B7}">
  <dimension ref="A6:F11"/>
  <sheetViews>
    <sheetView showGridLines="0" zoomScale="120" zoomScaleNormal="120" workbookViewId="0">
      <selection activeCell="B18" sqref="B18"/>
    </sheetView>
  </sheetViews>
  <sheetFormatPr defaultColWidth="11.42578125" defaultRowHeight="11.25"/>
  <cols>
    <col min="1" max="1" width="12.140625" style="3" bestFit="1" customWidth="1"/>
    <col min="2" max="2" width="26.140625" style="3" bestFit="1" customWidth="1"/>
    <col min="3" max="3" width="14" style="3" customWidth="1"/>
    <col min="4" max="4" width="8.7109375" style="3" bestFit="1" customWidth="1"/>
    <col min="5" max="5" width="15.5703125" style="3" customWidth="1"/>
    <col min="6" max="6" width="27.42578125" style="3" customWidth="1"/>
    <col min="7" max="16384" width="11.42578125" style="3"/>
  </cols>
  <sheetData>
    <row r="6" spans="1:6" ht="15.75">
      <c r="A6" s="160" t="s">
        <v>39</v>
      </c>
      <c r="B6" s="160"/>
      <c r="C6" s="160"/>
      <c r="D6" s="160"/>
      <c r="E6" s="160"/>
      <c r="F6" s="160"/>
    </row>
    <row r="7" spans="1:6" ht="52.5" customHeight="1">
      <c r="A7" s="6" t="s">
        <v>19</v>
      </c>
      <c r="B7" s="6" t="s">
        <v>41</v>
      </c>
      <c r="C7" s="7" t="s">
        <v>51</v>
      </c>
      <c r="D7" s="7" t="s">
        <v>52</v>
      </c>
      <c r="E7" s="7" t="s">
        <v>53</v>
      </c>
      <c r="F7" s="7" t="s">
        <v>54</v>
      </c>
    </row>
    <row r="8" spans="1:6" ht="32.25" customHeight="1">
      <c r="A8" s="34">
        <f>+PROYECTO!A9</f>
        <v>2022000100103</v>
      </c>
      <c r="B8" s="35" t="str">
        <f>+PROYECTO!$B$9</f>
        <v>Fortalecimiento de la innovación en las MiPymes a partir de los resultados de investigación de las IES del Departamento del Valle del Cauca</v>
      </c>
      <c r="C8" s="51" t="s">
        <v>55</v>
      </c>
      <c r="D8" s="51" t="s">
        <v>55</v>
      </c>
      <c r="E8" s="12" t="s">
        <v>55</v>
      </c>
      <c r="F8" s="35" t="s">
        <v>55</v>
      </c>
    </row>
    <row r="9" spans="1:6" ht="15.75">
      <c r="A9" s="36"/>
      <c r="B9" s="37"/>
      <c r="C9" s="31"/>
      <c r="D9" s="31"/>
      <c r="E9" s="31"/>
      <c r="F9" s="38"/>
    </row>
    <row r="10" spans="1:6" ht="15.75">
      <c r="F10" s="28"/>
    </row>
    <row r="11" spans="1:6" ht="15.75">
      <c r="F11" s="28"/>
    </row>
  </sheetData>
  <mergeCells count="1">
    <mergeCell ref="A6:F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015D1-C2E1-4589-A1FE-76C7E811F584}">
  <dimension ref="A5:AK12"/>
  <sheetViews>
    <sheetView showGridLines="0" topLeftCell="B1" zoomScale="130" zoomScaleNormal="130" workbookViewId="0">
      <selection activeCell="F15" sqref="F15"/>
    </sheetView>
  </sheetViews>
  <sheetFormatPr defaultColWidth="11.42578125" defaultRowHeight="11.25"/>
  <cols>
    <col min="1" max="1" width="42.85546875" style="3" customWidth="1"/>
    <col min="2" max="2" width="11.42578125" style="3"/>
    <col min="3" max="3" width="38" style="3" customWidth="1"/>
    <col min="4" max="4" width="18" style="3" customWidth="1"/>
    <col min="5" max="5" width="20.85546875" style="3" customWidth="1"/>
    <col min="6" max="6" width="11.42578125" style="3"/>
    <col min="7" max="7" width="12.28515625" style="3" customWidth="1"/>
    <col min="8" max="8" width="12.7109375" style="3" customWidth="1"/>
    <col min="9" max="16384" width="11.42578125" style="3"/>
  </cols>
  <sheetData>
    <row r="5" spans="1:37" ht="15.75">
      <c r="B5" s="162" t="s">
        <v>56</v>
      </c>
      <c r="C5" s="162"/>
      <c r="D5" s="162"/>
      <c r="E5" s="162"/>
      <c r="F5" s="162"/>
      <c r="G5" s="162"/>
      <c r="H5" s="162"/>
    </row>
    <row r="6" spans="1:37" ht="38.25" customHeight="1">
      <c r="A6" s="163" t="s">
        <v>57</v>
      </c>
      <c r="B6" s="163" t="s">
        <v>58</v>
      </c>
      <c r="C6" s="163" t="s">
        <v>59</v>
      </c>
      <c r="D6" s="163" t="s">
        <v>60</v>
      </c>
      <c r="E6" s="163" t="s">
        <v>61</v>
      </c>
      <c r="F6" s="163" t="s">
        <v>62</v>
      </c>
      <c r="G6" s="163" t="s">
        <v>63</v>
      </c>
      <c r="H6" s="163" t="s">
        <v>64</v>
      </c>
      <c r="I6" s="9"/>
      <c r="J6" s="9"/>
      <c r="K6" s="9"/>
      <c r="L6" s="9"/>
      <c r="M6" s="9"/>
      <c r="N6" s="9"/>
      <c r="O6" s="9"/>
      <c r="P6" s="9"/>
      <c r="Q6" s="9"/>
      <c r="R6" s="9"/>
      <c r="S6" s="9"/>
      <c r="T6" s="9"/>
      <c r="U6" s="9"/>
      <c r="V6" s="9"/>
      <c r="W6" s="9"/>
      <c r="X6" s="9"/>
      <c r="Y6" s="9"/>
      <c r="Z6" s="9"/>
      <c r="AA6" s="9"/>
      <c r="AB6" s="9"/>
      <c r="AC6" s="9"/>
      <c r="AD6" s="9"/>
      <c r="AE6" s="9"/>
      <c r="AF6" s="9"/>
      <c r="AG6" s="9"/>
      <c r="AH6" s="9"/>
      <c r="AI6" s="9"/>
      <c r="AJ6" s="9"/>
      <c r="AK6" s="9"/>
    </row>
    <row r="7" spans="1:37" ht="12.75" customHeight="1">
      <c r="A7" s="164"/>
      <c r="B7" s="164"/>
      <c r="C7" s="164"/>
      <c r="D7" s="164"/>
      <c r="E7" s="164"/>
      <c r="F7" s="164"/>
      <c r="G7" s="164"/>
      <c r="H7" s="164"/>
    </row>
    <row r="8" spans="1:37" ht="33.75">
      <c r="A8" s="13" t="str">
        <f>+PROYECTO!B9</f>
        <v>Fortalecimiento de la innovación en las MiPymes a partir de los resultados de investigación de las IES del Departamento del Valle del Cauca</v>
      </c>
      <c r="B8" s="14">
        <v>1</v>
      </c>
      <c r="C8" s="13" t="s">
        <v>65</v>
      </c>
      <c r="D8" s="15">
        <v>1405341359.03</v>
      </c>
      <c r="E8" s="13" t="s">
        <v>66</v>
      </c>
      <c r="F8" s="16" t="s">
        <v>67</v>
      </c>
      <c r="G8" s="16" t="s">
        <v>68</v>
      </c>
      <c r="H8" s="14">
        <v>5</v>
      </c>
    </row>
    <row r="9" spans="1:37" ht="33.75">
      <c r="A9" s="13" t="str">
        <f>+PROYECTO!B9</f>
        <v>Fortalecimiento de la innovación en las MiPymes a partir de los resultados de investigación de las IES del Departamento del Valle del Cauca</v>
      </c>
      <c r="B9" s="14">
        <v>2</v>
      </c>
      <c r="C9" s="13" t="s">
        <v>69</v>
      </c>
      <c r="D9" s="15">
        <v>1291004270.5</v>
      </c>
      <c r="E9" s="13" t="s">
        <v>70</v>
      </c>
      <c r="F9" s="16" t="s">
        <v>71</v>
      </c>
      <c r="G9" s="14" t="s">
        <v>68</v>
      </c>
      <c r="H9" s="14">
        <v>20</v>
      </c>
    </row>
    <row r="10" spans="1:37" ht="34.5" thickBot="1">
      <c r="A10" s="17" t="str">
        <f>+PROYECTO!B9</f>
        <v>Fortalecimiento de la innovación en las MiPymes a partir de los resultados de investigación de las IES del Departamento del Valle del Cauca</v>
      </c>
      <c r="B10" s="18">
        <v>3</v>
      </c>
      <c r="C10" s="17" t="s">
        <v>72</v>
      </c>
      <c r="D10" s="19">
        <v>2996992201.25</v>
      </c>
      <c r="E10" s="17" t="s">
        <v>73</v>
      </c>
      <c r="F10" s="20" t="s">
        <v>74</v>
      </c>
      <c r="G10" s="18" t="s">
        <v>68</v>
      </c>
      <c r="H10" s="18">
        <v>10</v>
      </c>
    </row>
    <row r="11" spans="1:37" ht="12" thickBot="1">
      <c r="A11" s="5"/>
      <c r="B11" s="5"/>
      <c r="C11" s="5"/>
      <c r="D11" s="129">
        <f>SUM(D8:D10)</f>
        <v>5693337830.7799997</v>
      </c>
      <c r="E11" s="5"/>
      <c r="F11" s="5"/>
      <c r="G11" s="5"/>
      <c r="H11" s="5"/>
    </row>
    <row r="12" spans="1:37" ht="12" thickTop="1"/>
  </sheetData>
  <mergeCells count="9">
    <mergeCell ref="B5:H5"/>
    <mergeCell ref="G6:G7"/>
    <mergeCell ref="H6:H7"/>
    <mergeCell ref="A6:A7"/>
    <mergeCell ref="B6:B7"/>
    <mergeCell ref="C6:C7"/>
    <mergeCell ref="D6:D7"/>
    <mergeCell ref="E6:E7"/>
    <mergeCell ref="F6:F7"/>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903844F-EE81-4C27-B6E3-AA23417FAAFA}">
          <x14:formula1>
            <xm:f>PARAMETRIZACIÓN!$I$2:$I$6</xm:f>
          </x14:formula1>
          <xm:sqref>B8:B10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589B-B13F-41DA-8985-D1C0B7894A45}">
  <dimension ref="A3:AX33"/>
  <sheetViews>
    <sheetView showGridLines="0" topLeftCell="F1" zoomScale="115" zoomScaleNormal="115" workbookViewId="0">
      <pane ySplit="9" topLeftCell="A10" activePane="bottomLeft" state="frozen"/>
      <selection pane="bottomLeft" activeCell="O14" sqref="O14:P14"/>
    </sheetView>
  </sheetViews>
  <sheetFormatPr defaultColWidth="11.42578125" defaultRowHeight="11.25"/>
  <cols>
    <col min="1" max="1" width="12.42578125" style="3" bestFit="1" customWidth="1"/>
    <col min="2" max="2" width="32.85546875" style="3" customWidth="1"/>
    <col min="3" max="3" width="32.7109375" style="3" customWidth="1"/>
    <col min="4" max="4" width="5.5703125" style="3" customWidth="1"/>
    <col min="5" max="5" width="12.7109375" style="4" customWidth="1"/>
    <col min="6" max="6" width="37.140625" style="4" customWidth="1"/>
    <col min="7" max="7" width="8.42578125" style="3" customWidth="1"/>
    <col min="8" max="8" width="10" style="3" customWidth="1"/>
    <col min="9" max="9" width="11.5703125" style="3" customWidth="1"/>
    <col min="10" max="10" width="14.85546875" style="3" customWidth="1"/>
    <col min="11" max="11" width="10.7109375" style="3" customWidth="1"/>
    <col min="12" max="12" width="8.140625" style="3" customWidth="1"/>
    <col min="13" max="13" width="4.42578125" style="3" customWidth="1"/>
    <col min="14" max="14" width="10.85546875" style="3" customWidth="1"/>
    <col min="15" max="15" width="9.28515625" style="3" customWidth="1"/>
    <col min="16" max="17" width="8.7109375" style="3" customWidth="1"/>
    <col min="18" max="18" width="6" style="3" bestFit="1" customWidth="1"/>
    <col min="19" max="21" width="5.42578125" style="3" bestFit="1" customWidth="1"/>
    <col min="22" max="22" width="6" style="3" bestFit="1" customWidth="1"/>
    <col min="23" max="26" width="5.42578125" style="3" bestFit="1" customWidth="1"/>
    <col min="27" max="35" width="6.28515625" style="3" bestFit="1" customWidth="1"/>
    <col min="36" max="47" width="6.28515625" style="3" customWidth="1"/>
    <col min="48" max="48" width="8.28515625" style="3" customWidth="1"/>
    <col min="49" max="49" width="15.140625" style="3" customWidth="1"/>
    <col min="50" max="50" width="9" style="3" bestFit="1" customWidth="1"/>
    <col min="51" max="16384" width="11.42578125" style="3"/>
  </cols>
  <sheetData>
    <row r="3" spans="1:50">
      <c r="H3" s="14">
        <v>30</v>
      </c>
      <c r="I3" s="14">
        <v>1</v>
      </c>
      <c r="J3" s="14">
        <v>30</v>
      </c>
      <c r="K3" s="14"/>
      <c r="L3" s="14"/>
      <c r="M3" s="14">
        <f t="shared" ref="M3" si="0">H3*30</f>
        <v>900</v>
      </c>
      <c r="N3" s="14">
        <f t="shared" ref="N3" si="1">+O3-(O3*20%)</f>
        <v>728</v>
      </c>
      <c r="O3" s="95">
        <v>910</v>
      </c>
      <c r="P3" s="95">
        <v>942</v>
      </c>
      <c r="Q3" s="101">
        <f t="shared" ref="Q3" si="2">+(N3+4*(O3)+P3)/6</f>
        <v>885</v>
      </c>
      <c r="R3" s="143"/>
      <c r="S3" s="143">
        <f>915-Q3</f>
        <v>30</v>
      </c>
    </row>
    <row r="5" spans="1:50" ht="15.75">
      <c r="A5" s="162" t="s">
        <v>75</v>
      </c>
      <c r="B5" s="162"/>
      <c r="C5" s="162"/>
      <c r="D5" s="162"/>
      <c r="E5" s="162"/>
      <c r="F5" s="162"/>
      <c r="G5" s="162"/>
      <c r="H5" s="162"/>
      <c r="I5" s="162"/>
      <c r="J5" s="162"/>
      <c r="R5" s="162" t="s">
        <v>76</v>
      </c>
      <c r="S5" s="162"/>
      <c r="T5" s="162"/>
      <c r="U5" s="162"/>
      <c r="V5" s="162"/>
      <c r="W5" s="162"/>
      <c r="X5" s="162"/>
      <c r="Y5" s="162"/>
      <c r="Z5" s="162"/>
      <c r="AA5" s="162"/>
      <c r="AB5" s="162"/>
      <c r="AC5" s="162"/>
      <c r="AD5" s="162"/>
      <c r="AE5" s="162"/>
      <c r="AF5" s="162"/>
      <c r="AG5" s="162"/>
      <c r="AH5" s="162"/>
      <c r="AI5" s="162"/>
      <c r="AJ5" s="120"/>
      <c r="AK5" s="120"/>
      <c r="AL5" s="120"/>
      <c r="AM5" s="120"/>
      <c r="AN5" s="120"/>
      <c r="AO5" s="120"/>
      <c r="AP5" s="120"/>
      <c r="AQ5" s="120"/>
      <c r="AR5" s="120"/>
      <c r="AS5" s="120"/>
      <c r="AT5" s="120"/>
      <c r="AU5" s="120"/>
    </row>
    <row r="6" spans="1:50" ht="12" customHeight="1">
      <c r="A6" s="168" t="s">
        <v>19</v>
      </c>
      <c r="B6" s="166" t="s">
        <v>77</v>
      </c>
      <c r="C6" s="169" t="s">
        <v>58</v>
      </c>
      <c r="D6" s="169" t="s">
        <v>78</v>
      </c>
      <c r="E6" s="166" t="s">
        <v>79</v>
      </c>
      <c r="F6" s="166" t="s">
        <v>80</v>
      </c>
      <c r="G6" s="166" t="s">
        <v>81</v>
      </c>
      <c r="H6" s="166" t="s">
        <v>82</v>
      </c>
      <c r="I6" s="166" t="s">
        <v>83</v>
      </c>
      <c r="J6" s="166" t="s">
        <v>84</v>
      </c>
      <c r="K6" s="165" t="s">
        <v>85</v>
      </c>
      <c r="L6" s="165" t="s">
        <v>86</v>
      </c>
      <c r="M6" s="165" t="s">
        <v>87</v>
      </c>
      <c r="N6" s="165" t="s">
        <v>88</v>
      </c>
      <c r="O6" s="165" t="s">
        <v>89</v>
      </c>
      <c r="P6" s="165" t="s">
        <v>90</v>
      </c>
      <c r="Q6" s="165" t="s">
        <v>91</v>
      </c>
      <c r="R6" s="167"/>
      <c r="S6" s="167"/>
      <c r="T6" s="167"/>
      <c r="U6" s="167"/>
      <c r="V6" s="167"/>
      <c r="W6" s="167"/>
      <c r="X6" s="167"/>
      <c r="Y6" s="167"/>
      <c r="Z6" s="167"/>
      <c r="AA6" s="167"/>
      <c r="AB6" s="167"/>
      <c r="AC6" s="167"/>
      <c r="AD6" s="167"/>
      <c r="AE6" s="167"/>
      <c r="AF6" s="167"/>
      <c r="AG6" s="167"/>
      <c r="AH6" s="167"/>
      <c r="AI6" s="167"/>
      <c r="AJ6" s="103"/>
      <c r="AK6" s="103"/>
      <c r="AL6" s="103"/>
      <c r="AM6" s="103"/>
      <c r="AN6" s="103"/>
      <c r="AO6" s="103"/>
      <c r="AP6" s="103"/>
      <c r="AQ6" s="103"/>
      <c r="AR6" s="103"/>
      <c r="AS6" s="103"/>
      <c r="AT6" s="103"/>
      <c r="AU6" s="103"/>
      <c r="AV6" s="166" t="s">
        <v>92</v>
      </c>
      <c r="AW6" s="166" t="s">
        <v>93</v>
      </c>
      <c r="AX6" s="166" t="s">
        <v>94</v>
      </c>
    </row>
    <row r="7" spans="1:50" ht="12.75" customHeight="1">
      <c r="A7" s="168"/>
      <c r="B7" s="166"/>
      <c r="C7" s="166"/>
      <c r="D7" s="166"/>
      <c r="E7" s="166"/>
      <c r="F7" s="166"/>
      <c r="G7" s="166"/>
      <c r="H7" s="166"/>
      <c r="I7" s="166"/>
      <c r="J7" s="166"/>
      <c r="K7" s="165"/>
      <c r="L7" s="165"/>
      <c r="M7" s="165"/>
      <c r="N7" s="165"/>
      <c r="O7" s="165"/>
      <c r="P7" s="165"/>
      <c r="Q7" s="165"/>
      <c r="R7" s="103" t="s">
        <v>95</v>
      </c>
      <c r="S7" s="103" t="s">
        <v>96</v>
      </c>
      <c r="T7" s="103" t="s">
        <v>97</v>
      </c>
      <c r="U7" s="103" t="s">
        <v>98</v>
      </c>
      <c r="V7" s="103" t="s">
        <v>99</v>
      </c>
      <c r="W7" s="103" t="s">
        <v>100</v>
      </c>
      <c r="X7" s="103" t="s">
        <v>101</v>
      </c>
      <c r="Y7" s="103" t="s">
        <v>102</v>
      </c>
      <c r="Z7" s="103" t="s">
        <v>103</v>
      </c>
      <c r="AA7" s="103" t="s">
        <v>104</v>
      </c>
      <c r="AB7" s="103" t="s">
        <v>105</v>
      </c>
      <c r="AC7" s="103" t="s">
        <v>106</v>
      </c>
      <c r="AD7" s="103" t="s">
        <v>107</v>
      </c>
      <c r="AE7" s="103" t="s">
        <v>108</v>
      </c>
      <c r="AF7" s="103" t="s">
        <v>109</v>
      </c>
      <c r="AG7" s="103" t="s">
        <v>110</v>
      </c>
      <c r="AH7" s="103" t="s">
        <v>111</v>
      </c>
      <c r="AI7" s="103" t="s">
        <v>112</v>
      </c>
      <c r="AJ7" s="103" t="s">
        <v>113</v>
      </c>
      <c r="AK7" s="103" t="s">
        <v>114</v>
      </c>
      <c r="AL7" s="103" t="s">
        <v>115</v>
      </c>
      <c r="AM7" s="103" t="s">
        <v>116</v>
      </c>
      <c r="AN7" s="103" t="s">
        <v>117</v>
      </c>
      <c r="AO7" s="103" t="s">
        <v>118</v>
      </c>
      <c r="AP7" s="103" t="s">
        <v>119</v>
      </c>
      <c r="AQ7" s="103" t="s">
        <v>120</v>
      </c>
      <c r="AR7" s="103" t="s">
        <v>121</v>
      </c>
      <c r="AS7" s="103" t="s">
        <v>122</v>
      </c>
      <c r="AT7" s="103" t="s">
        <v>123</v>
      </c>
      <c r="AU7" s="103" t="s">
        <v>124</v>
      </c>
      <c r="AV7" s="166"/>
      <c r="AW7" s="166"/>
      <c r="AX7" s="166"/>
    </row>
    <row r="8" spans="1:50" ht="12" customHeight="1">
      <c r="A8" s="168"/>
      <c r="B8" s="166"/>
      <c r="C8" s="166"/>
      <c r="D8" s="166"/>
      <c r="E8" s="166"/>
      <c r="F8" s="166"/>
      <c r="G8" s="166"/>
      <c r="H8" s="166"/>
      <c r="I8" s="166"/>
      <c r="J8" s="166"/>
      <c r="K8" s="165"/>
      <c r="L8" s="165"/>
      <c r="M8" s="165"/>
      <c r="N8" s="165"/>
      <c r="O8" s="165"/>
      <c r="P8" s="165"/>
      <c r="Q8" s="165"/>
      <c r="R8" s="94" t="s">
        <v>125</v>
      </c>
      <c r="S8" s="94" t="s">
        <v>126</v>
      </c>
      <c r="T8" s="94" t="s">
        <v>127</v>
      </c>
      <c r="U8" s="94" t="s">
        <v>128</v>
      </c>
      <c r="V8" s="94" t="s">
        <v>129</v>
      </c>
      <c r="W8" s="94" t="s">
        <v>130</v>
      </c>
      <c r="X8" s="94" t="s">
        <v>131</v>
      </c>
      <c r="Y8" s="94" t="s">
        <v>132</v>
      </c>
      <c r="Z8" s="94" t="s">
        <v>133</v>
      </c>
      <c r="AA8" s="94" t="s">
        <v>134</v>
      </c>
      <c r="AB8" s="94" t="s">
        <v>135</v>
      </c>
      <c r="AC8" s="94" t="s">
        <v>136</v>
      </c>
      <c r="AD8" s="94" t="s">
        <v>125</v>
      </c>
      <c r="AE8" s="94" t="s">
        <v>126</v>
      </c>
      <c r="AF8" s="94" t="s">
        <v>127</v>
      </c>
      <c r="AG8" s="94" t="s">
        <v>128</v>
      </c>
      <c r="AH8" s="94" t="s">
        <v>129</v>
      </c>
      <c r="AI8" s="94" t="s">
        <v>130</v>
      </c>
      <c r="AJ8" s="94" t="s">
        <v>131</v>
      </c>
      <c r="AK8" s="94" t="s">
        <v>137</v>
      </c>
      <c r="AL8" s="94" t="s">
        <v>133</v>
      </c>
      <c r="AM8" s="94" t="s">
        <v>134</v>
      </c>
      <c r="AN8" s="94" t="s">
        <v>138</v>
      </c>
      <c r="AO8" s="94" t="s">
        <v>139</v>
      </c>
      <c r="AP8" s="94" t="s">
        <v>140</v>
      </c>
      <c r="AQ8" s="94" t="s">
        <v>141</v>
      </c>
      <c r="AR8" s="94" t="s">
        <v>142</v>
      </c>
      <c r="AS8" s="94" t="s">
        <v>143</v>
      </c>
      <c r="AT8" s="94" t="s">
        <v>129</v>
      </c>
      <c r="AU8" s="94" t="s">
        <v>130</v>
      </c>
      <c r="AV8" s="166"/>
      <c r="AW8" s="166"/>
      <c r="AX8" s="166"/>
    </row>
    <row r="9" spans="1:50" s="1" customFormat="1" ht="27" customHeight="1">
      <c r="A9" s="168"/>
      <c r="B9" s="166"/>
      <c r="C9" s="166"/>
      <c r="D9" s="166"/>
      <c r="E9" s="166"/>
      <c r="F9" s="166"/>
      <c r="G9" s="166"/>
      <c r="H9" s="166"/>
      <c r="I9" s="166"/>
      <c r="J9" s="166"/>
      <c r="K9" s="165"/>
      <c r="L9" s="165"/>
      <c r="M9" s="165"/>
      <c r="N9" s="165"/>
      <c r="O9" s="165"/>
      <c r="P9" s="165"/>
      <c r="Q9" s="165"/>
      <c r="R9" s="93">
        <f>VLOOKUP(R8,[2]Hoja1!$B$2:$C$13,2,0)</f>
        <v>30</v>
      </c>
      <c r="S9" s="93">
        <f>VLOOKUP(S8,[2]Hoja1!$B$2:$C$13,2,0)</f>
        <v>31</v>
      </c>
      <c r="T9" s="93">
        <f>VLOOKUP(T8,[2]Hoja1!$B$2:$C$13,2,0)</f>
        <v>31</v>
      </c>
      <c r="U9" s="93">
        <f>VLOOKUP(U8,[2]Hoja1!$B$2:$C$13,2,0)</f>
        <v>30</v>
      </c>
      <c r="V9" s="93">
        <f>VLOOKUP(V8,[2]Hoja1!$B$2:$C$13,2,0)</f>
        <v>31</v>
      </c>
      <c r="W9" s="93">
        <f>VLOOKUP(W8,[2]Hoja1!$B$2:$C$13,2,0)</f>
        <v>30</v>
      </c>
      <c r="X9" s="93">
        <f>VLOOKUP(X8,[2]Hoja1!$B$2:$C$13,2,0)</f>
        <v>31</v>
      </c>
      <c r="Y9" s="93">
        <f>VLOOKUP(Y8,[2]Hoja1!$B$2:$C$13,2,0)</f>
        <v>30</v>
      </c>
      <c r="Z9" s="93">
        <f>VLOOKUP(Z8,[2]Hoja1!$B$2:$C$13,2,0)</f>
        <v>28</v>
      </c>
      <c r="AA9" s="93">
        <f>VLOOKUP(AA8,[2]Hoja1!$B$2:$C$13,2,0)</f>
        <v>31</v>
      </c>
      <c r="AB9" s="93">
        <f>VLOOKUP(AB8,[2]Hoja1!$B$2:$C$13,2,0)</f>
        <v>30</v>
      </c>
      <c r="AC9" s="93">
        <f>VLOOKUP(AC8,[2]Hoja1!$B$2:$C$13,2,0)</f>
        <v>31</v>
      </c>
      <c r="AD9" s="93">
        <f>VLOOKUP(AD8,[2]Hoja1!$B$2:$C$13,2,0)</f>
        <v>30</v>
      </c>
      <c r="AE9" s="93">
        <f>VLOOKUP(AE8,[2]Hoja1!$B$2:$C$13,2,0)</f>
        <v>31</v>
      </c>
      <c r="AF9" s="93">
        <f>VLOOKUP(AF8,[2]Hoja1!$B$2:$C$13,2,0)</f>
        <v>31</v>
      </c>
      <c r="AG9" s="93">
        <f>VLOOKUP(AG8,[2]Hoja1!$B$2:$C$13,2,0)</f>
        <v>30</v>
      </c>
      <c r="AH9" s="93">
        <f>VLOOKUP(AH8,[2]Hoja1!$B$2:$C$13,2,0)</f>
        <v>31</v>
      </c>
      <c r="AI9" s="93">
        <f>VLOOKUP(AI8,[2]Hoja1!$B$2:$C$13,2,0)</f>
        <v>30</v>
      </c>
      <c r="AJ9" s="93">
        <f>VLOOKUP(AJ8,[2]Hoja1!$B$2:$C$13,2,0)</f>
        <v>31</v>
      </c>
      <c r="AK9" s="93"/>
      <c r="AL9" s="93"/>
      <c r="AM9" s="93"/>
      <c r="AN9" s="93"/>
      <c r="AO9" s="93"/>
      <c r="AP9" s="93"/>
      <c r="AQ9" s="93"/>
      <c r="AR9" s="93"/>
      <c r="AS9" s="93"/>
      <c r="AT9" s="93"/>
      <c r="AU9" s="93"/>
      <c r="AV9" s="166"/>
      <c r="AW9" s="166"/>
      <c r="AX9" s="166"/>
    </row>
    <row r="10" spans="1:50" ht="11.25" customHeight="1">
      <c r="A10" s="99">
        <f>+PROYECTO!$A$9</f>
        <v>2022000100103</v>
      </c>
      <c r="B10" s="114" t="str">
        <f>+PROYECTO!$B$9</f>
        <v>Fortalecimiento de la innovación en las MiPymes a partir de los resultados de investigación de las IES del Departamento del Valle del Cauca</v>
      </c>
      <c r="C10" s="114" t="s">
        <v>144</v>
      </c>
      <c r="D10" s="115"/>
      <c r="E10" s="116" t="s">
        <v>145</v>
      </c>
      <c r="F10" s="117" t="s">
        <v>146</v>
      </c>
      <c r="G10" s="14" t="s">
        <v>78</v>
      </c>
      <c r="H10" s="14">
        <v>30</v>
      </c>
      <c r="I10" s="14">
        <v>1</v>
      </c>
      <c r="J10" s="14">
        <v>30</v>
      </c>
      <c r="K10" s="14"/>
      <c r="L10" s="14"/>
      <c r="M10" s="14">
        <f>H10*30</f>
        <v>900</v>
      </c>
      <c r="N10" s="3">
        <v>752</v>
      </c>
      <c r="O10" s="3">
        <v>942</v>
      </c>
      <c r="P10" s="3">
        <v>972</v>
      </c>
      <c r="Q10" s="101">
        <f>+(N10+4*(O10)+P10)/6</f>
        <v>915.33333333333337</v>
      </c>
      <c r="R10" s="14" t="s">
        <v>147</v>
      </c>
      <c r="S10" s="14" t="s">
        <v>147</v>
      </c>
      <c r="T10" s="14" t="s">
        <v>147</v>
      </c>
      <c r="U10" s="14" t="s">
        <v>147</v>
      </c>
      <c r="V10" s="14" t="s">
        <v>147</v>
      </c>
      <c r="W10" s="14" t="s">
        <v>147</v>
      </c>
      <c r="X10" s="14" t="s">
        <v>147</v>
      </c>
      <c r="Y10" s="14" t="s">
        <v>147</v>
      </c>
      <c r="Z10" s="14" t="s">
        <v>147</v>
      </c>
      <c r="AA10" s="14" t="s">
        <v>147</v>
      </c>
      <c r="AB10" s="14" t="s">
        <v>147</v>
      </c>
      <c r="AC10" s="14" t="s">
        <v>147</v>
      </c>
      <c r="AD10" s="14" t="s">
        <v>147</v>
      </c>
      <c r="AE10" s="14" t="s">
        <v>147</v>
      </c>
      <c r="AF10" s="14" t="s">
        <v>147</v>
      </c>
      <c r="AG10" s="14" t="s">
        <v>147</v>
      </c>
      <c r="AH10" s="14" t="s">
        <v>147</v>
      </c>
      <c r="AI10" s="14" t="s">
        <v>147</v>
      </c>
      <c r="AJ10" s="14" t="s">
        <v>147</v>
      </c>
      <c r="AK10" s="14" t="s">
        <v>147</v>
      </c>
      <c r="AL10" s="14" t="s">
        <v>147</v>
      </c>
      <c r="AM10" s="14" t="s">
        <v>147</v>
      </c>
      <c r="AN10" s="14" t="s">
        <v>147</v>
      </c>
      <c r="AO10" s="14" t="s">
        <v>147</v>
      </c>
      <c r="AP10" s="14" t="s">
        <v>147</v>
      </c>
      <c r="AQ10" s="14" t="s">
        <v>147</v>
      </c>
      <c r="AR10" s="14" t="s">
        <v>147</v>
      </c>
      <c r="AS10" s="14" t="s">
        <v>147</v>
      </c>
      <c r="AT10" s="14" t="s">
        <v>147</v>
      </c>
      <c r="AU10" s="14" t="s">
        <v>147</v>
      </c>
      <c r="AV10" s="78">
        <f>+'POA TÉCNICO'!K11</f>
        <v>2.4706572221941288E-2</v>
      </c>
      <c r="AW10" s="79">
        <f>+'POA FINAN'!H10</f>
        <v>140662862.29999998</v>
      </c>
      <c r="AX10" s="79"/>
    </row>
    <row r="11" spans="1:50" ht="24" customHeight="1">
      <c r="A11" s="99">
        <f>+PROYECTO!$A$9</f>
        <v>2022000100103</v>
      </c>
      <c r="B11" s="114" t="str">
        <f>+PROYECTO!$B$9</f>
        <v>Fortalecimiento de la innovación en las MiPymes a partir de los resultados de investigación de las IES del Departamento del Valle del Cauca</v>
      </c>
      <c r="C11" s="114" t="s">
        <v>144</v>
      </c>
      <c r="D11" s="115"/>
      <c r="E11" s="116" t="s">
        <v>148</v>
      </c>
      <c r="F11" s="117" t="s">
        <v>149</v>
      </c>
      <c r="G11" s="14" t="s">
        <v>78</v>
      </c>
      <c r="H11" s="14">
        <v>10</v>
      </c>
      <c r="I11" s="14">
        <v>1</v>
      </c>
      <c r="J11" s="14">
        <v>10</v>
      </c>
      <c r="K11" s="14"/>
      <c r="L11" s="14"/>
      <c r="M11" s="14">
        <f t="shared" ref="M11:M23" si="3">H11*30</f>
        <v>300</v>
      </c>
      <c r="N11" s="14">
        <f t="shared" ref="N11:N21" si="4">+O11-(O11*20%)</f>
        <v>224</v>
      </c>
      <c r="O11" s="142">
        <f>H11*28</f>
        <v>280</v>
      </c>
      <c r="P11" s="95">
        <f>+O11+30</f>
        <v>310</v>
      </c>
      <c r="Q11" s="101">
        <f t="shared" ref="Q11:Q23" si="5">+(N11+4*(O11)+P11)/6</f>
        <v>275.66666666666669</v>
      </c>
      <c r="R11" s="14" t="s">
        <v>147</v>
      </c>
      <c r="S11" s="14" t="s">
        <v>147</v>
      </c>
      <c r="T11" s="14" t="s">
        <v>147</v>
      </c>
      <c r="U11" s="14" t="s">
        <v>147</v>
      </c>
      <c r="V11" s="14" t="s">
        <v>147</v>
      </c>
      <c r="W11" s="14" t="s">
        <v>147</v>
      </c>
      <c r="X11" s="14" t="s">
        <v>147</v>
      </c>
      <c r="Y11" s="14" t="s">
        <v>147</v>
      </c>
      <c r="Z11" s="14" t="s">
        <v>147</v>
      </c>
      <c r="AA11" s="14" t="s">
        <v>147</v>
      </c>
      <c r="AB11" s="14"/>
      <c r="AC11" s="14"/>
      <c r="AD11" s="14"/>
      <c r="AE11" s="14"/>
      <c r="AF11" s="14"/>
      <c r="AG11" s="14"/>
      <c r="AH11" s="14"/>
      <c r="AI11" s="14"/>
      <c r="AJ11" s="14"/>
      <c r="AK11" s="14"/>
      <c r="AL11" s="14"/>
      <c r="AM11" s="14"/>
      <c r="AN11" s="14"/>
      <c r="AO11" s="14"/>
      <c r="AP11" s="14"/>
      <c r="AQ11" s="14"/>
      <c r="AR11" s="14"/>
      <c r="AS11" s="14"/>
      <c r="AT11" s="14"/>
      <c r="AU11" s="14"/>
      <c r="AV11" s="78">
        <f>+'POA TÉCNICO'!K19</f>
        <v>2.6248913509424984E-2</v>
      </c>
      <c r="AW11" s="79">
        <f>+'POA FINAN'!H11</f>
        <v>58509816.000000015</v>
      </c>
      <c r="AX11" s="79"/>
    </row>
    <row r="12" spans="1:50" ht="23.25" customHeight="1">
      <c r="A12" s="99">
        <f>+PROYECTO!$A$9</f>
        <v>2022000100103</v>
      </c>
      <c r="B12" s="114" t="str">
        <f>+PROYECTO!$B$9</f>
        <v>Fortalecimiento de la innovación en las MiPymes a partir de los resultados de investigación de las IES del Departamento del Valle del Cauca</v>
      </c>
      <c r="C12" s="114" t="s">
        <v>144</v>
      </c>
      <c r="D12" s="115"/>
      <c r="E12" s="116" t="s">
        <v>150</v>
      </c>
      <c r="F12" s="117" t="s">
        <v>151</v>
      </c>
      <c r="G12" s="14" t="s">
        <v>78</v>
      </c>
      <c r="H12" s="14">
        <v>7</v>
      </c>
      <c r="I12" s="14">
        <v>4</v>
      </c>
      <c r="J12" s="14">
        <v>10</v>
      </c>
      <c r="K12" s="14" t="s">
        <v>152</v>
      </c>
      <c r="L12" s="14" t="s">
        <v>153</v>
      </c>
      <c r="M12" s="14">
        <f t="shared" si="3"/>
        <v>210</v>
      </c>
      <c r="N12" s="14">
        <f t="shared" si="4"/>
        <v>151.19999999999999</v>
      </c>
      <c r="O12" s="142">
        <f>H12*27</f>
        <v>189</v>
      </c>
      <c r="P12" s="142">
        <v>210</v>
      </c>
      <c r="Q12" s="101">
        <f t="shared" si="5"/>
        <v>186.20000000000002</v>
      </c>
      <c r="R12" s="14"/>
      <c r="S12" s="14"/>
      <c r="T12" s="14"/>
      <c r="U12" s="14" t="s">
        <v>147</v>
      </c>
      <c r="V12" s="14" t="s">
        <v>147</v>
      </c>
      <c r="W12" s="14" t="s">
        <v>147</v>
      </c>
      <c r="X12" s="14" t="s">
        <v>147</v>
      </c>
      <c r="Y12" s="14" t="s">
        <v>147</v>
      </c>
      <c r="Z12" s="14" t="s">
        <v>147</v>
      </c>
      <c r="AA12" s="14" t="s">
        <v>147</v>
      </c>
      <c r="AB12" s="14"/>
      <c r="AC12" s="14"/>
      <c r="AD12" s="14"/>
      <c r="AE12" s="14"/>
      <c r="AF12" s="14"/>
      <c r="AG12" s="14"/>
      <c r="AH12" s="14"/>
      <c r="AI12" s="14"/>
      <c r="AJ12" s="14"/>
      <c r="AK12" s="14"/>
      <c r="AL12" s="14"/>
      <c r="AM12" s="14"/>
      <c r="AN12" s="14"/>
      <c r="AO12" s="14"/>
      <c r="AP12" s="14"/>
      <c r="AQ12" s="14"/>
      <c r="AR12" s="14"/>
      <c r="AS12" s="14"/>
      <c r="AT12" s="14"/>
      <c r="AU12" s="14"/>
      <c r="AV12" s="78">
        <f>+'POA TÉCNICO'!K20+'POA TÉCNICO'!K21</f>
        <v>6.7149549431854416E-2</v>
      </c>
      <c r="AW12" s="79">
        <f>+'POA FINAN'!H12</f>
        <v>59118556.137799993</v>
      </c>
      <c r="AX12" s="79"/>
    </row>
    <row r="13" spans="1:50" ht="11.25" customHeight="1">
      <c r="A13" s="99">
        <f>+PROYECTO!$A$9</f>
        <v>2022000100103</v>
      </c>
      <c r="B13" s="114" t="str">
        <f>+PROYECTO!$B$9</f>
        <v>Fortalecimiento de la innovación en las MiPymes a partir de los resultados de investigación de las IES del Departamento del Valle del Cauca</v>
      </c>
      <c r="C13" s="114" t="s">
        <v>144</v>
      </c>
      <c r="D13" s="115"/>
      <c r="E13" s="116" t="s">
        <v>154</v>
      </c>
      <c r="F13" s="117" t="s">
        <v>155</v>
      </c>
      <c r="G13" s="14" t="s">
        <v>78</v>
      </c>
      <c r="H13" s="14">
        <v>12</v>
      </c>
      <c r="I13" s="14">
        <v>2</v>
      </c>
      <c r="J13" s="14">
        <v>13</v>
      </c>
      <c r="K13" s="14" t="s">
        <v>152</v>
      </c>
      <c r="L13" s="14" t="s">
        <v>153</v>
      </c>
      <c r="M13" s="14">
        <f t="shared" si="3"/>
        <v>360</v>
      </c>
      <c r="N13" s="14">
        <f t="shared" si="4"/>
        <v>268.8</v>
      </c>
      <c r="O13" s="142">
        <f>H13*28</f>
        <v>336</v>
      </c>
      <c r="P13" s="95">
        <f t="shared" ref="P13:P21" si="6">+O13+30</f>
        <v>366</v>
      </c>
      <c r="Q13" s="101">
        <f t="shared" si="5"/>
        <v>329.8</v>
      </c>
      <c r="R13" s="14"/>
      <c r="S13" s="14" t="s">
        <v>147</v>
      </c>
      <c r="T13" s="14" t="s">
        <v>147</v>
      </c>
      <c r="U13" s="14" t="s">
        <v>147</v>
      </c>
      <c r="V13" s="14" t="s">
        <v>147</v>
      </c>
      <c r="W13" s="14" t="s">
        <v>147</v>
      </c>
      <c r="X13" s="14" t="s">
        <v>147</v>
      </c>
      <c r="Y13" s="14" t="s">
        <v>147</v>
      </c>
      <c r="Z13" s="14" t="s">
        <v>147</v>
      </c>
      <c r="AA13" s="14" t="s">
        <v>147</v>
      </c>
      <c r="AB13" s="14" t="s">
        <v>147</v>
      </c>
      <c r="AC13" s="14" t="s">
        <v>147</v>
      </c>
      <c r="AD13" s="14" t="s">
        <v>147</v>
      </c>
      <c r="AE13" s="14"/>
      <c r="AF13" s="14"/>
      <c r="AG13" s="14"/>
      <c r="AH13" s="14"/>
      <c r="AI13" s="14"/>
      <c r="AJ13" s="14"/>
      <c r="AK13" s="14"/>
      <c r="AL13" s="14"/>
      <c r="AM13" s="14"/>
      <c r="AN13" s="14"/>
      <c r="AO13" s="14"/>
      <c r="AP13" s="14"/>
      <c r="AQ13" s="14"/>
      <c r="AR13" s="14"/>
      <c r="AS13" s="14"/>
      <c r="AT13" s="14"/>
      <c r="AU13" s="14"/>
      <c r="AV13" s="78">
        <f>+'POA TÉCNICO'!K22+'POA TÉCNICO'!K23</f>
        <v>5.9346850519477024E-2</v>
      </c>
      <c r="AW13" s="79">
        <f>+'POA FINAN'!H14</f>
        <v>47056979.892000005</v>
      </c>
      <c r="AX13" s="79"/>
    </row>
    <row r="14" spans="1:50" ht="11.25" customHeight="1">
      <c r="A14" s="99">
        <f>+PROYECTO!$A$9</f>
        <v>2022000100103</v>
      </c>
      <c r="B14" s="114" t="str">
        <f>+PROYECTO!$B$9</f>
        <v>Fortalecimiento de la innovación en las MiPymes a partir de los resultados de investigación de las IES del Departamento del Valle del Cauca</v>
      </c>
      <c r="C14" s="114" t="s">
        <v>144</v>
      </c>
      <c r="D14" s="115"/>
      <c r="E14" s="116" t="s">
        <v>156</v>
      </c>
      <c r="F14" s="117" t="s">
        <v>157</v>
      </c>
      <c r="G14" s="14" t="s">
        <v>78</v>
      </c>
      <c r="H14" s="14">
        <v>6</v>
      </c>
      <c r="I14" s="14">
        <v>11</v>
      </c>
      <c r="J14" s="14">
        <v>16</v>
      </c>
      <c r="K14" s="14" t="s">
        <v>158</v>
      </c>
      <c r="L14" s="14" t="s">
        <v>159</v>
      </c>
      <c r="M14" s="14">
        <f t="shared" si="3"/>
        <v>180</v>
      </c>
      <c r="N14" s="14">
        <f t="shared" si="4"/>
        <v>139.19999999999999</v>
      </c>
      <c r="O14" s="142">
        <f>H14*29</f>
        <v>174</v>
      </c>
      <c r="P14" s="142">
        <f>+O14+19</f>
        <v>193</v>
      </c>
      <c r="Q14" s="101">
        <f t="shared" si="5"/>
        <v>171.36666666666667</v>
      </c>
      <c r="R14" s="14"/>
      <c r="S14" s="14"/>
      <c r="T14" s="14"/>
      <c r="U14" s="14"/>
      <c r="V14" s="14"/>
      <c r="W14" s="14"/>
      <c r="X14" s="14"/>
      <c r="Y14" s="14"/>
      <c r="Z14" s="14"/>
      <c r="AA14" s="14"/>
      <c r="AB14" s="14" t="s">
        <v>147</v>
      </c>
      <c r="AC14" s="14" t="s">
        <v>147</v>
      </c>
      <c r="AD14" s="14" t="s">
        <v>147</v>
      </c>
      <c r="AE14" s="14" t="s">
        <v>147</v>
      </c>
      <c r="AF14" s="14" t="s">
        <v>147</v>
      </c>
      <c r="AG14" s="14" t="s">
        <v>147</v>
      </c>
      <c r="AH14" s="14"/>
      <c r="AI14" s="14"/>
      <c r="AJ14" s="14"/>
      <c r="AK14" s="14"/>
      <c r="AL14" s="14"/>
      <c r="AM14" s="14"/>
      <c r="AN14" s="14"/>
      <c r="AO14" s="14"/>
      <c r="AP14" s="14"/>
      <c r="AQ14" s="14"/>
      <c r="AR14" s="14"/>
      <c r="AS14" s="14"/>
      <c r="AT14" s="14"/>
      <c r="AU14" s="14"/>
      <c r="AV14" s="78">
        <f>+'POA TÉCNICO'!K24</f>
        <v>2.4604483151532554E-2</v>
      </c>
      <c r="AW14" s="79">
        <f>+'POA FINAN'!H16</f>
        <v>45642656.000000007</v>
      </c>
      <c r="AX14" s="79"/>
    </row>
    <row r="15" spans="1:50" ht="11.25" customHeight="1">
      <c r="A15" s="99">
        <f>+PROYECTO!$A$9</f>
        <v>2022000100103</v>
      </c>
      <c r="B15" s="114" t="str">
        <f>+PROYECTO!$B$9</f>
        <v>Fortalecimiento de la innovación en las MiPymes a partir de los resultados de investigación de las IES del Departamento del Valle del Cauca</v>
      </c>
      <c r="C15" s="114" t="s">
        <v>160</v>
      </c>
      <c r="D15" s="115"/>
      <c r="E15" s="116" t="s">
        <v>161</v>
      </c>
      <c r="F15" s="117" t="s">
        <v>162</v>
      </c>
      <c r="G15" s="14" t="s">
        <v>78</v>
      </c>
      <c r="H15" s="14">
        <v>7</v>
      </c>
      <c r="I15" s="14">
        <v>1</v>
      </c>
      <c r="J15" s="14">
        <v>7</v>
      </c>
      <c r="K15" s="14"/>
      <c r="L15" s="14"/>
      <c r="M15" s="14">
        <f t="shared" si="3"/>
        <v>210</v>
      </c>
      <c r="N15" s="14">
        <f t="shared" si="4"/>
        <v>151.19999999999999</v>
      </c>
      <c r="O15" s="95">
        <f>H15*27</f>
        <v>189</v>
      </c>
      <c r="P15" s="95">
        <v>210</v>
      </c>
      <c r="Q15" s="101">
        <f t="shared" si="5"/>
        <v>186.20000000000002</v>
      </c>
      <c r="R15" s="14" t="s">
        <v>147</v>
      </c>
      <c r="S15" s="14" t="s">
        <v>147</v>
      </c>
      <c r="T15" s="14" t="s">
        <v>147</v>
      </c>
      <c r="U15" s="14" t="s">
        <v>147</v>
      </c>
      <c r="V15" s="14" t="s">
        <v>147</v>
      </c>
      <c r="W15" s="14" t="s">
        <v>147</v>
      </c>
      <c r="X15" s="14" t="s">
        <v>147</v>
      </c>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78">
        <f>+'POA TÉCNICO'!K25+'POA TÉCNICO'!K26+'POA TÉCNICO'!K27</f>
        <v>0.17608034665490252</v>
      </c>
      <c r="AW15" s="79">
        <f>+'POA FINAN'!H17</f>
        <v>31290729.999999989</v>
      </c>
      <c r="AX15" s="79"/>
    </row>
    <row r="16" spans="1:50" ht="34.5" customHeight="1">
      <c r="A16" s="99">
        <f>+PROYECTO!$A$9</f>
        <v>2022000100103</v>
      </c>
      <c r="B16" s="114" t="str">
        <f>+PROYECTO!$B$9</f>
        <v>Fortalecimiento de la innovación en las MiPymes a partir de los resultados de investigación de las IES del Departamento del Valle del Cauca</v>
      </c>
      <c r="C16" s="114" t="s">
        <v>160</v>
      </c>
      <c r="D16" s="115"/>
      <c r="E16" s="116" t="s">
        <v>163</v>
      </c>
      <c r="F16" s="117" t="s">
        <v>164</v>
      </c>
      <c r="G16" s="14" t="s">
        <v>78</v>
      </c>
      <c r="H16" s="14">
        <v>20</v>
      </c>
      <c r="I16" s="14">
        <v>6</v>
      </c>
      <c r="J16" s="14">
        <v>26</v>
      </c>
      <c r="K16" s="14" t="s">
        <v>152</v>
      </c>
      <c r="L16" s="14" t="s">
        <v>153</v>
      </c>
      <c r="M16" s="14">
        <f t="shared" si="3"/>
        <v>600</v>
      </c>
      <c r="N16" s="14">
        <f t="shared" si="4"/>
        <v>480</v>
      </c>
      <c r="O16" s="95">
        <f t="shared" ref="O14:O21" si="7">H16*30</f>
        <v>600</v>
      </c>
      <c r="P16" s="95">
        <f t="shared" si="6"/>
        <v>630</v>
      </c>
      <c r="Q16" s="101">
        <f t="shared" si="5"/>
        <v>585</v>
      </c>
      <c r="R16" s="14"/>
      <c r="S16" s="14"/>
      <c r="T16" s="14"/>
      <c r="U16" s="14"/>
      <c r="V16" s="14"/>
      <c r="W16" s="14" t="s">
        <v>147</v>
      </c>
      <c r="X16" s="14" t="s">
        <v>147</v>
      </c>
      <c r="Y16" s="14" t="s">
        <v>147</v>
      </c>
      <c r="Z16" s="14" t="s">
        <v>147</v>
      </c>
      <c r="AA16" s="14" t="s">
        <v>147</v>
      </c>
      <c r="AB16" s="14" t="s">
        <v>147</v>
      </c>
      <c r="AC16" s="14" t="s">
        <v>147</v>
      </c>
      <c r="AD16" s="14" t="s">
        <v>147</v>
      </c>
      <c r="AE16" s="14" t="s">
        <v>147</v>
      </c>
      <c r="AF16" s="14" t="s">
        <v>147</v>
      </c>
      <c r="AG16" s="14" t="s">
        <v>147</v>
      </c>
      <c r="AH16" s="14" t="s">
        <v>147</v>
      </c>
      <c r="AI16" s="14" t="s">
        <v>147</v>
      </c>
      <c r="AJ16" s="14" t="s">
        <v>147</v>
      </c>
      <c r="AK16" s="14" t="s">
        <v>147</v>
      </c>
      <c r="AL16" s="14" t="s">
        <v>147</v>
      </c>
      <c r="AM16" s="14" t="s">
        <v>147</v>
      </c>
      <c r="AN16" s="14" t="s">
        <v>147</v>
      </c>
      <c r="AO16" s="14" t="s">
        <v>147</v>
      </c>
      <c r="AP16" s="14" t="s">
        <v>147</v>
      </c>
      <c r="AQ16" s="14"/>
      <c r="AR16" s="14"/>
      <c r="AS16" s="14"/>
      <c r="AT16" s="14"/>
      <c r="AU16" s="14"/>
      <c r="AV16" s="78">
        <f>+'POA TÉCNICO'!K28+'POA TÉCNICO'!K30</f>
        <v>0.29286032922316119</v>
      </c>
      <c r="AW16" s="79">
        <f>+'POA FINAN'!H20</f>
        <v>232861137.80000007</v>
      </c>
      <c r="AX16" s="79"/>
    </row>
    <row r="17" spans="1:50" ht="11.25" customHeight="1">
      <c r="A17" s="99">
        <f>+PROYECTO!$A$9</f>
        <v>2022000100103</v>
      </c>
      <c r="B17" s="114" t="str">
        <f>+PROYECTO!$B$9</f>
        <v>Fortalecimiento de la innovación en las MiPymes a partir de los resultados de investigación de las IES del Departamento del Valle del Cauca</v>
      </c>
      <c r="C17" s="114" t="s">
        <v>160</v>
      </c>
      <c r="D17" s="115"/>
      <c r="E17" s="116" t="s">
        <v>165</v>
      </c>
      <c r="F17" s="117" t="s">
        <v>166</v>
      </c>
      <c r="G17" s="14" t="s">
        <v>78</v>
      </c>
      <c r="H17" s="14">
        <v>22</v>
      </c>
      <c r="I17" s="14">
        <v>9</v>
      </c>
      <c r="J17" s="14">
        <v>30</v>
      </c>
      <c r="K17" s="14" t="s">
        <v>152</v>
      </c>
      <c r="L17" s="14" t="s">
        <v>153</v>
      </c>
      <c r="M17" s="14">
        <f t="shared" si="3"/>
        <v>660</v>
      </c>
      <c r="N17" s="14">
        <f t="shared" si="4"/>
        <v>528</v>
      </c>
      <c r="O17" s="95">
        <f t="shared" si="7"/>
        <v>660</v>
      </c>
      <c r="P17" s="146">
        <v>686</v>
      </c>
      <c r="Q17" s="101">
        <f t="shared" si="5"/>
        <v>642.33333333333337</v>
      </c>
      <c r="R17" s="14"/>
      <c r="S17" s="14"/>
      <c r="T17" s="14"/>
      <c r="U17" s="14"/>
      <c r="V17" s="14"/>
      <c r="W17" s="14"/>
      <c r="X17" s="14"/>
      <c r="Y17" s="14"/>
      <c r="Z17" s="14" t="s">
        <v>147</v>
      </c>
      <c r="AA17" s="14" t="s">
        <v>147</v>
      </c>
      <c r="AB17" s="14" t="s">
        <v>147</v>
      </c>
      <c r="AC17" s="14" t="s">
        <v>147</v>
      </c>
      <c r="AD17" s="14" t="s">
        <v>147</v>
      </c>
      <c r="AE17" s="14" t="s">
        <v>147</v>
      </c>
      <c r="AF17" s="14" t="s">
        <v>147</v>
      </c>
      <c r="AG17" s="14" t="s">
        <v>147</v>
      </c>
      <c r="AH17" s="14" t="s">
        <v>147</v>
      </c>
      <c r="AI17" s="14" t="s">
        <v>147</v>
      </c>
      <c r="AJ17" s="14" t="s">
        <v>147</v>
      </c>
      <c r="AK17" s="14" t="s">
        <v>147</v>
      </c>
      <c r="AL17" s="14" t="s">
        <v>147</v>
      </c>
      <c r="AM17" s="14" t="s">
        <v>147</v>
      </c>
      <c r="AN17" s="14" t="s">
        <v>147</v>
      </c>
      <c r="AO17" s="14" t="s">
        <v>147</v>
      </c>
      <c r="AP17" s="14" t="s">
        <v>147</v>
      </c>
      <c r="AQ17" s="14" t="s">
        <v>147</v>
      </c>
      <c r="AR17" s="14" t="s">
        <v>147</v>
      </c>
      <c r="AS17" s="14" t="s">
        <v>147</v>
      </c>
      <c r="AT17" s="14" t="s">
        <v>147</v>
      </c>
      <c r="AU17" s="14" t="s">
        <v>147</v>
      </c>
      <c r="AV17" s="78">
        <f>+'POA TÉCNICO'!K31</f>
        <v>0.15389609729650186</v>
      </c>
      <c r="AW17" s="79">
        <f>+'POA FINAN'!H22</f>
        <v>148437736.90000001</v>
      </c>
      <c r="AX17" s="79"/>
    </row>
    <row r="18" spans="1:50" ht="20.25" customHeight="1">
      <c r="A18" s="99">
        <f>+PROYECTO!$A$9</f>
        <v>2022000100103</v>
      </c>
      <c r="B18" s="114" t="str">
        <f>+PROYECTO!$B$9</f>
        <v>Fortalecimiento de la innovación en las MiPymes a partir de los resultados de investigación de las IES del Departamento del Valle del Cauca</v>
      </c>
      <c r="C18" s="114" t="s">
        <v>160</v>
      </c>
      <c r="D18" s="115"/>
      <c r="E18" s="116" t="s">
        <v>167</v>
      </c>
      <c r="F18" s="117" t="s">
        <v>168</v>
      </c>
      <c r="G18" s="14" t="s">
        <v>78</v>
      </c>
      <c r="H18" s="14">
        <v>24</v>
      </c>
      <c r="I18" s="14">
        <v>5</v>
      </c>
      <c r="J18" s="14">
        <v>28</v>
      </c>
      <c r="K18" s="14"/>
      <c r="L18" s="14"/>
      <c r="M18" s="14">
        <f t="shared" si="3"/>
        <v>720</v>
      </c>
      <c r="N18" s="14">
        <f t="shared" si="4"/>
        <v>576</v>
      </c>
      <c r="O18" s="95">
        <f t="shared" si="7"/>
        <v>720</v>
      </c>
      <c r="P18" s="95">
        <f t="shared" si="6"/>
        <v>750</v>
      </c>
      <c r="Q18" s="101">
        <f t="shared" si="5"/>
        <v>701</v>
      </c>
      <c r="R18" s="14"/>
      <c r="S18" s="14" t="s">
        <v>147</v>
      </c>
      <c r="T18" s="14" t="s">
        <v>147</v>
      </c>
      <c r="U18" s="14" t="s">
        <v>147</v>
      </c>
      <c r="V18" s="14" t="s">
        <v>147</v>
      </c>
      <c r="W18" s="14" t="s">
        <v>147</v>
      </c>
      <c r="X18" s="14" t="s">
        <v>147</v>
      </c>
      <c r="Y18" s="14" t="s">
        <v>147</v>
      </c>
      <c r="Z18" s="14" t="s">
        <v>147</v>
      </c>
      <c r="AA18" s="14" t="s">
        <v>147</v>
      </c>
      <c r="AB18" s="14" t="s">
        <v>147</v>
      </c>
      <c r="AC18" s="14" t="s">
        <v>147</v>
      </c>
      <c r="AD18" s="14" t="s">
        <v>147</v>
      </c>
      <c r="AE18" s="14" t="s">
        <v>147</v>
      </c>
      <c r="AF18" s="14" t="s">
        <v>147</v>
      </c>
      <c r="AG18" s="14" t="s">
        <v>147</v>
      </c>
      <c r="AH18" s="14" t="s">
        <v>147</v>
      </c>
      <c r="AI18" s="14" t="s">
        <v>147</v>
      </c>
      <c r="AJ18" s="14" t="s">
        <v>147</v>
      </c>
      <c r="AK18" s="14" t="s">
        <v>147</v>
      </c>
      <c r="AL18" s="14" t="s">
        <v>147</v>
      </c>
      <c r="AM18" s="14" t="s">
        <v>147</v>
      </c>
      <c r="AN18" s="14" t="s">
        <v>147</v>
      </c>
      <c r="AO18" s="14" t="s">
        <v>147</v>
      </c>
      <c r="AP18" s="14" t="s">
        <v>147</v>
      </c>
      <c r="AQ18" s="14" t="s">
        <v>147</v>
      </c>
      <c r="AR18" s="14" t="s">
        <v>147</v>
      </c>
      <c r="AS18" s="14" t="s">
        <v>147</v>
      </c>
      <c r="AT18" s="14"/>
      <c r="AU18" s="14"/>
      <c r="AV18" s="78"/>
      <c r="AW18" s="79"/>
      <c r="AX18" s="79"/>
    </row>
    <row r="19" spans="1:50" ht="11.25" customHeight="1">
      <c r="A19" s="99">
        <f>+PROYECTO!$A$9</f>
        <v>2022000100103</v>
      </c>
      <c r="B19" s="114" t="str">
        <f>+PROYECTO!$B$9</f>
        <v>Fortalecimiento de la innovación en las MiPymes a partir de los resultados de investigación de las IES del Departamento del Valle del Cauca</v>
      </c>
      <c r="C19" s="114" t="s">
        <v>160</v>
      </c>
      <c r="D19" s="115"/>
      <c r="E19" s="116" t="s">
        <v>169</v>
      </c>
      <c r="F19" s="117" t="s">
        <v>170</v>
      </c>
      <c r="G19" s="14" t="s">
        <v>78</v>
      </c>
      <c r="H19" s="14">
        <v>30</v>
      </c>
      <c r="I19" s="14">
        <v>1</v>
      </c>
      <c r="J19" s="14">
        <v>30</v>
      </c>
      <c r="K19" s="14"/>
      <c r="L19" s="14"/>
      <c r="M19" s="14">
        <f t="shared" si="3"/>
        <v>900</v>
      </c>
      <c r="N19" s="3">
        <v>752</v>
      </c>
      <c r="O19" s="3">
        <v>942</v>
      </c>
      <c r="P19" s="3">
        <v>972</v>
      </c>
      <c r="Q19" s="101">
        <f t="shared" si="5"/>
        <v>915.33333333333337</v>
      </c>
      <c r="R19" s="14" t="s">
        <v>147</v>
      </c>
      <c r="S19" s="14" t="s">
        <v>147</v>
      </c>
      <c r="T19" s="14" t="s">
        <v>147</v>
      </c>
      <c r="U19" s="14" t="s">
        <v>147</v>
      </c>
      <c r="V19" s="14" t="s">
        <v>147</v>
      </c>
      <c r="W19" s="14" t="s">
        <v>147</v>
      </c>
      <c r="X19" s="14" t="s">
        <v>147</v>
      </c>
      <c r="Y19" s="14" t="s">
        <v>147</v>
      </c>
      <c r="Z19" s="14" t="s">
        <v>147</v>
      </c>
      <c r="AA19" s="14" t="s">
        <v>147</v>
      </c>
      <c r="AB19" s="14" t="s">
        <v>147</v>
      </c>
      <c r="AC19" s="14" t="s">
        <v>147</v>
      </c>
      <c r="AD19" s="14" t="s">
        <v>147</v>
      </c>
      <c r="AE19" s="14" t="s">
        <v>147</v>
      </c>
      <c r="AF19" s="14" t="s">
        <v>147</v>
      </c>
      <c r="AG19" s="14" t="s">
        <v>147</v>
      </c>
      <c r="AH19" s="14" t="s">
        <v>147</v>
      </c>
      <c r="AI19" s="14" t="s">
        <v>147</v>
      </c>
      <c r="AJ19" s="14" t="s">
        <v>147</v>
      </c>
      <c r="AK19" s="14" t="s">
        <v>147</v>
      </c>
      <c r="AL19" s="14" t="s">
        <v>147</v>
      </c>
      <c r="AM19" s="14" t="s">
        <v>147</v>
      </c>
      <c r="AN19" s="14" t="s">
        <v>147</v>
      </c>
      <c r="AO19" s="14" t="s">
        <v>147</v>
      </c>
      <c r="AP19" s="14" t="s">
        <v>147</v>
      </c>
      <c r="AQ19" s="14" t="s">
        <v>147</v>
      </c>
      <c r="AR19" s="14" t="s">
        <v>147</v>
      </c>
      <c r="AS19" s="14" t="s">
        <v>147</v>
      </c>
      <c r="AT19" s="14" t="s">
        <v>147</v>
      </c>
      <c r="AU19" s="14" t="s">
        <v>147</v>
      </c>
      <c r="AV19" s="78"/>
      <c r="AW19" s="79"/>
      <c r="AX19" s="79"/>
    </row>
    <row r="20" spans="1:50" ht="11.25" customHeight="1">
      <c r="A20" s="99">
        <f>+PROYECTO!$A$9</f>
        <v>2022000100103</v>
      </c>
      <c r="B20" s="114" t="str">
        <f>+PROYECTO!$B$9</f>
        <v>Fortalecimiento de la innovación en las MiPymes a partir de los resultados de investigación de las IES del Departamento del Valle del Cauca</v>
      </c>
      <c r="C20" s="114" t="s">
        <v>171</v>
      </c>
      <c r="D20" s="115"/>
      <c r="E20" s="116" t="s">
        <v>172</v>
      </c>
      <c r="F20" s="117" t="s">
        <v>173</v>
      </c>
      <c r="G20" s="14" t="s">
        <v>78</v>
      </c>
      <c r="H20" s="14">
        <v>11</v>
      </c>
      <c r="I20" s="14">
        <v>1</v>
      </c>
      <c r="J20" s="14">
        <v>11</v>
      </c>
      <c r="K20" s="14"/>
      <c r="L20" s="14"/>
      <c r="M20" s="14">
        <f t="shared" si="3"/>
        <v>330</v>
      </c>
      <c r="N20" s="14">
        <f t="shared" si="4"/>
        <v>246.4</v>
      </c>
      <c r="O20" s="142">
        <f>H20*28</f>
        <v>308</v>
      </c>
      <c r="P20" s="95">
        <f t="shared" si="6"/>
        <v>338</v>
      </c>
      <c r="Q20" s="101">
        <f t="shared" si="5"/>
        <v>302.73333333333335</v>
      </c>
      <c r="R20" s="14" t="s">
        <v>147</v>
      </c>
      <c r="S20" s="14" t="s">
        <v>147</v>
      </c>
      <c r="T20" s="14" t="s">
        <v>147</v>
      </c>
      <c r="U20" s="14" t="s">
        <v>147</v>
      </c>
      <c r="V20" s="14" t="s">
        <v>147</v>
      </c>
      <c r="W20" s="14" t="s">
        <v>147</v>
      </c>
      <c r="X20" s="14" t="s">
        <v>147</v>
      </c>
      <c r="Y20" s="14" t="s">
        <v>147</v>
      </c>
      <c r="Z20" s="14" t="s">
        <v>147</v>
      </c>
      <c r="AA20" s="14" t="s">
        <v>147</v>
      </c>
      <c r="AB20" s="14" t="s">
        <v>147</v>
      </c>
      <c r="AC20" s="14"/>
      <c r="AD20" s="14"/>
      <c r="AE20" s="14"/>
      <c r="AF20" s="14"/>
      <c r="AG20" s="14"/>
      <c r="AH20" s="14"/>
      <c r="AI20" s="14"/>
      <c r="AJ20" s="14"/>
      <c r="AK20" s="14"/>
      <c r="AL20" s="14"/>
      <c r="AM20" s="14"/>
      <c r="AN20" s="14"/>
      <c r="AO20" s="14"/>
      <c r="AP20" s="14"/>
      <c r="AQ20" s="14"/>
      <c r="AR20" s="14"/>
      <c r="AS20" s="14"/>
      <c r="AT20" s="14"/>
      <c r="AU20" s="14"/>
      <c r="AV20" s="78"/>
      <c r="AW20" s="79"/>
      <c r="AX20" s="79"/>
    </row>
    <row r="21" spans="1:50" ht="11.25" customHeight="1">
      <c r="A21" s="99">
        <f>+PROYECTO!$A$9</f>
        <v>2022000100103</v>
      </c>
      <c r="B21" s="114" t="str">
        <f>+PROYECTO!$B$9</f>
        <v>Fortalecimiento de la innovación en las MiPymes a partir de los resultados de investigación de las IES del Departamento del Valle del Cauca</v>
      </c>
      <c r="C21" s="114" t="s">
        <v>171</v>
      </c>
      <c r="D21" s="115"/>
      <c r="E21" s="116" t="s">
        <v>174</v>
      </c>
      <c r="F21" s="117" t="s">
        <v>175</v>
      </c>
      <c r="G21" s="14" t="s">
        <v>78</v>
      </c>
      <c r="H21" s="14">
        <v>27</v>
      </c>
      <c r="I21" s="14">
        <v>2</v>
      </c>
      <c r="J21" s="14">
        <v>28</v>
      </c>
      <c r="K21" s="14" t="s">
        <v>176</v>
      </c>
      <c r="L21" s="14" t="s">
        <v>153</v>
      </c>
      <c r="M21" s="14">
        <f t="shared" si="3"/>
        <v>810</v>
      </c>
      <c r="N21" s="14">
        <f t="shared" si="4"/>
        <v>648</v>
      </c>
      <c r="O21" s="95">
        <f t="shared" si="7"/>
        <v>810</v>
      </c>
      <c r="P21" s="95">
        <f t="shared" si="6"/>
        <v>840</v>
      </c>
      <c r="Q21" s="101">
        <f t="shared" si="5"/>
        <v>788</v>
      </c>
      <c r="R21" s="14"/>
      <c r="S21" s="14"/>
      <c r="T21" s="14"/>
      <c r="U21" s="14"/>
      <c r="V21" s="14"/>
      <c r="W21" s="14" t="s">
        <v>147</v>
      </c>
      <c r="X21" s="14" t="s">
        <v>147</v>
      </c>
      <c r="Y21" s="14" t="s">
        <v>147</v>
      </c>
      <c r="Z21" s="14" t="s">
        <v>147</v>
      </c>
      <c r="AA21" s="14" t="s">
        <v>147</v>
      </c>
      <c r="AB21" s="14" t="s">
        <v>147</v>
      </c>
      <c r="AC21" s="14" t="s">
        <v>147</v>
      </c>
      <c r="AD21" s="14" t="s">
        <v>147</v>
      </c>
      <c r="AE21" s="14" t="s">
        <v>147</v>
      </c>
      <c r="AF21" s="14" t="s">
        <v>147</v>
      </c>
      <c r="AG21" s="14" t="s">
        <v>147</v>
      </c>
      <c r="AH21" s="14" t="s">
        <v>147</v>
      </c>
      <c r="AI21" s="14" t="s">
        <v>147</v>
      </c>
      <c r="AJ21" s="14" t="s">
        <v>147</v>
      </c>
      <c r="AK21" s="14" t="s">
        <v>147</v>
      </c>
      <c r="AL21" s="14" t="s">
        <v>147</v>
      </c>
      <c r="AM21" s="14" t="s">
        <v>147</v>
      </c>
      <c r="AN21" s="14" t="s">
        <v>147</v>
      </c>
      <c r="AO21" s="14" t="s">
        <v>147</v>
      </c>
      <c r="AP21" s="14" t="s">
        <v>147</v>
      </c>
      <c r="AQ21" s="14" t="s">
        <v>147</v>
      </c>
      <c r="AR21" s="14" t="s">
        <v>147</v>
      </c>
      <c r="AS21" s="14" t="s">
        <v>147</v>
      </c>
      <c r="AT21" s="14"/>
      <c r="AU21" s="14"/>
      <c r="AV21" s="78"/>
      <c r="AW21" s="79"/>
      <c r="AX21" s="79"/>
    </row>
    <row r="22" spans="1:50" ht="11.25" customHeight="1">
      <c r="A22" s="99">
        <f>+PROYECTO!$A$9</f>
        <v>2022000100103</v>
      </c>
      <c r="B22" s="114" t="str">
        <f>+PROYECTO!$B$9</f>
        <v>Fortalecimiento de la innovación en las MiPymes a partir de los resultados de investigación de las IES del Departamento del Valle del Cauca</v>
      </c>
      <c r="C22" s="114" t="s">
        <v>171</v>
      </c>
      <c r="D22" s="115"/>
      <c r="E22" s="116" t="s">
        <v>177</v>
      </c>
      <c r="F22" s="117" t="s">
        <v>178</v>
      </c>
      <c r="G22" s="14" t="s">
        <v>78</v>
      </c>
      <c r="H22" s="14">
        <v>30</v>
      </c>
      <c r="I22" s="14">
        <v>1</v>
      </c>
      <c r="J22" s="14">
        <v>30</v>
      </c>
      <c r="K22" s="14"/>
      <c r="L22" s="14"/>
      <c r="M22" s="14">
        <f t="shared" si="3"/>
        <v>900</v>
      </c>
      <c r="N22" s="3">
        <v>752</v>
      </c>
      <c r="O22" s="3">
        <v>942</v>
      </c>
      <c r="P22" s="3">
        <v>972</v>
      </c>
      <c r="Q22" s="101">
        <f t="shared" si="5"/>
        <v>915.33333333333337</v>
      </c>
      <c r="R22" s="14" t="s">
        <v>147</v>
      </c>
      <c r="S22" s="14" t="s">
        <v>147</v>
      </c>
      <c r="T22" s="14" t="s">
        <v>147</v>
      </c>
      <c r="U22" s="14" t="s">
        <v>147</v>
      </c>
      <c r="V22" s="14" t="s">
        <v>147</v>
      </c>
      <c r="W22" s="14" t="s">
        <v>147</v>
      </c>
      <c r="X22" s="14" t="s">
        <v>147</v>
      </c>
      <c r="Y22" s="14" t="s">
        <v>147</v>
      </c>
      <c r="Z22" s="14" t="s">
        <v>147</v>
      </c>
      <c r="AA22" s="14" t="s">
        <v>147</v>
      </c>
      <c r="AB22" s="14" t="s">
        <v>147</v>
      </c>
      <c r="AC22" s="14" t="s">
        <v>147</v>
      </c>
      <c r="AD22" s="14" t="s">
        <v>147</v>
      </c>
      <c r="AE22" s="14" t="s">
        <v>147</v>
      </c>
      <c r="AF22" s="14" t="s">
        <v>147</v>
      </c>
      <c r="AG22" s="14" t="s">
        <v>147</v>
      </c>
      <c r="AH22" s="14" t="s">
        <v>147</v>
      </c>
      <c r="AI22" s="14" t="s">
        <v>147</v>
      </c>
      <c r="AJ22" s="14" t="s">
        <v>147</v>
      </c>
      <c r="AK22" s="14" t="s">
        <v>147</v>
      </c>
      <c r="AL22" s="14" t="s">
        <v>147</v>
      </c>
      <c r="AM22" s="14" t="s">
        <v>147</v>
      </c>
      <c r="AN22" s="14" t="s">
        <v>147</v>
      </c>
      <c r="AO22" s="14" t="s">
        <v>147</v>
      </c>
      <c r="AP22" s="14" t="s">
        <v>147</v>
      </c>
      <c r="AQ22" s="14" t="s">
        <v>147</v>
      </c>
      <c r="AR22" s="14" t="s">
        <v>147</v>
      </c>
      <c r="AS22" s="14" t="s">
        <v>147</v>
      </c>
      <c r="AT22" s="14" t="s">
        <v>147</v>
      </c>
      <c r="AU22" s="14" t="s">
        <v>147</v>
      </c>
      <c r="AV22" s="78"/>
      <c r="AW22" s="79"/>
      <c r="AX22" s="79"/>
    </row>
    <row r="23" spans="1:50" ht="24" customHeight="1" thickBot="1">
      <c r="A23" s="100">
        <f>+PROYECTO!$A$9</f>
        <v>2022000100103</v>
      </c>
      <c r="B23" s="118" t="str">
        <f>+PROYECTO!$B$9</f>
        <v>Fortalecimiento de la innovación en las MiPymes a partir de los resultados de investigación de las IES del Departamento del Valle del Cauca</v>
      </c>
      <c r="C23" s="119" t="s">
        <v>171</v>
      </c>
      <c r="D23" s="119"/>
      <c r="E23" s="119" t="s">
        <v>179</v>
      </c>
      <c r="F23" s="119" t="s">
        <v>180</v>
      </c>
      <c r="G23" s="75" t="s">
        <v>78</v>
      </c>
      <c r="H23" s="75">
        <v>30</v>
      </c>
      <c r="I23" s="75">
        <v>1</v>
      </c>
      <c r="J23" s="75">
        <v>30</v>
      </c>
      <c r="K23" s="75"/>
      <c r="L23" s="75"/>
      <c r="M23" s="75">
        <f t="shared" si="3"/>
        <v>900</v>
      </c>
      <c r="N23" s="3">
        <v>752</v>
      </c>
      <c r="O23" s="3">
        <v>942</v>
      </c>
      <c r="P23" s="3">
        <v>972</v>
      </c>
      <c r="Q23" s="102">
        <f t="shared" si="5"/>
        <v>915.33333333333337</v>
      </c>
      <c r="R23" s="75" t="s">
        <v>147</v>
      </c>
      <c r="S23" s="75" t="s">
        <v>147</v>
      </c>
      <c r="T23" s="75" t="s">
        <v>147</v>
      </c>
      <c r="U23" s="75" t="s">
        <v>147</v>
      </c>
      <c r="V23" s="75" t="s">
        <v>147</v>
      </c>
      <c r="W23" s="75" t="s">
        <v>147</v>
      </c>
      <c r="X23" s="75" t="s">
        <v>147</v>
      </c>
      <c r="Y23" s="75" t="s">
        <v>147</v>
      </c>
      <c r="Z23" s="75" t="s">
        <v>147</v>
      </c>
      <c r="AA23" s="75" t="s">
        <v>147</v>
      </c>
      <c r="AB23" s="75" t="s">
        <v>147</v>
      </c>
      <c r="AC23" s="75" t="s">
        <v>147</v>
      </c>
      <c r="AD23" s="75" t="s">
        <v>147</v>
      </c>
      <c r="AE23" s="75" t="s">
        <v>147</v>
      </c>
      <c r="AF23" s="75" t="s">
        <v>147</v>
      </c>
      <c r="AG23" s="75" t="s">
        <v>147</v>
      </c>
      <c r="AH23" s="75" t="s">
        <v>147</v>
      </c>
      <c r="AI23" s="75" t="s">
        <v>147</v>
      </c>
      <c r="AJ23" s="75" t="s">
        <v>147</v>
      </c>
      <c r="AK23" s="75" t="s">
        <v>147</v>
      </c>
      <c r="AL23" s="75" t="s">
        <v>147</v>
      </c>
      <c r="AM23" s="75" t="s">
        <v>147</v>
      </c>
      <c r="AN23" s="75" t="s">
        <v>147</v>
      </c>
      <c r="AO23" s="75" t="s">
        <v>147</v>
      </c>
      <c r="AP23" s="75" t="s">
        <v>147</v>
      </c>
      <c r="AQ23" s="75" t="s">
        <v>147</v>
      </c>
      <c r="AR23" s="75" t="s">
        <v>147</v>
      </c>
      <c r="AS23" s="75" t="s">
        <v>147</v>
      </c>
      <c r="AT23" s="75" t="s">
        <v>147</v>
      </c>
      <c r="AU23" s="75" t="s">
        <v>147</v>
      </c>
      <c r="AV23" s="76">
        <f>+'POA TÉCNICO'!K35</f>
        <v>4.6800841249857963E-2</v>
      </c>
      <c r="AW23" s="77">
        <f>+'POA FINAN'!H23</f>
        <v>140081634.73333299</v>
      </c>
      <c r="AX23" s="79"/>
    </row>
    <row r="24" spans="1:50" ht="12" thickTop="1">
      <c r="AV24" s="33">
        <f>SUM(AV10:AV23)</f>
        <v>0.87169398325865377</v>
      </c>
      <c r="AW24" s="74">
        <f>SUM(AW10:AW23)</f>
        <v>903662109.76313305</v>
      </c>
      <c r="AX24" s="74"/>
    </row>
    <row r="25" spans="1:50" ht="12" customHeight="1">
      <c r="F25" s="84" t="s">
        <v>50</v>
      </c>
      <c r="AW25" s="74">
        <v>153000000</v>
      </c>
    </row>
    <row r="26" spans="1:50" ht="12" thickBot="1">
      <c r="F26" s="84" t="s">
        <v>181</v>
      </c>
      <c r="AW26" s="61">
        <f>SUM(AW24:AW25)+AX24</f>
        <v>1056662109.763133</v>
      </c>
    </row>
    <row r="27" spans="1:50" ht="12" thickTop="1"/>
    <row r="33" spans="8:8" ht="12" customHeight="1">
      <c r="H33" s="74"/>
    </row>
  </sheetData>
  <mergeCells count="24">
    <mergeCell ref="R5:AI5"/>
    <mergeCell ref="A5:F5"/>
    <mergeCell ref="G5:J5"/>
    <mergeCell ref="M6:M9"/>
    <mergeCell ref="H6:H9"/>
    <mergeCell ref="I6:I9"/>
    <mergeCell ref="J6:J9"/>
    <mergeCell ref="K6:K9"/>
    <mergeCell ref="L6:L9"/>
    <mergeCell ref="A6:A9"/>
    <mergeCell ref="B6:B9"/>
    <mergeCell ref="E6:E9"/>
    <mergeCell ref="F6:F9"/>
    <mergeCell ref="G6:G9"/>
    <mergeCell ref="C6:C9"/>
    <mergeCell ref="D6:D9"/>
    <mergeCell ref="N6:N9"/>
    <mergeCell ref="O6:O9"/>
    <mergeCell ref="P6:P9"/>
    <mergeCell ref="Q6:Q9"/>
    <mergeCell ref="AX6:AX9"/>
    <mergeCell ref="R6:AI6"/>
    <mergeCell ref="AV6:AV9"/>
    <mergeCell ref="AW6:AW9"/>
  </mergeCells>
  <phoneticPr fontId="26" type="noConversion"/>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5DBCAF20-08E1-4638-B3D5-F74913B5A944}">
          <x14:formula1>
            <xm:f>PARAMETRIZACIÓN!$E$2:$E$13</xm:f>
          </x14:formula1>
          <xm:sqref>R8:AU8</xm:sqref>
        </x14:dataValidation>
        <x14:dataValidation type="list" allowBlank="1" showInputMessage="1" showErrorMessage="1" xr:uid="{579BBD50-D9B0-4C95-93C3-284D62999A29}">
          <x14:formula1>
            <xm:f>PARAMETRIZACIÓN!$B$1:$B$5</xm:f>
          </x14:formula1>
          <xm:sqref>G6</xm:sqref>
        </x14:dataValidation>
        <x14:dataValidation type="list" allowBlank="1" showInputMessage="1" showErrorMessage="1" xr:uid="{D6C907E4-7963-4353-9615-4E145E1369AE}">
          <x14:formula1>
            <xm:f>PARAMETRIZACIÓN!$C$1:$C$2</xm:f>
          </x14:formula1>
          <xm:sqref>AX10:AX23</xm:sqref>
        </x14:dataValidation>
        <x14:dataValidation type="list" allowBlank="1" showInputMessage="1" showErrorMessage="1" xr:uid="{577EDC32-5903-4496-AE29-476923AA8B78}">
          <x14:formula1>
            <xm:f>PARAMETRIZACIÓN!$B$1:$B$28</xm:f>
          </x14:formula1>
          <xm:sqref>G10:G23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85EBC-74E6-4066-B837-A889D12E4C9D}">
  <dimension ref="A1:BV42"/>
  <sheetViews>
    <sheetView showGridLines="0" tabSelected="1" topLeftCell="A7" zoomScale="115" zoomScaleNormal="115" workbookViewId="0">
      <pane xSplit="3" ySplit="4" topLeftCell="D33" activePane="bottomRight" state="frozen"/>
      <selection pane="bottomRight" activeCell="F42" sqref="F42"/>
      <selection pane="bottomLeft" activeCell="A11" sqref="A11"/>
      <selection pane="topRight" activeCell="D7" sqref="D7"/>
    </sheetView>
  </sheetViews>
  <sheetFormatPr defaultColWidth="11.42578125" defaultRowHeight="15"/>
  <cols>
    <col min="1" max="1" width="18.85546875" style="90" customWidth="1"/>
    <col min="2" max="2" width="10.7109375" style="8" customWidth="1"/>
    <col min="3" max="3" width="16.85546875" style="8" customWidth="1"/>
    <col min="4" max="4" width="6" style="8" bestFit="1" customWidth="1"/>
    <col min="5" max="5" width="25.42578125" style="8" customWidth="1"/>
    <col min="6" max="6" width="25" style="8" customWidth="1"/>
    <col min="7" max="7" width="21.7109375" style="8" customWidth="1"/>
    <col min="8" max="8" width="11.140625" style="8" customWidth="1"/>
    <col min="9" max="9" width="8.140625" bestFit="1" customWidth="1"/>
    <col min="10" max="10" width="10.5703125" customWidth="1"/>
    <col min="11" max="11" width="10" style="40" customWidth="1"/>
    <col min="12" max="12" width="10.5703125" style="24" customWidth="1"/>
    <col min="13" max="13" width="7" style="24" customWidth="1"/>
    <col min="14" max="14" width="7.140625" style="24" customWidth="1"/>
    <col min="15" max="23" width="6.85546875" style="24" customWidth="1"/>
    <col min="24" max="25" width="7.7109375" style="24" customWidth="1"/>
    <col min="26" max="28" width="6.85546875" style="24" customWidth="1"/>
    <col min="29" max="29" width="7.28515625" style="24" customWidth="1"/>
    <col min="30" max="42" width="7.140625" style="24" customWidth="1"/>
    <col min="43" max="43" width="8.140625" style="42" bestFit="1" customWidth="1"/>
    <col min="44" max="44" width="14.5703125" style="42" customWidth="1"/>
    <col min="45" max="45" width="11.42578125" style="24"/>
    <col min="46" max="62" width="6.7109375" style="24" bestFit="1" customWidth="1"/>
  </cols>
  <sheetData>
    <row r="1" spans="1:74" hidden="1"/>
    <row r="2" spans="1:74" hidden="1"/>
    <row r="3" spans="1:74" hidden="1"/>
    <row r="4" spans="1:74" hidden="1"/>
    <row r="5" spans="1:74" ht="16.5" hidden="1">
      <c r="A5" s="59" t="s">
        <v>182</v>
      </c>
      <c r="B5" s="175" t="s">
        <v>183</v>
      </c>
      <c r="C5" s="175"/>
      <c r="D5" s="175"/>
      <c r="E5" s="175"/>
      <c r="F5" s="175"/>
      <c r="G5" s="175"/>
      <c r="H5" s="175"/>
      <c r="I5" s="175"/>
      <c r="J5" s="175"/>
      <c r="K5" s="175"/>
      <c r="L5" s="58"/>
    </row>
    <row r="6" spans="1:74" hidden="1"/>
    <row r="7" spans="1:74" s="2" customFormat="1" ht="9.75" customHeight="1">
      <c r="A7" s="174" t="s">
        <v>77</v>
      </c>
      <c r="B7" s="174" t="s">
        <v>79</v>
      </c>
      <c r="C7" s="174" t="s">
        <v>80</v>
      </c>
      <c r="D7" s="174" t="s">
        <v>184</v>
      </c>
      <c r="E7" s="174" t="s">
        <v>185</v>
      </c>
      <c r="F7" s="174" t="s">
        <v>186</v>
      </c>
      <c r="G7" s="174" t="s">
        <v>187</v>
      </c>
      <c r="H7" s="174" t="s">
        <v>188</v>
      </c>
      <c r="I7" s="174" t="s">
        <v>189</v>
      </c>
      <c r="J7" s="174" t="s">
        <v>190</v>
      </c>
      <c r="K7" s="174" t="s">
        <v>191</v>
      </c>
      <c r="L7" s="173" t="s">
        <v>192</v>
      </c>
      <c r="M7" s="173"/>
      <c r="N7" s="173"/>
      <c r="O7" s="173"/>
      <c r="P7" s="173"/>
      <c r="Q7" s="173"/>
      <c r="R7" s="173"/>
      <c r="S7" s="173"/>
      <c r="T7" s="173"/>
      <c r="U7" s="173"/>
      <c r="V7" s="173"/>
      <c r="W7" s="173"/>
      <c r="X7" s="173"/>
      <c r="Y7" s="173"/>
      <c r="Z7" s="173"/>
      <c r="AA7" s="173"/>
      <c r="AB7" s="173"/>
      <c r="AC7" s="173"/>
      <c r="AD7" s="23"/>
      <c r="AE7" s="23"/>
      <c r="AF7" s="23"/>
      <c r="AG7" s="23"/>
      <c r="AH7" s="23"/>
      <c r="AI7" s="23"/>
      <c r="AJ7" s="23"/>
      <c r="AK7" s="23"/>
      <c r="AL7" s="23"/>
      <c r="AM7" s="23"/>
      <c r="AN7" s="23"/>
      <c r="AO7" s="23"/>
      <c r="AP7" s="23"/>
      <c r="AQ7" s="173" t="s">
        <v>193</v>
      </c>
      <c r="AR7" s="173" t="s">
        <v>194</v>
      </c>
      <c r="AS7" s="173" t="s">
        <v>195</v>
      </c>
      <c r="AT7" s="173"/>
      <c r="AU7" s="173"/>
      <c r="AV7" s="173"/>
      <c r="AW7" s="173"/>
      <c r="AX7" s="173"/>
      <c r="AY7" s="173"/>
      <c r="AZ7" s="173"/>
      <c r="BA7" s="173"/>
      <c r="BB7" s="173"/>
      <c r="BC7" s="173"/>
      <c r="BD7" s="173"/>
      <c r="BE7" s="173"/>
      <c r="BF7" s="173"/>
      <c r="BG7" s="173"/>
      <c r="BH7" s="173"/>
      <c r="BI7" s="173"/>
      <c r="BJ7" s="173"/>
    </row>
    <row r="8" spans="1:74" s="2" customFormat="1" ht="23.25" customHeight="1">
      <c r="A8" s="174"/>
      <c r="B8" s="174"/>
      <c r="C8" s="174"/>
      <c r="D8" s="174"/>
      <c r="E8" s="174"/>
      <c r="F8" s="174"/>
      <c r="G8" s="174"/>
      <c r="H8" s="174"/>
      <c r="I8" s="174"/>
      <c r="J8" s="174"/>
      <c r="K8" s="174"/>
      <c r="L8" s="23" t="s">
        <v>95</v>
      </c>
      <c r="M8" s="23" t="s">
        <v>96</v>
      </c>
      <c r="N8" s="23" t="s">
        <v>97</v>
      </c>
      <c r="O8" s="23" t="s">
        <v>98</v>
      </c>
      <c r="P8" s="23" t="s">
        <v>99</v>
      </c>
      <c r="Q8" s="23" t="s">
        <v>100</v>
      </c>
      <c r="R8" s="23" t="s">
        <v>101</v>
      </c>
      <c r="S8" s="23" t="s">
        <v>102</v>
      </c>
      <c r="T8" s="23" t="s">
        <v>103</v>
      </c>
      <c r="U8" s="23" t="s">
        <v>104</v>
      </c>
      <c r="V8" s="23" t="s">
        <v>105</v>
      </c>
      <c r="W8" s="23" t="s">
        <v>106</v>
      </c>
      <c r="X8" s="23" t="s">
        <v>107</v>
      </c>
      <c r="Y8" s="23" t="s">
        <v>108</v>
      </c>
      <c r="Z8" s="23" t="s">
        <v>109</v>
      </c>
      <c r="AA8" s="23" t="s">
        <v>110</v>
      </c>
      <c r="AB8" s="23" t="s">
        <v>111</v>
      </c>
      <c r="AC8" s="23" t="s">
        <v>112</v>
      </c>
      <c r="AD8" s="23" t="s">
        <v>113</v>
      </c>
      <c r="AE8" s="23" t="s">
        <v>114</v>
      </c>
      <c r="AF8" s="23" t="s">
        <v>115</v>
      </c>
      <c r="AG8" s="23" t="s">
        <v>116</v>
      </c>
      <c r="AH8" s="23" t="s">
        <v>117</v>
      </c>
      <c r="AI8" s="23" t="s">
        <v>118</v>
      </c>
      <c r="AJ8" s="23" t="s">
        <v>119</v>
      </c>
      <c r="AK8" s="23" t="s">
        <v>120</v>
      </c>
      <c r="AL8" s="23" t="s">
        <v>121</v>
      </c>
      <c r="AM8" s="23" t="s">
        <v>122</v>
      </c>
      <c r="AN8" s="23" t="s">
        <v>123</v>
      </c>
      <c r="AO8" s="23" t="s">
        <v>124</v>
      </c>
      <c r="AP8" s="23"/>
      <c r="AQ8" s="173"/>
      <c r="AR8" s="173"/>
      <c r="AS8" s="23" t="s">
        <v>95</v>
      </c>
      <c r="AT8" s="23" t="s">
        <v>96</v>
      </c>
      <c r="AU8" s="23" t="s">
        <v>97</v>
      </c>
      <c r="AV8" s="23" t="s">
        <v>98</v>
      </c>
      <c r="AW8" s="23" t="s">
        <v>99</v>
      </c>
      <c r="AX8" s="23" t="s">
        <v>100</v>
      </c>
      <c r="AY8" s="23" t="s">
        <v>101</v>
      </c>
      <c r="AZ8" s="23" t="s">
        <v>102</v>
      </c>
      <c r="BA8" s="23" t="s">
        <v>103</v>
      </c>
      <c r="BB8" s="23" t="s">
        <v>104</v>
      </c>
      <c r="BC8" s="23" t="s">
        <v>105</v>
      </c>
      <c r="BD8" s="23" t="s">
        <v>106</v>
      </c>
      <c r="BE8" s="23" t="s">
        <v>107</v>
      </c>
      <c r="BF8" s="23" t="s">
        <v>108</v>
      </c>
      <c r="BG8" s="23" t="s">
        <v>109</v>
      </c>
      <c r="BH8" s="23" t="s">
        <v>110</v>
      </c>
      <c r="BI8" s="23" t="s">
        <v>111</v>
      </c>
      <c r="BJ8" s="23" t="s">
        <v>112</v>
      </c>
      <c r="BK8" s="23" t="s">
        <v>113</v>
      </c>
      <c r="BL8" s="23" t="s">
        <v>114</v>
      </c>
      <c r="BM8" s="23" t="s">
        <v>115</v>
      </c>
      <c r="BN8" s="23" t="s">
        <v>116</v>
      </c>
      <c r="BO8" s="23" t="s">
        <v>117</v>
      </c>
      <c r="BP8" s="23" t="s">
        <v>118</v>
      </c>
      <c r="BQ8" s="23" t="s">
        <v>119</v>
      </c>
      <c r="BR8" s="23" t="s">
        <v>120</v>
      </c>
      <c r="BS8" s="23" t="s">
        <v>121</v>
      </c>
      <c r="BT8" s="23" t="s">
        <v>122</v>
      </c>
      <c r="BU8" s="23" t="s">
        <v>123</v>
      </c>
      <c r="BV8" s="23" t="s">
        <v>124</v>
      </c>
    </row>
    <row r="9" spans="1:74" s="2" customFormat="1" ht="9.75" customHeight="1">
      <c r="A9" s="174"/>
      <c r="B9" s="174"/>
      <c r="C9" s="174"/>
      <c r="D9" s="174"/>
      <c r="E9" s="174"/>
      <c r="F9" s="174"/>
      <c r="G9" s="174"/>
      <c r="H9" s="174"/>
      <c r="I9" s="174"/>
      <c r="J9" s="174"/>
      <c r="K9" s="174"/>
      <c r="L9" s="23" t="s">
        <v>125</v>
      </c>
      <c r="M9" s="23" t="s">
        <v>126</v>
      </c>
      <c r="N9" s="23" t="s">
        <v>127</v>
      </c>
      <c r="O9" s="23" t="s">
        <v>196</v>
      </c>
      <c r="P9" s="23" t="s">
        <v>197</v>
      </c>
      <c r="Q9" s="23" t="s">
        <v>198</v>
      </c>
      <c r="R9" s="23" t="s">
        <v>199</v>
      </c>
      <c r="S9" s="23" t="s">
        <v>132</v>
      </c>
      <c r="T9" s="23" t="s">
        <v>200</v>
      </c>
      <c r="U9" s="23" t="s">
        <v>201</v>
      </c>
      <c r="V9" s="23" t="s">
        <v>135</v>
      </c>
      <c r="W9" s="23" t="s">
        <v>136</v>
      </c>
      <c r="X9" s="23" t="s">
        <v>125</v>
      </c>
      <c r="Y9" s="23" t="s">
        <v>126</v>
      </c>
      <c r="Z9" s="23" t="s">
        <v>127</v>
      </c>
      <c r="AA9" s="23" t="s">
        <v>196</v>
      </c>
      <c r="AB9" s="23" t="s">
        <v>197</v>
      </c>
      <c r="AC9" s="23" t="s">
        <v>198</v>
      </c>
      <c r="AD9" s="23" t="s">
        <v>199</v>
      </c>
      <c r="AE9" s="23" t="s">
        <v>132</v>
      </c>
      <c r="AF9" s="23" t="s">
        <v>200</v>
      </c>
      <c r="AG9" s="23" t="s">
        <v>201</v>
      </c>
      <c r="AH9" s="23" t="s">
        <v>135</v>
      </c>
      <c r="AI9" s="23" t="s">
        <v>136</v>
      </c>
      <c r="AJ9" s="23" t="s">
        <v>125</v>
      </c>
      <c r="AK9" s="23" t="s">
        <v>126</v>
      </c>
      <c r="AL9" s="23" t="s">
        <v>127</v>
      </c>
      <c r="AM9" s="23" t="s">
        <v>196</v>
      </c>
      <c r="AN9" s="23" t="s">
        <v>197</v>
      </c>
      <c r="AO9" s="23" t="s">
        <v>198</v>
      </c>
      <c r="AP9" s="23" t="s">
        <v>199</v>
      </c>
      <c r="AQ9" s="173"/>
      <c r="AR9" s="173"/>
      <c r="AS9" s="23" t="str">
        <f t="shared" ref="AS9:BV9" si="0">+L9</f>
        <v>Junio</v>
      </c>
      <c r="AT9" s="23" t="str">
        <f t="shared" si="0"/>
        <v>Julio</v>
      </c>
      <c r="AU9" s="23" t="str">
        <f t="shared" si="0"/>
        <v>Agosto</v>
      </c>
      <c r="AV9" s="23" t="str">
        <f t="shared" si="0"/>
        <v>Septiembre</v>
      </c>
      <c r="AW9" s="23" t="str">
        <f t="shared" si="0"/>
        <v>Octubre</v>
      </c>
      <c r="AX9" s="23" t="str">
        <f t="shared" si="0"/>
        <v>Noviembre</v>
      </c>
      <c r="AY9" s="23" t="str">
        <f t="shared" si="0"/>
        <v>Diciembre</v>
      </c>
      <c r="AZ9" s="23" t="str">
        <f t="shared" si="0"/>
        <v>Enero</v>
      </c>
      <c r="BA9" s="23" t="str">
        <f t="shared" si="0"/>
        <v>Febrero</v>
      </c>
      <c r="BB9" s="23" t="str">
        <f t="shared" si="0"/>
        <v>Marzo</v>
      </c>
      <c r="BC9" s="23" t="str">
        <f t="shared" si="0"/>
        <v>Abril</v>
      </c>
      <c r="BD9" s="23" t="str">
        <f t="shared" si="0"/>
        <v>Mayo</v>
      </c>
      <c r="BE9" s="23" t="str">
        <f t="shared" si="0"/>
        <v>Junio</v>
      </c>
      <c r="BF9" s="23" t="str">
        <f t="shared" si="0"/>
        <v>Julio</v>
      </c>
      <c r="BG9" s="23" t="str">
        <f t="shared" si="0"/>
        <v>Agosto</v>
      </c>
      <c r="BH9" s="23" t="str">
        <f t="shared" si="0"/>
        <v>Septiembre</v>
      </c>
      <c r="BI9" s="23" t="str">
        <f t="shared" si="0"/>
        <v>Octubre</v>
      </c>
      <c r="BJ9" s="23" t="str">
        <f t="shared" si="0"/>
        <v>Noviembre</v>
      </c>
      <c r="BK9" s="23" t="str">
        <f t="shared" si="0"/>
        <v>Diciembre</v>
      </c>
      <c r="BL9" s="23" t="str">
        <f t="shared" si="0"/>
        <v>Enero</v>
      </c>
      <c r="BM9" s="23" t="str">
        <f t="shared" si="0"/>
        <v>Febrero</v>
      </c>
      <c r="BN9" s="23" t="str">
        <f t="shared" si="0"/>
        <v>Marzo</v>
      </c>
      <c r="BO9" s="23" t="str">
        <f t="shared" si="0"/>
        <v>Abril</v>
      </c>
      <c r="BP9" s="23" t="str">
        <f t="shared" si="0"/>
        <v>Mayo</v>
      </c>
      <c r="BQ9" s="23" t="str">
        <f t="shared" si="0"/>
        <v>Junio</v>
      </c>
      <c r="BR9" s="23" t="str">
        <f t="shared" si="0"/>
        <v>Julio</v>
      </c>
      <c r="BS9" s="23" t="str">
        <f t="shared" si="0"/>
        <v>Agosto</v>
      </c>
      <c r="BT9" s="23" t="str">
        <f t="shared" si="0"/>
        <v>Septiembre</v>
      </c>
      <c r="BU9" s="23" t="str">
        <f t="shared" si="0"/>
        <v>Octubre</v>
      </c>
      <c r="BV9" s="23" t="str">
        <f t="shared" si="0"/>
        <v>Noviembre</v>
      </c>
    </row>
    <row r="10" spans="1:74" s="2" customFormat="1" ht="37.5" customHeight="1">
      <c r="A10" s="174"/>
      <c r="B10" s="174"/>
      <c r="C10" s="174"/>
      <c r="D10" s="174"/>
      <c r="E10" s="174"/>
      <c r="F10" s="174"/>
      <c r="G10" s="174"/>
      <c r="H10" s="174"/>
      <c r="I10" s="174"/>
      <c r="J10" s="174"/>
      <c r="K10" s="174"/>
      <c r="L10" s="92">
        <f>VLOOKUP(L9,PARAMETRIZACIÓN!$E$2:$F$13,2,0)</f>
        <v>30</v>
      </c>
      <c r="M10" s="92">
        <f>VLOOKUP(M9,PARAMETRIZACIÓN!$E$2:$F$13,2,0)</f>
        <v>31</v>
      </c>
      <c r="N10" s="92">
        <f>VLOOKUP(N9,PARAMETRIZACIÓN!$E$2:$F$13,2,0)</f>
        <v>31</v>
      </c>
      <c r="O10" s="92">
        <f>VLOOKUP(O9,PARAMETRIZACIÓN!$E$2:$F$13,2,0)</f>
        <v>30</v>
      </c>
      <c r="P10" s="92">
        <f>VLOOKUP(P9,PARAMETRIZACIÓN!$E$2:$F$13,2,0)</f>
        <v>31</v>
      </c>
      <c r="Q10" s="92">
        <f>VLOOKUP(Q9,PARAMETRIZACIÓN!$E$2:$F$13,2,0)</f>
        <v>30</v>
      </c>
      <c r="R10" s="92">
        <f>VLOOKUP(R9,PARAMETRIZACIÓN!$E$2:$F$13,2,0)</f>
        <v>31</v>
      </c>
      <c r="S10" s="92">
        <f>VLOOKUP(S9,PARAMETRIZACIÓN!$E$2:$F$13,2,0)</f>
        <v>30</v>
      </c>
      <c r="T10" s="92">
        <f>VLOOKUP(T9,PARAMETRIZACIÓN!$E$2:$F$13,2,0)</f>
        <v>28</v>
      </c>
      <c r="U10" s="92">
        <f>VLOOKUP(U9,PARAMETRIZACIÓN!$E$2:$F$13,2,0)</f>
        <v>31</v>
      </c>
      <c r="V10" s="92">
        <f>VLOOKUP(V9,PARAMETRIZACIÓN!$E$2:$F$13,2,0)</f>
        <v>30</v>
      </c>
      <c r="W10" s="92">
        <f>VLOOKUP(W9,PARAMETRIZACIÓN!$E$2:$F$13,2,0)</f>
        <v>31</v>
      </c>
      <c r="X10" s="92">
        <f>VLOOKUP(X9,PARAMETRIZACIÓN!$E$2:$F$13,2,0)</f>
        <v>30</v>
      </c>
      <c r="Y10" s="92">
        <f>VLOOKUP(Y9,PARAMETRIZACIÓN!$E$2:$F$13,2,0)</f>
        <v>31</v>
      </c>
      <c r="Z10" s="92">
        <f>VLOOKUP(Z9,PARAMETRIZACIÓN!$E$2:$F$13,2,0)</f>
        <v>31</v>
      </c>
      <c r="AA10" s="92">
        <f>VLOOKUP(AA9,PARAMETRIZACIÓN!$E$2:$F$13,2,0)</f>
        <v>30</v>
      </c>
      <c r="AB10" s="92">
        <f>VLOOKUP(AB9,PARAMETRIZACIÓN!$E$2:$F$13,2,0)</f>
        <v>31</v>
      </c>
      <c r="AC10" s="92">
        <f>VLOOKUP(AC9,PARAMETRIZACIÓN!$E$2:$F$13,2,0)</f>
        <v>30</v>
      </c>
      <c r="AD10" s="92">
        <f>VLOOKUP(AD9,PARAMETRIZACIÓN!$E$2:$F$13,2,0)</f>
        <v>31</v>
      </c>
      <c r="AE10" s="92">
        <f>VLOOKUP(AE9,PARAMETRIZACIÓN!$E$2:$F$13,2,0)</f>
        <v>30</v>
      </c>
      <c r="AF10" s="92">
        <f>VLOOKUP(AF9,PARAMETRIZACIÓN!$E$2:$F$13,2,0)</f>
        <v>28</v>
      </c>
      <c r="AG10" s="92">
        <f>VLOOKUP(AG9,PARAMETRIZACIÓN!$E$2:$F$13,2,0)</f>
        <v>31</v>
      </c>
      <c r="AH10" s="92">
        <f>VLOOKUP(AH9,PARAMETRIZACIÓN!$E$2:$F$13,2,0)</f>
        <v>30</v>
      </c>
      <c r="AI10" s="92">
        <f>VLOOKUP(AI9,PARAMETRIZACIÓN!$E$2:$F$13,2,0)</f>
        <v>31</v>
      </c>
      <c r="AJ10" s="92">
        <f>VLOOKUP(AJ9,PARAMETRIZACIÓN!$E$2:$F$13,2,0)</f>
        <v>30</v>
      </c>
      <c r="AK10" s="92">
        <f>VLOOKUP(AK9,PARAMETRIZACIÓN!$E$2:$F$13,2,0)</f>
        <v>31</v>
      </c>
      <c r="AL10" s="92">
        <f>VLOOKUP(AL9,PARAMETRIZACIÓN!$E$2:$F$13,2,0)</f>
        <v>31</v>
      </c>
      <c r="AM10" s="92">
        <f>VLOOKUP(AM9,PARAMETRIZACIÓN!$E$2:$F$13,2,0)</f>
        <v>30</v>
      </c>
      <c r="AN10" s="92">
        <f>VLOOKUP(AN9,PARAMETRIZACIÓN!$E$2:$F$13,2,0)</f>
        <v>31</v>
      </c>
      <c r="AO10" s="92">
        <f>VLOOKUP(AO9,PARAMETRIZACIÓN!$E$2:$F$13,2,0)</f>
        <v>30</v>
      </c>
      <c r="AP10" s="92"/>
      <c r="AQ10" s="23"/>
      <c r="AR10" s="23"/>
      <c r="AS10" s="92">
        <f>VLOOKUP(AS9,PARAMETRIZACIÓN!$E$2:$F$13,2,0)</f>
        <v>30</v>
      </c>
      <c r="AT10" s="92">
        <f>VLOOKUP(AT9,PARAMETRIZACIÓN!$E$2:$F$13,2,0)</f>
        <v>31</v>
      </c>
      <c r="AU10" s="92">
        <f>VLOOKUP(AU9,PARAMETRIZACIÓN!$E$2:$F$13,2,0)</f>
        <v>31</v>
      </c>
      <c r="AV10" s="92">
        <f>VLOOKUP(AV9,PARAMETRIZACIÓN!$E$2:$F$13,2,0)</f>
        <v>30</v>
      </c>
      <c r="AW10" s="92">
        <f>VLOOKUP(AW9,PARAMETRIZACIÓN!$E$2:$F$13,2,0)</f>
        <v>31</v>
      </c>
      <c r="AX10" s="92">
        <f>VLOOKUP(AX9,PARAMETRIZACIÓN!$E$2:$F$13,2,0)</f>
        <v>30</v>
      </c>
      <c r="AY10" s="92">
        <f>VLOOKUP(AY9,PARAMETRIZACIÓN!$E$2:$F$13,2,0)</f>
        <v>31</v>
      </c>
      <c r="AZ10" s="92">
        <f>VLOOKUP(AZ9,PARAMETRIZACIÓN!$E$2:$F$13,2,0)</f>
        <v>30</v>
      </c>
      <c r="BA10" s="92">
        <f>VLOOKUP(BA9,PARAMETRIZACIÓN!$E$2:$F$13,2,0)</f>
        <v>28</v>
      </c>
      <c r="BB10" s="92">
        <f>VLOOKUP(BB9,PARAMETRIZACIÓN!$E$2:$F$13,2,0)</f>
        <v>31</v>
      </c>
      <c r="BC10" s="92">
        <f>VLOOKUP(BC9,PARAMETRIZACIÓN!$E$2:$F$13,2,0)</f>
        <v>30</v>
      </c>
      <c r="BD10" s="92">
        <f>VLOOKUP(BD9,PARAMETRIZACIÓN!$E$2:$F$13,2,0)</f>
        <v>31</v>
      </c>
      <c r="BE10" s="92">
        <f>VLOOKUP(BE9,PARAMETRIZACIÓN!$E$2:$F$13,2,0)</f>
        <v>30</v>
      </c>
      <c r="BF10" s="92">
        <f>VLOOKUP(BF9,PARAMETRIZACIÓN!$E$2:$F$13,2,0)</f>
        <v>31</v>
      </c>
      <c r="BG10" s="92">
        <f>VLOOKUP(BG9,PARAMETRIZACIÓN!$E$2:$F$13,2,0)</f>
        <v>31</v>
      </c>
      <c r="BH10" s="92">
        <f>VLOOKUP(BH9,PARAMETRIZACIÓN!$E$2:$F$13,2,0)</f>
        <v>30</v>
      </c>
      <c r="BI10" s="92">
        <f>VLOOKUP(BI9,PARAMETRIZACIÓN!$E$2:$F$13,2,0)</f>
        <v>31</v>
      </c>
      <c r="BJ10" s="92">
        <f>VLOOKUP(BJ9,PARAMETRIZACIÓN!$E$2:$F$13,2,0)</f>
        <v>30</v>
      </c>
      <c r="BK10" s="92">
        <f>VLOOKUP(BK9,PARAMETRIZACIÓN!$E$2:$F$13,2,0)</f>
        <v>31</v>
      </c>
      <c r="BL10" s="92">
        <f>VLOOKUP(BL9,PARAMETRIZACIÓN!$E$2:$F$13,2,0)</f>
        <v>30</v>
      </c>
      <c r="BM10" s="92">
        <f>VLOOKUP(BM9,PARAMETRIZACIÓN!$E$2:$F$13,2,0)</f>
        <v>28</v>
      </c>
      <c r="BN10" s="92">
        <f>VLOOKUP(BN9,PARAMETRIZACIÓN!$E$2:$F$13,2,0)</f>
        <v>31</v>
      </c>
      <c r="BO10" s="92">
        <f>VLOOKUP(BO9,PARAMETRIZACIÓN!$E$2:$F$13,2,0)</f>
        <v>30</v>
      </c>
      <c r="BP10" s="92">
        <f>VLOOKUP(BP9,PARAMETRIZACIÓN!$E$2:$F$13,2,0)</f>
        <v>31</v>
      </c>
      <c r="BQ10" s="92">
        <f>VLOOKUP(BQ9,PARAMETRIZACIÓN!$E$2:$F$13,2,0)</f>
        <v>30</v>
      </c>
      <c r="BR10" s="92">
        <f>VLOOKUP(BR9,PARAMETRIZACIÓN!$E$2:$F$13,2,0)</f>
        <v>31</v>
      </c>
      <c r="BS10" s="92">
        <f>VLOOKUP(BS9,PARAMETRIZACIÓN!$E$2:$F$13,2,0)</f>
        <v>31</v>
      </c>
      <c r="BT10" s="92">
        <f>VLOOKUP(BT9,PARAMETRIZACIÓN!$E$2:$F$13,2,0)</f>
        <v>30</v>
      </c>
      <c r="BU10" s="92">
        <f>VLOOKUP(BU9,PARAMETRIZACIÓN!$E$2:$F$13,2,0)</f>
        <v>31</v>
      </c>
      <c r="BV10" s="92">
        <f>VLOOKUP(BV9,PARAMETRIZACIÓN!$E$2:$F$13,2,0)</f>
        <v>30</v>
      </c>
    </row>
    <row r="11" spans="1:74" ht="42" customHeight="1">
      <c r="A11" s="10" t="str">
        <f>+PROYECTO!$B$9</f>
        <v>Fortalecimiento de la innovación en las MiPymes a partir de los resultados de investigación de las IES del Departamento del Valle del Cauca</v>
      </c>
      <c r="B11" s="12" t="str">
        <f>'ACTIVIDADES MGA'!$E$10</f>
        <v>Actividad 1.1.1</v>
      </c>
      <c r="C11" s="10" t="str">
        <f>'ACTIVIDADES MGA'!F10</f>
        <v>1.1 .1 Realizar una Planeación detallada y Dirección - Gerencia del Proyecto</v>
      </c>
      <c r="D11" s="10">
        <v>1</v>
      </c>
      <c r="E11" s="10" t="s">
        <v>202</v>
      </c>
      <c r="F11" s="10" t="s">
        <v>203</v>
      </c>
      <c r="G11" s="10" t="s">
        <v>204</v>
      </c>
      <c r="H11" s="81">
        <v>45991</v>
      </c>
      <c r="I11" s="34">
        <f>'ACTIVIDADES MGA'!$I$10</f>
        <v>1</v>
      </c>
      <c r="J11" s="34">
        <f>'ACTIVIDADES MGA'!$J$10</f>
        <v>30</v>
      </c>
      <c r="K11" s="39">
        <f t="shared" ref="K11:K35" si="1">SUM(L11:AP11)</f>
        <v>2.4706572221941288E-2</v>
      </c>
      <c r="L11" s="195">
        <v>4.2172503766274425E-5</v>
      </c>
      <c r="M11" s="25">
        <v>6.3258755649411597E-4</v>
      </c>
      <c r="N11" s="25">
        <v>3.9179178066836859E-3</v>
      </c>
      <c r="O11" s="25">
        <v>6.3258755649411597E-4</v>
      </c>
      <c r="P11" s="25">
        <v>6.3258755649411597E-4</v>
      </c>
      <c r="Q11" s="25">
        <v>6.3258755649411597E-4</v>
      </c>
      <c r="R11" s="25">
        <v>6.3258755649411597E-4</v>
      </c>
      <c r="S11" s="25">
        <v>2.3890264500272314E-3</v>
      </c>
      <c r="T11" s="25">
        <v>6.3258755649411597E-4</v>
      </c>
      <c r="U11" s="25">
        <v>6.3258755649411597E-4</v>
      </c>
      <c r="V11" s="25">
        <v>6.3258755649411597E-4</v>
      </c>
      <c r="W11" s="25">
        <v>6.3258755649411597E-4</v>
      </c>
      <c r="X11" s="25">
        <v>6.6211395405676695E-4</v>
      </c>
      <c r="Y11" s="25">
        <v>6.6211395405676695E-4</v>
      </c>
      <c r="Z11" s="25">
        <v>6.6211395405676695E-4</v>
      </c>
      <c r="AA11" s="25">
        <v>6.6211395405676695E-4</v>
      </c>
      <c r="AB11" s="25">
        <v>6.6211395405676695E-4</v>
      </c>
      <c r="AC11" s="25">
        <v>6.6211395405676695E-4</v>
      </c>
      <c r="AD11" s="25">
        <v>6.6211395405676695E-4</v>
      </c>
      <c r="AE11" s="25">
        <v>6.6211395405676695E-4</v>
      </c>
      <c r="AF11" s="25">
        <v>6.6211395405676695E-4</v>
      </c>
      <c r="AG11" s="25">
        <v>6.6211395405676695E-4</v>
      </c>
      <c r="AH11" s="25">
        <v>6.6211395405676695E-4</v>
      </c>
      <c r="AI11" s="25">
        <v>6.6211395405676695E-4</v>
      </c>
      <c r="AJ11" s="25">
        <v>6.8806415860133709E-4</v>
      </c>
      <c r="AK11" s="25">
        <v>6.8806415860133709E-4</v>
      </c>
      <c r="AL11" s="25">
        <v>6.8806415860133709E-4</v>
      </c>
      <c r="AM11" s="25">
        <v>6.8806415860133709E-4</v>
      </c>
      <c r="AN11" s="25">
        <v>6.8806415860133709E-4</v>
      </c>
      <c r="AO11" s="25">
        <v>6.8806415860133709E-4</v>
      </c>
      <c r="AP11" s="147">
        <v>5.9041505272784201E-4</v>
      </c>
      <c r="AQ11" s="39">
        <f>SUM(AS11:BV11)</f>
        <v>0</v>
      </c>
      <c r="AR11" s="39">
        <f>+AQ11/K11</f>
        <v>0</v>
      </c>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row>
    <row r="12" spans="1:74" ht="38.25" customHeight="1">
      <c r="A12" s="130" t="str">
        <f>+PROYECTO!$B$9</f>
        <v>Fortalecimiento de la innovación en las MiPymes a partir de los resultados de investigación de las IES del Departamento del Valle del Cauca</v>
      </c>
      <c r="B12" s="136" t="str">
        <f>'ACTIVIDADES MGA'!$E$10</f>
        <v>Actividad 1.1.1</v>
      </c>
      <c r="C12" s="130" t="s">
        <v>205</v>
      </c>
      <c r="D12" s="130">
        <v>1</v>
      </c>
      <c r="E12" s="130" t="s">
        <v>206</v>
      </c>
      <c r="F12" s="130" t="s">
        <v>207</v>
      </c>
      <c r="G12" s="130" t="s">
        <v>204</v>
      </c>
      <c r="H12" s="131">
        <v>45991</v>
      </c>
      <c r="I12" s="132">
        <f>'ACTIVIDADES MGA'!$I$10</f>
        <v>1</v>
      </c>
      <c r="J12" s="132">
        <f>'ACTIVIDADES MGA'!$J$10</f>
        <v>30</v>
      </c>
      <c r="K12" s="39">
        <f t="shared" si="1"/>
        <v>1.027689164758662E-2</v>
      </c>
      <c r="L12" s="147">
        <v>2.1564011068573286E-5</v>
      </c>
      <c r="M12" s="25">
        <v>3.2346016602859931E-4</v>
      </c>
      <c r="N12" s="25">
        <v>3.2346016602859931E-4</v>
      </c>
      <c r="O12" s="25">
        <v>3.2346016602859931E-4</v>
      </c>
      <c r="P12" s="25">
        <v>3.2346016602859931E-4</v>
      </c>
      <c r="Q12" s="25">
        <v>3.2346016602859931E-4</v>
      </c>
      <c r="R12" s="25">
        <v>3.2346016602859931E-4</v>
      </c>
      <c r="S12" s="25">
        <v>3.2346016602859931E-4</v>
      </c>
      <c r="T12" s="25">
        <v>3.2346016602859931E-4</v>
      </c>
      <c r="U12" s="25">
        <v>3.2346016602859931E-4</v>
      </c>
      <c r="V12" s="25">
        <v>3.2346016602859931E-4</v>
      </c>
      <c r="W12" s="147">
        <v>3.2346016602859931E-4</v>
      </c>
      <c r="X12" s="25">
        <v>3.4836038055073462E-4</v>
      </c>
      <c r="Y12" s="25">
        <v>3.4836038055073462E-4</v>
      </c>
      <c r="Z12" s="25">
        <v>3.4836038055073462E-4</v>
      </c>
      <c r="AA12" s="25">
        <v>3.4836038055073462E-4</v>
      </c>
      <c r="AB12" s="25">
        <v>3.4836038055073462E-4</v>
      </c>
      <c r="AC12" s="25">
        <v>3.4836038055073462E-4</v>
      </c>
      <c r="AD12" s="25">
        <v>3.4836038055073462E-4</v>
      </c>
      <c r="AE12" s="25">
        <v>3.4836038055073462E-4</v>
      </c>
      <c r="AF12" s="25">
        <v>3.4836038055073462E-4</v>
      </c>
      <c r="AG12" s="25">
        <v>3.4836038055073462E-4</v>
      </c>
      <c r="AH12" s="25">
        <v>3.4836038055073462E-4</v>
      </c>
      <c r="AI12" s="147">
        <v>3.4836038055073462E-4</v>
      </c>
      <c r="AJ12" s="25">
        <v>3.6917418143910208E-4</v>
      </c>
      <c r="AK12" s="25">
        <v>3.6917418143910208E-4</v>
      </c>
      <c r="AL12" s="25">
        <v>3.6917418143910208E-4</v>
      </c>
      <c r="AM12" s="25">
        <v>3.6917418143910208E-4</v>
      </c>
      <c r="AN12" s="25">
        <v>3.6917418143910208E-4</v>
      </c>
      <c r="AO12" s="25">
        <v>3.6917418143910208E-4</v>
      </c>
      <c r="AP12" s="147">
        <v>3.01896154960026E-4</v>
      </c>
      <c r="AQ12" s="39">
        <f t="shared" ref="AQ12:AQ35" si="2">SUM(AS12:BV12)</f>
        <v>0</v>
      </c>
      <c r="AR12" s="39">
        <f t="shared" ref="AR12:AR35" si="3">+AQ12/K12</f>
        <v>0</v>
      </c>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row>
    <row r="13" spans="1:74" ht="38.25" customHeight="1">
      <c r="A13" s="130" t="str">
        <f>+PROYECTO!$B$9</f>
        <v>Fortalecimiento de la innovación en las MiPymes a partir de los resultados de investigación de las IES del Departamento del Valle del Cauca</v>
      </c>
      <c r="B13" s="136" t="str">
        <f>'ACTIVIDADES MGA'!$E$10</f>
        <v>Actividad 1.1.1</v>
      </c>
      <c r="C13" s="130" t="s">
        <v>208</v>
      </c>
      <c r="D13" s="130">
        <v>1</v>
      </c>
      <c r="E13" s="130" t="s">
        <v>206</v>
      </c>
      <c r="F13" s="130" t="s">
        <v>207</v>
      </c>
      <c r="G13" s="130" t="s">
        <v>204</v>
      </c>
      <c r="H13" s="131">
        <v>45991</v>
      </c>
      <c r="I13" s="132">
        <f>'ACTIVIDADES MGA'!$I$10</f>
        <v>1</v>
      </c>
      <c r="J13" s="132">
        <f>'ACTIVIDADES MGA'!$J$10</f>
        <v>30</v>
      </c>
      <c r="K13" s="39">
        <f t="shared" si="1"/>
        <v>1.0383813132995289E-2</v>
      </c>
      <c r="L13" s="25">
        <v>2.1831212262650166E-5</v>
      </c>
      <c r="M13" s="25">
        <v>3.2746818393975251E-4</v>
      </c>
      <c r="N13" s="25">
        <v>3.2746818393975251E-4</v>
      </c>
      <c r="O13" s="25">
        <v>3.2746818393975251E-4</v>
      </c>
      <c r="P13" s="25">
        <v>3.2746818393975251E-4</v>
      </c>
      <c r="Q13" s="25">
        <v>3.2746818393975251E-4</v>
      </c>
      <c r="R13" s="25">
        <v>3.2746818393975251E-4</v>
      </c>
      <c r="S13" s="25">
        <v>3.2746818393975251E-4</v>
      </c>
      <c r="T13" s="25">
        <v>3.2746818393975251E-4</v>
      </c>
      <c r="U13" s="147">
        <v>3.2746818393975251E-4</v>
      </c>
      <c r="V13" s="147">
        <v>3.2746818393975251E-4</v>
      </c>
      <c r="W13" s="147">
        <v>3.2746168511584646E-4</v>
      </c>
      <c r="X13" s="25">
        <v>3.5039095681553518E-4</v>
      </c>
      <c r="Y13" s="25">
        <v>3.5039095681553518E-4</v>
      </c>
      <c r="Z13" s="25">
        <v>3.5039095681553518E-4</v>
      </c>
      <c r="AA13" s="25">
        <v>3.5039095681553518E-4</v>
      </c>
      <c r="AB13" s="25">
        <v>3.5039095681553518E-4</v>
      </c>
      <c r="AC13" s="25">
        <v>3.5039095681553518E-4</v>
      </c>
      <c r="AD13" s="25">
        <v>3.5039095681553518E-4</v>
      </c>
      <c r="AE13" s="25">
        <v>3.5039095681553518E-4</v>
      </c>
      <c r="AF13" s="25">
        <v>3.5039095681553518E-4</v>
      </c>
      <c r="AG13" s="25">
        <v>3.5039095681553518E-4</v>
      </c>
      <c r="AH13" s="25">
        <v>3.5039095681553518E-4</v>
      </c>
      <c r="AI13" s="25">
        <v>3.5039095681553518E-4</v>
      </c>
      <c r="AJ13" s="25">
        <v>3.7491832379262267E-4</v>
      </c>
      <c r="AK13" s="25">
        <v>3.7491832379262267E-4</v>
      </c>
      <c r="AL13" s="25">
        <v>3.7491832379262267E-4</v>
      </c>
      <c r="AM13" s="25">
        <v>3.7491832379262267E-4</v>
      </c>
      <c r="AN13" s="25">
        <v>3.7491832379262267E-4</v>
      </c>
      <c r="AO13" s="25">
        <v>3.7491832379262267E-4</v>
      </c>
      <c r="AP13" s="25">
        <v>3.056369716771023E-4</v>
      </c>
      <c r="AQ13" s="39">
        <f t="shared" si="2"/>
        <v>0</v>
      </c>
      <c r="AR13" s="39">
        <f t="shared" si="3"/>
        <v>0</v>
      </c>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row>
    <row r="14" spans="1:74" ht="38.25" customHeight="1">
      <c r="A14" s="130" t="str">
        <f>+PROYECTO!$B$9</f>
        <v>Fortalecimiento de la innovación en las MiPymes a partir de los resultados de investigación de las IES del Departamento del Valle del Cauca</v>
      </c>
      <c r="B14" s="136" t="str">
        <f>'ACTIVIDADES MGA'!$E$10</f>
        <v>Actividad 1.1.1</v>
      </c>
      <c r="C14" s="130" t="s">
        <v>209</v>
      </c>
      <c r="D14" s="130">
        <v>1</v>
      </c>
      <c r="E14" s="130" t="s">
        <v>206</v>
      </c>
      <c r="F14" s="130" t="s">
        <v>207</v>
      </c>
      <c r="G14" s="130" t="s">
        <v>204</v>
      </c>
      <c r="H14" s="131">
        <v>45991</v>
      </c>
      <c r="I14" s="132">
        <f>'ACTIVIDADES MGA'!$I$10</f>
        <v>1</v>
      </c>
      <c r="J14" s="132">
        <f>'ACTIVIDADES MGA'!$J$10</f>
        <v>30</v>
      </c>
      <c r="K14" s="39">
        <f t="shared" si="1"/>
        <v>8.2263068505824127E-3</v>
      </c>
      <c r="L14" s="25">
        <v>1.9987755483133917E-5</v>
      </c>
      <c r="M14" s="25">
        <v>2.9981633224700823E-4</v>
      </c>
      <c r="N14" s="25">
        <v>2.9981633224700823E-4</v>
      </c>
      <c r="O14" s="25">
        <v>2.9981633224700823E-4</v>
      </c>
      <c r="P14" s="25">
        <v>2.9981633224700823E-4</v>
      </c>
      <c r="Q14" s="25">
        <v>2.9981633224700823E-4</v>
      </c>
      <c r="R14" s="25">
        <v>2.9981633224700823E-4</v>
      </c>
      <c r="S14" s="25">
        <v>2.9981633224700823E-4</v>
      </c>
      <c r="T14" s="25">
        <v>2.9981633224700823E-4</v>
      </c>
      <c r="U14" s="25">
        <v>2.9981633224700823E-4</v>
      </c>
      <c r="V14" s="25">
        <v>2.9981633224700823E-4</v>
      </c>
      <c r="W14" s="25">
        <v>2.9981633224700823E-4</v>
      </c>
      <c r="X14" s="25">
        <v>2.6781044418108465E-4</v>
      </c>
      <c r="Y14" s="25">
        <v>2.6781044418108465E-4</v>
      </c>
      <c r="Z14" s="25">
        <v>2.6781044418108465E-4</v>
      </c>
      <c r="AA14" s="25">
        <v>2.6781044418108465E-4</v>
      </c>
      <c r="AB14" s="25">
        <v>2.6781044418108465E-4</v>
      </c>
      <c r="AC14" s="25">
        <v>2.6781044418108465E-4</v>
      </c>
      <c r="AD14" s="25">
        <v>2.6781044418108465E-4</v>
      </c>
      <c r="AE14" s="25">
        <v>2.6781044418108465E-4</v>
      </c>
      <c r="AF14" s="25">
        <v>2.6781044418108465E-4</v>
      </c>
      <c r="AG14" s="25">
        <v>2.6781044418108465E-4</v>
      </c>
      <c r="AH14" s="25">
        <v>2.6781044418108465E-4</v>
      </c>
      <c r="AI14" s="25">
        <v>2.6781044418108465E-4</v>
      </c>
      <c r="AJ14" s="25">
        <v>2.3579758890755008E-4</v>
      </c>
      <c r="AK14" s="25">
        <v>2.3579758890755008E-4</v>
      </c>
      <c r="AL14" s="25">
        <v>2.3579758890755008E-4</v>
      </c>
      <c r="AM14" s="25">
        <v>2.3579758890755008E-4</v>
      </c>
      <c r="AN14" s="25">
        <v>2.3579758890755008E-4</v>
      </c>
      <c r="AO14" s="25">
        <v>2.3579758890755008E-4</v>
      </c>
      <c r="AP14" s="147">
        <v>2.7982857676387486E-4</v>
      </c>
      <c r="AQ14" s="39">
        <f t="shared" si="2"/>
        <v>0</v>
      </c>
      <c r="AR14" s="39">
        <f t="shared" si="3"/>
        <v>0</v>
      </c>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row>
    <row r="15" spans="1:74" ht="38.25" customHeight="1">
      <c r="A15" s="130" t="str">
        <f>+PROYECTO!$B$9</f>
        <v>Fortalecimiento de la innovación en las MiPymes a partir de los resultados de investigación de las IES del Departamento del Valle del Cauca</v>
      </c>
      <c r="B15" s="136" t="str">
        <f>'ACTIVIDADES MGA'!$E$10</f>
        <v>Actividad 1.1.1</v>
      </c>
      <c r="C15" s="130" t="s">
        <v>210</v>
      </c>
      <c r="D15" s="130">
        <v>1</v>
      </c>
      <c r="E15" s="130" t="s">
        <v>206</v>
      </c>
      <c r="F15" s="130" t="s">
        <v>207</v>
      </c>
      <c r="G15" s="130" t="s">
        <v>204</v>
      </c>
      <c r="H15" s="131">
        <v>45991</v>
      </c>
      <c r="I15" s="132">
        <f>'ACTIVIDADES MGA'!$I$10</f>
        <v>1</v>
      </c>
      <c r="J15" s="132">
        <f>'ACTIVIDADES MGA'!$J$10</f>
        <v>30</v>
      </c>
      <c r="K15" s="39">
        <f t="shared" si="1"/>
        <v>8.2652709694514531E-3</v>
      </c>
      <c r="L15" s="25">
        <v>1.9951187401169906E-5</v>
      </c>
      <c r="M15" s="25">
        <v>2.9926781101754856E-4</v>
      </c>
      <c r="N15" s="25">
        <v>2.9926781101754856E-4</v>
      </c>
      <c r="O15" s="25">
        <v>2.9926781101754856E-4</v>
      </c>
      <c r="P15" s="25">
        <v>2.9926781101754856E-4</v>
      </c>
      <c r="Q15" s="25">
        <v>2.9926781101754856E-4</v>
      </c>
      <c r="R15" s="25">
        <v>2.9926781101754856E-4</v>
      </c>
      <c r="S15" s="25">
        <v>2.9926781101754856E-4</v>
      </c>
      <c r="T15" s="25">
        <v>2.9926781101754856E-4</v>
      </c>
      <c r="U15" s="25">
        <v>2.9926781101754856E-4</v>
      </c>
      <c r="V15" s="25">
        <v>2.9926781101754856E-4</v>
      </c>
      <c r="W15" s="25">
        <v>2.9926781101754856E-4</v>
      </c>
      <c r="X15" s="25">
        <v>3.040558243312805E-4</v>
      </c>
      <c r="Y15" s="25">
        <v>3.040558243312805E-4</v>
      </c>
      <c r="Z15" s="25">
        <v>3.040558243312805E-4</v>
      </c>
      <c r="AA15" s="25">
        <v>3.040558243312805E-4</v>
      </c>
      <c r="AB15" s="25">
        <v>3.040558243312805E-4</v>
      </c>
      <c r="AC15" s="25">
        <v>3.040558243312805E-4</v>
      </c>
      <c r="AD15" s="25">
        <v>3.040558243312805E-4</v>
      </c>
      <c r="AE15" s="25">
        <v>3.040558243312805E-4</v>
      </c>
      <c r="AF15" s="25">
        <v>3.040558243312805E-4</v>
      </c>
      <c r="AG15" s="25">
        <v>3.040558243312805E-4</v>
      </c>
      <c r="AH15" s="25">
        <v>3.040558243312805E-4</v>
      </c>
      <c r="AI15" s="25">
        <v>3.040558243312805E-4</v>
      </c>
      <c r="AJ15" s="25">
        <v>1.7089789087758447E-4</v>
      </c>
      <c r="AK15" s="25">
        <v>1.7089789087758447E-4</v>
      </c>
      <c r="AL15" s="25">
        <v>1.7089789087758447E-4</v>
      </c>
      <c r="AM15" s="25">
        <v>1.7089789087758447E-4</v>
      </c>
      <c r="AN15" s="25">
        <v>1.7089789087758447E-4</v>
      </c>
      <c r="AO15" s="25">
        <v>1.7089789087758447E-4</v>
      </c>
      <c r="AP15" s="25">
        <v>2.7931662361637869E-4</v>
      </c>
      <c r="AQ15" s="39">
        <f t="shared" si="2"/>
        <v>0</v>
      </c>
      <c r="AR15" s="39">
        <f t="shared" si="3"/>
        <v>0</v>
      </c>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row>
    <row r="16" spans="1:74" ht="38.25" customHeight="1">
      <c r="A16" s="130" t="str">
        <f>+PROYECTO!$B$9</f>
        <v>Fortalecimiento de la innovación en las MiPymes a partir de los resultados de investigación de las IES del Departamento del Valle del Cauca</v>
      </c>
      <c r="B16" s="136" t="str">
        <f>'ACTIVIDADES MGA'!$E$10</f>
        <v>Actividad 1.1.1</v>
      </c>
      <c r="C16" s="130" t="s">
        <v>211</v>
      </c>
      <c r="D16" s="130">
        <v>1</v>
      </c>
      <c r="E16" s="130" t="s">
        <v>206</v>
      </c>
      <c r="F16" s="130" t="s">
        <v>207</v>
      </c>
      <c r="G16" s="130" t="s">
        <v>204</v>
      </c>
      <c r="H16" s="131">
        <v>45991</v>
      </c>
      <c r="I16" s="132">
        <f>'ACTIVIDADES MGA'!$I$10</f>
        <v>1</v>
      </c>
      <c r="J16" s="132">
        <f>'ACTIVIDADES MGA'!$J$10</f>
        <v>30</v>
      </c>
      <c r="K16" s="39">
        <f t="shared" si="1"/>
        <v>4.4794756183509164E-2</v>
      </c>
      <c r="L16" s="25">
        <v>9.9543902630020402E-5</v>
      </c>
      <c r="M16" s="25">
        <v>1.4931585394503055E-3</v>
      </c>
      <c r="N16" s="25">
        <v>1.4931585394503055E-3</v>
      </c>
      <c r="O16" s="25">
        <v>1.4931585394503055E-3</v>
      </c>
      <c r="P16" s="25">
        <v>1.4931585394503055E-3</v>
      </c>
      <c r="Q16" s="25">
        <v>1.4931585394503055E-3</v>
      </c>
      <c r="R16" s="25">
        <v>1.4931585394503055E-3</v>
      </c>
      <c r="S16" s="25">
        <v>1.4931585394503055E-3</v>
      </c>
      <c r="T16" s="25">
        <v>1.4931585394503055E-3</v>
      </c>
      <c r="U16" s="25">
        <v>1.4931585394503055E-3</v>
      </c>
      <c r="V16" s="25">
        <v>1.4931585394503055E-3</v>
      </c>
      <c r="W16" s="147">
        <v>1.4931585394503055E-3</v>
      </c>
      <c r="X16" s="25">
        <v>1.4931585394503055E-3</v>
      </c>
      <c r="Y16" s="25">
        <v>1.4931585394503055E-3</v>
      </c>
      <c r="Z16" s="25">
        <v>1.4931585394503055E-3</v>
      </c>
      <c r="AA16" s="25">
        <v>1.4931585394503055E-3</v>
      </c>
      <c r="AB16" s="25">
        <v>1.4931585394503055E-3</v>
      </c>
      <c r="AC16" s="25">
        <v>1.4931585394503055E-3</v>
      </c>
      <c r="AD16" s="25">
        <v>1.4931585394503055E-3</v>
      </c>
      <c r="AE16" s="25">
        <v>1.4931585394503055E-3</v>
      </c>
      <c r="AF16" s="25">
        <v>1.4931585394503055E-3</v>
      </c>
      <c r="AG16" s="25">
        <v>1.4931585394503055E-3</v>
      </c>
      <c r="AH16" s="25">
        <v>1.4931585394503055E-3</v>
      </c>
      <c r="AI16" s="25">
        <v>1.4931585394503055E-3</v>
      </c>
      <c r="AJ16" s="25">
        <v>1.4931585394503055E-3</v>
      </c>
      <c r="AK16" s="25">
        <v>1.4931585394503055E-3</v>
      </c>
      <c r="AL16" s="25">
        <v>1.4931585394503055E-3</v>
      </c>
      <c r="AM16" s="25">
        <v>1.4931585394503055E-3</v>
      </c>
      <c r="AN16" s="25">
        <v>1.4931585394503055E-3</v>
      </c>
      <c r="AO16" s="25">
        <v>1.4931585394503055E-3</v>
      </c>
      <c r="AP16" s="25">
        <v>1.3936146368202851E-3</v>
      </c>
      <c r="AQ16" s="39">
        <f t="shared" si="2"/>
        <v>0</v>
      </c>
      <c r="AR16" s="39">
        <f t="shared" si="3"/>
        <v>0</v>
      </c>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row>
    <row r="17" spans="1:74" ht="38.25" customHeight="1">
      <c r="A17" s="130" t="str">
        <f>+PROYECTO!$B$9</f>
        <v>Fortalecimiento de la innovación en las MiPymes a partir de los resultados de investigación de las IES del Departamento del Valle del Cauca</v>
      </c>
      <c r="B17" s="136" t="str">
        <f>'ACTIVIDADES MGA'!$E$10</f>
        <v>Actividad 1.1.1</v>
      </c>
      <c r="C17" s="130" t="s">
        <v>212</v>
      </c>
      <c r="D17" s="130">
        <v>1</v>
      </c>
      <c r="E17" s="130" t="s">
        <v>206</v>
      </c>
      <c r="F17" s="130" t="s">
        <v>207</v>
      </c>
      <c r="G17" s="130" t="s">
        <v>204</v>
      </c>
      <c r="H17" s="131">
        <v>45991</v>
      </c>
      <c r="I17" s="132">
        <f>'ACTIVIDADES MGA'!$I$10</f>
        <v>1</v>
      </c>
      <c r="J17" s="132">
        <f>'ACTIVIDADES MGA'!$J$10</f>
        <v>30</v>
      </c>
      <c r="K17" s="39">
        <f t="shared" si="1"/>
        <v>8.0168536202552647E-3</v>
      </c>
      <c r="L17" s="25">
        <v>2.0303122134868983E-5</v>
      </c>
      <c r="M17" s="25">
        <v>3.0454683202303472E-4</v>
      </c>
      <c r="N17" s="25">
        <v>3.0454683202303472E-4</v>
      </c>
      <c r="O17" s="25">
        <v>3.0454683202303472E-4</v>
      </c>
      <c r="P17" s="25">
        <v>3.0454683202303472E-4</v>
      </c>
      <c r="Q17" s="25">
        <v>3.0454683202303472E-4</v>
      </c>
      <c r="R17" s="25">
        <v>3.0454683202303472E-4</v>
      </c>
      <c r="S17" s="25">
        <v>3.0454683202303472E-4</v>
      </c>
      <c r="T17" s="25">
        <v>3.0454683202303472E-4</v>
      </c>
      <c r="U17" s="25">
        <v>3.0454683202303472E-4</v>
      </c>
      <c r="V17" s="25">
        <v>3.0454683202303472E-4</v>
      </c>
      <c r="W17" s="147">
        <v>3.0454683202303472E-4</v>
      </c>
      <c r="X17" s="25">
        <v>2.6077262772654993E-4</v>
      </c>
      <c r="Y17" s="147">
        <v>2.6077262772654993E-4</v>
      </c>
      <c r="Z17" s="25">
        <v>2.6077262772654993E-4</v>
      </c>
      <c r="AA17" s="25">
        <v>2.6077262772654993E-4</v>
      </c>
      <c r="AB17" s="25">
        <v>2.6077262772654993E-4</v>
      </c>
      <c r="AC17" s="25">
        <v>2.6077262772654993E-4</v>
      </c>
      <c r="AD17" s="25">
        <v>2.6077262772654993E-4</v>
      </c>
      <c r="AE17" s="25">
        <v>2.6077262772654993E-4</v>
      </c>
      <c r="AF17" s="25">
        <v>2.6077262772654993E-4</v>
      </c>
      <c r="AG17" s="25">
        <v>2.6077262772654993E-4</v>
      </c>
      <c r="AH17" s="25">
        <v>2.6077262772654993E-4</v>
      </c>
      <c r="AI17" s="25">
        <v>2.6077262772654993E-4</v>
      </c>
      <c r="AJ17" s="25">
        <v>2.0550335054337455E-4</v>
      </c>
      <c r="AK17" s="25">
        <v>2.0550335054337455E-4</v>
      </c>
      <c r="AL17" s="25">
        <v>2.0550335054337455E-4</v>
      </c>
      <c r="AM17" s="25">
        <v>2.0550335054337455E-4</v>
      </c>
      <c r="AN17" s="25">
        <v>2.0550335054337455E-4</v>
      </c>
      <c r="AO17" s="25">
        <v>2.0550335054337455E-4</v>
      </c>
      <c r="AP17" s="25">
        <v>2.8424370988816577E-4</v>
      </c>
      <c r="AQ17" s="39">
        <f t="shared" si="2"/>
        <v>0</v>
      </c>
      <c r="AR17" s="39">
        <f t="shared" si="3"/>
        <v>0</v>
      </c>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row>
    <row r="18" spans="1:74" ht="38.25" customHeight="1">
      <c r="A18" s="130" t="str">
        <f>+PROYECTO!$B$9</f>
        <v>Fortalecimiento de la innovación en las MiPymes a partir de los resultados de investigación de las IES del Departamento del Valle del Cauca</v>
      </c>
      <c r="B18" s="136" t="str">
        <f>'ACTIVIDADES MGA'!$E$10</f>
        <v>Actividad 1.1.1</v>
      </c>
      <c r="C18" s="130" t="s">
        <v>213</v>
      </c>
      <c r="D18" s="130">
        <v>1</v>
      </c>
      <c r="E18" s="130" t="s">
        <v>206</v>
      </c>
      <c r="F18" s="130" t="s">
        <v>207</v>
      </c>
      <c r="G18" s="130" t="s">
        <v>204</v>
      </c>
      <c r="H18" s="131">
        <v>45991</v>
      </c>
      <c r="I18" s="132">
        <f>'ACTIVIDADES MGA'!$I$10</f>
        <v>1</v>
      </c>
      <c r="J18" s="132">
        <f>'ACTIVIDADES MGA'!$J$10</f>
        <v>30</v>
      </c>
      <c r="K18" s="39">
        <f t="shared" si="1"/>
        <v>5.4960255179043451E-3</v>
      </c>
      <c r="L18" s="25">
        <v>1.2213390039787438E-5</v>
      </c>
      <c r="M18" s="25">
        <v>1.8320085059681158E-4</v>
      </c>
      <c r="N18" s="25">
        <v>1.8320085059681158E-4</v>
      </c>
      <c r="O18" s="25">
        <v>1.8320085059681158E-4</v>
      </c>
      <c r="P18" s="25">
        <v>1.8320085059681158E-4</v>
      </c>
      <c r="Q18" s="25">
        <v>1.8320085059681158E-4</v>
      </c>
      <c r="R18" s="25">
        <v>1.8320085059681158E-4</v>
      </c>
      <c r="S18" s="25">
        <v>1.8320085059681158E-4</v>
      </c>
      <c r="T18" s="25">
        <v>1.8320085059681158E-4</v>
      </c>
      <c r="U18" s="25">
        <v>1.8320085059681158E-4</v>
      </c>
      <c r="V18" s="147">
        <v>1.8320085059681158E-4</v>
      </c>
      <c r="W18" s="147">
        <v>1.8320085059681158E-4</v>
      </c>
      <c r="X18" s="147">
        <v>1.8320085059681158E-4</v>
      </c>
      <c r="Y18" s="147">
        <v>1.8320085059681158E-4</v>
      </c>
      <c r="Z18" s="25">
        <v>1.8320085059681158E-4</v>
      </c>
      <c r="AA18" s="25">
        <v>1.8320085059681158E-4</v>
      </c>
      <c r="AB18" s="25">
        <v>1.8320085059681158E-4</v>
      </c>
      <c r="AC18" s="25">
        <v>1.8320085059681158E-4</v>
      </c>
      <c r="AD18" s="25">
        <v>1.8320085059681158E-4</v>
      </c>
      <c r="AE18" s="25">
        <v>1.8320085059681158E-4</v>
      </c>
      <c r="AF18" s="25">
        <v>1.8320085059681158E-4</v>
      </c>
      <c r="AG18" s="25">
        <v>1.8320085059681158E-4</v>
      </c>
      <c r="AH18" s="25">
        <v>1.8320085059681158E-4</v>
      </c>
      <c r="AI18" s="25">
        <v>1.8320085059681158E-4</v>
      </c>
      <c r="AJ18" s="25">
        <v>1.8320085059681158E-4</v>
      </c>
      <c r="AK18" s="25">
        <v>1.8320085059681158E-4</v>
      </c>
      <c r="AL18" s="25">
        <v>1.8320085059681158E-4</v>
      </c>
      <c r="AM18" s="25">
        <v>1.8320085059681158E-4</v>
      </c>
      <c r="AN18" s="25">
        <v>1.8320085059681158E-4</v>
      </c>
      <c r="AO18" s="147">
        <v>1.8320085059681158E-4</v>
      </c>
      <c r="AP18" s="25">
        <v>1.7098746055702415E-4</v>
      </c>
      <c r="AQ18" s="39">
        <f t="shared" si="2"/>
        <v>0</v>
      </c>
      <c r="AR18" s="39">
        <f t="shared" si="3"/>
        <v>0</v>
      </c>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row>
    <row r="19" spans="1:74" ht="38.25" customHeight="1">
      <c r="A19" s="22" t="str">
        <f>+PROYECTO!$B$9</f>
        <v>Fortalecimiento de la innovación en las MiPymes a partir de los resultados de investigación de las IES del Departamento del Valle del Cauca</v>
      </c>
      <c r="B19" s="12" t="str">
        <f>'ACTIVIDADES MGA'!E11</f>
        <v>Actividad 1.1.2</v>
      </c>
      <c r="C19" s="10" t="str">
        <f>'ACTIVIDADES MGA'!F11</f>
        <v>1.1.2 Realizar el diagnóstico de las IES de tercera misión</v>
      </c>
      <c r="D19" s="22">
        <v>1</v>
      </c>
      <c r="E19" s="10" t="s">
        <v>214</v>
      </c>
      <c r="F19" s="10" t="s">
        <v>215</v>
      </c>
      <c r="G19" s="10" t="s">
        <v>216</v>
      </c>
      <c r="H19" s="81">
        <v>45382</v>
      </c>
      <c r="I19" s="34">
        <f>'ACTIVIDADES MGA'!I11</f>
        <v>1</v>
      </c>
      <c r="J19" s="34">
        <f>'ACTIVIDADES MGA'!J11</f>
        <v>10</v>
      </c>
      <c r="K19" s="149">
        <f t="shared" si="1"/>
        <v>2.6248913509424984E-2</v>
      </c>
      <c r="L19" s="26">
        <v>8.1316015741067052E-5</v>
      </c>
      <c r="M19" s="26">
        <v>1.2197402361160058E-3</v>
      </c>
      <c r="N19" s="26">
        <v>1.5271251384380933E-2</v>
      </c>
      <c r="O19" s="26">
        <v>1.2197402361160058E-3</v>
      </c>
      <c r="P19" s="26">
        <v>1.2197402361160058E-3</v>
      </c>
      <c r="Q19" s="26">
        <v>1.2197402361160058E-3</v>
      </c>
      <c r="R19" s="26">
        <v>1.2197402361160058E-3</v>
      </c>
      <c r="S19" s="26">
        <v>1.2197402361160058E-3</v>
      </c>
      <c r="T19" s="26">
        <v>1.2197402361160058E-3</v>
      </c>
      <c r="U19" s="26">
        <v>2.3581644564909447E-3</v>
      </c>
      <c r="V19" s="26"/>
      <c r="W19" s="26"/>
      <c r="X19" s="26"/>
      <c r="Y19" s="26"/>
      <c r="Z19" s="26"/>
      <c r="AA19" s="26"/>
      <c r="AB19" s="26"/>
      <c r="AC19" s="26"/>
      <c r="AD19" s="25"/>
      <c r="AE19" s="25"/>
      <c r="AF19" s="25"/>
      <c r="AG19" s="25"/>
      <c r="AH19" s="25"/>
      <c r="AI19" s="25"/>
      <c r="AJ19" s="25"/>
      <c r="AK19" s="25"/>
      <c r="AL19" s="25"/>
      <c r="AM19" s="25"/>
      <c r="AN19" s="25"/>
      <c r="AO19" s="25"/>
      <c r="AP19" s="26"/>
      <c r="AQ19" s="39">
        <f t="shared" si="2"/>
        <v>0</v>
      </c>
      <c r="AR19" s="39">
        <f t="shared" si="3"/>
        <v>0</v>
      </c>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row>
    <row r="20" spans="1:74" ht="45.75" customHeight="1">
      <c r="A20" s="22" t="str">
        <f>+PROYECTO!$B$9</f>
        <v>Fortalecimiento de la innovación en las MiPymes a partir de los resultados de investigación de las IES del Departamento del Valle del Cauca</v>
      </c>
      <c r="B20" s="12" t="str">
        <f>'ACTIVIDADES MGA'!E12</f>
        <v>Actividad 1.1.3</v>
      </c>
      <c r="C20" s="10" t="str">
        <f>'ACTIVIDADES MGA'!F12</f>
        <v>1.1.3 Sensibilizar a la comunidad universitaria sobre la tercera misión de las IES</v>
      </c>
      <c r="D20" s="22">
        <v>1</v>
      </c>
      <c r="E20" s="10" t="s">
        <v>217</v>
      </c>
      <c r="F20" s="10" t="s">
        <v>218</v>
      </c>
      <c r="G20" s="10" t="s">
        <v>216</v>
      </c>
      <c r="H20" s="80" t="s">
        <v>219</v>
      </c>
      <c r="I20" s="34">
        <f>'ACTIVIDADES MGA'!I12</f>
        <v>4</v>
      </c>
      <c r="J20" s="34">
        <f>'ACTIVIDADES MGA'!J12</f>
        <v>10</v>
      </c>
      <c r="K20" s="39">
        <f t="shared" si="1"/>
        <v>2.6248913509424977E-2</v>
      </c>
      <c r="L20" s="26"/>
      <c r="M20" s="26"/>
      <c r="N20" s="26"/>
      <c r="O20" s="26">
        <v>1.579399719985922E-2</v>
      </c>
      <c r="P20" s="26">
        <v>1.7424860515942943E-3</v>
      </c>
      <c r="Q20" s="26">
        <v>1.7424860515942943E-3</v>
      </c>
      <c r="R20" s="26">
        <v>1.7424860515942943E-3</v>
      </c>
      <c r="S20" s="26">
        <v>1.7424860515942943E-3</v>
      </c>
      <c r="T20" s="26">
        <v>1.7424860515942943E-3</v>
      </c>
      <c r="U20" s="148">
        <v>1.7424860515942943E-3</v>
      </c>
      <c r="V20" s="26"/>
      <c r="W20" s="26"/>
      <c r="X20" s="26"/>
      <c r="Y20" s="26"/>
      <c r="Z20" s="26"/>
      <c r="AA20" s="26"/>
      <c r="AB20" s="26"/>
      <c r="AC20" s="26"/>
      <c r="AD20" s="25"/>
      <c r="AE20" s="25"/>
      <c r="AF20" s="25"/>
      <c r="AG20" s="25"/>
      <c r="AH20" s="25"/>
      <c r="AI20" s="25"/>
      <c r="AJ20" s="25"/>
      <c r="AK20" s="25"/>
      <c r="AL20" s="25"/>
      <c r="AM20" s="25"/>
      <c r="AN20" s="25"/>
      <c r="AO20" s="25"/>
      <c r="AP20" s="25"/>
      <c r="AQ20" s="39">
        <f t="shared" si="2"/>
        <v>0</v>
      </c>
      <c r="AR20" s="39">
        <f t="shared" si="3"/>
        <v>0</v>
      </c>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row>
    <row r="21" spans="1:74" ht="38.25" customHeight="1">
      <c r="A21" s="22" t="str">
        <f>+PROYECTO!$B$9</f>
        <v>Fortalecimiento de la innovación en las MiPymes a partir de los resultados de investigación de las IES del Departamento del Valle del Cauca</v>
      </c>
      <c r="B21" s="12" t="str">
        <f>'ACTIVIDADES MGA'!E13</f>
        <v xml:space="preserve">Actividad 1.1.4 </v>
      </c>
      <c r="C21" s="10" t="str">
        <f>'ACTIVIDADES MGA'!F13</f>
        <v>1.1.4 Construir propuestas normativas internas y de procesos organizacionales en las IES para brindar soporte a la interacción Universidad - Empresa. Acompañar el proceso de aprobación</v>
      </c>
      <c r="D21" s="22">
        <v>1</v>
      </c>
      <c r="E21" s="10" t="s">
        <v>220</v>
      </c>
      <c r="F21" s="10" t="s">
        <v>221</v>
      </c>
      <c r="G21" s="10" t="s">
        <v>216</v>
      </c>
      <c r="H21" s="80">
        <v>45473</v>
      </c>
      <c r="I21" s="34">
        <f>'ACTIVIDADES MGA'!I13</f>
        <v>2</v>
      </c>
      <c r="J21" s="34">
        <f>'ACTIVIDADES MGA'!J13</f>
        <v>13</v>
      </c>
      <c r="K21" s="39">
        <f t="shared" si="1"/>
        <v>4.0900635922429436E-2</v>
      </c>
      <c r="L21" s="26"/>
      <c r="M21" s="26">
        <v>4.8098817098059373E-4</v>
      </c>
      <c r="N21" s="26">
        <v>1.4532499319245521E-2</v>
      </c>
      <c r="O21" s="26">
        <v>4.8098817098059373E-4</v>
      </c>
      <c r="P21" s="26">
        <v>4.8098817098059373E-4</v>
      </c>
      <c r="Q21" s="26">
        <v>4.8098817098059373E-4</v>
      </c>
      <c r="R21" s="26">
        <v>4.8098817098059373E-4</v>
      </c>
      <c r="S21" s="26">
        <v>1.4532499319245521E-2</v>
      </c>
      <c r="T21" s="26">
        <v>4.8098817098059373E-4</v>
      </c>
      <c r="U21" s="26">
        <v>4.8098817098059373E-4</v>
      </c>
      <c r="V21" s="26">
        <v>4.8098817098059373E-4</v>
      </c>
      <c r="W21" s="26">
        <v>4.8098817098059373E-4</v>
      </c>
      <c r="X21" s="148">
        <v>7.5067437451130569E-3</v>
      </c>
      <c r="Y21" s="26"/>
      <c r="Z21" s="26"/>
      <c r="AA21" s="26"/>
      <c r="AB21" s="26"/>
      <c r="AC21" s="26"/>
      <c r="AD21" s="25"/>
      <c r="AE21" s="25"/>
      <c r="AF21" s="25"/>
      <c r="AG21" s="25"/>
      <c r="AH21" s="25"/>
      <c r="AI21" s="25"/>
      <c r="AJ21" s="25"/>
      <c r="AK21" s="25"/>
      <c r="AL21" s="25"/>
      <c r="AM21" s="25"/>
      <c r="AN21" s="25"/>
      <c r="AO21" s="25"/>
      <c r="AP21" s="25"/>
      <c r="AQ21" s="39">
        <f t="shared" si="2"/>
        <v>0</v>
      </c>
      <c r="AR21" s="39">
        <f t="shared" si="3"/>
        <v>0</v>
      </c>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row>
    <row r="22" spans="1:74" ht="38.25" customHeight="1">
      <c r="A22" s="22" t="str">
        <f>+PROYECTO!$B$9</f>
        <v>Fortalecimiento de la innovación en las MiPymes a partir de los resultados de investigación de las IES del Departamento del Valle del Cauca</v>
      </c>
      <c r="B22" s="12" t="str">
        <f>'ACTIVIDADES MGA'!E14</f>
        <v xml:space="preserve">Actividad 1.1.5 </v>
      </c>
      <c r="C22" s="10" t="str">
        <f>'ACTIVIDADES MGA'!F14</f>
        <v>1.1.5 Acompañar la implementación de la nueva normatividad y procesos organizacionales aprobados por las universidades en la relación con las Mipymes beneficiarias</v>
      </c>
      <c r="D22" s="22">
        <v>1</v>
      </c>
      <c r="E22" s="10" t="s">
        <v>222</v>
      </c>
      <c r="F22" s="10" t="s">
        <v>223</v>
      </c>
      <c r="G22" s="10" t="s">
        <v>216</v>
      </c>
      <c r="H22" s="80">
        <v>45565</v>
      </c>
      <c r="I22" s="34">
        <f>'ACTIVIDADES MGA'!I14</f>
        <v>11</v>
      </c>
      <c r="J22" s="34">
        <f>'ACTIVIDADES MGA'!J14</f>
        <v>16</v>
      </c>
      <c r="K22" s="39">
        <f t="shared" si="1"/>
        <v>3.3274669083557452E-2</v>
      </c>
      <c r="L22" s="26"/>
      <c r="M22" s="26"/>
      <c r="N22" s="26"/>
      <c r="O22" s="26"/>
      <c r="P22" s="26"/>
      <c r="Q22" s="26"/>
      <c r="R22" s="26"/>
      <c r="S22" s="26"/>
      <c r="T22" s="26"/>
      <c r="U22" s="26"/>
      <c r="V22" s="26">
        <v>1.6084411541791604E-2</v>
      </c>
      <c r="W22" s="26">
        <v>2.0329003935266768E-3</v>
      </c>
      <c r="X22" s="148">
        <v>9.0586559676591408E-3</v>
      </c>
      <c r="Y22" s="26">
        <v>2.0329003935266768E-3</v>
      </c>
      <c r="Z22" s="26">
        <v>2.0329003935266768E-3</v>
      </c>
      <c r="AA22" s="26">
        <v>2.0329003935266768E-3</v>
      </c>
      <c r="AB22" s="26"/>
      <c r="AC22" s="26"/>
      <c r="AD22" s="25"/>
      <c r="AE22" s="25"/>
      <c r="AF22" s="25"/>
      <c r="AG22" s="25"/>
      <c r="AH22" s="25"/>
      <c r="AI22" s="25"/>
      <c r="AJ22" s="25"/>
      <c r="AK22" s="25"/>
      <c r="AL22" s="25"/>
      <c r="AM22" s="25"/>
      <c r="AN22" s="25"/>
      <c r="AO22" s="25"/>
      <c r="AP22" s="25"/>
      <c r="AQ22" s="39">
        <f t="shared" si="2"/>
        <v>0</v>
      </c>
      <c r="AR22" s="39">
        <f t="shared" si="3"/>
        <v>0</v>
      </c>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row>
    <row r="23" spans="1:74" ht="38.25" customHeight="1">
      <c r="A23" s="22" t="str">
        <f>+PROYECTO!$B$9</f>
        <v>Fortalecimiento de la innovación en las MiPymes a partir de los resultados de investigación de las IES del Departamento del Valle del Cauca</v>
      </c>
      <c r="B23" s="12" t="str">
        <f>'ACTIVIDADES MGA'!E15</f>
        <v>Actividad 2.1.1</v>
      </c>
      <c r="C23" s="10" t="str">
        <f>'ACTIVIDADES MGA'!F15</f>
        <v>2.1.1 Identificar la demanda por servicios de innovación de las empresas beneficiarias</v>
      </c>
      <c r="D23" s="22">
        <v>1</v>
      </c>
      <c r="E23" s="10" t="s">
        <v>224</v>
      </c>
      <c r="F23" s="10" t="s">
        <v>225</v>
      </c>
      <c r="G23" s="10" t="s">
        <v>216</v>
      </c>
      <c r="H23" s="80" t="s">
        <v>226</v>
      </c>
      <c r="I23" s="34">
        <f>'ACTIVIDADES MGA'!I15</f>
        <v>1</v>
      </c>
      <c r="J23" s="34">
        <f>'ACTIVIDADES MGA'!J15</f>
        <v>7</v>
      </c>
      <c r="K23" s="39">
        <f t="shared" si="1"/>
        <v>2.6072181435919575E-2</v>
      </c>
      <c r="L23" s="26">
        <v>2.4830648986590072E-4</v>
      </c>
      <c r="M23" s="26">
        <v>3.7245973479885109E-3</v>
      </c>
      <c r="N23" s="26">
        <v>3.7245973479885109E-3</v>
      </c>
      <c r="O23" s="26">
        <v>3.7245973479885109E-3</v>
      </c>
      <c r="P23" s="26">
        <v>3.7245973479885109E-3</v>
      </c>
      <c r="Q23" s="148">
        <v>3.7245973479885109E-3</v>
      </c>
      <c r="R23" s="26">
        <v>7.2008882061111203E-3</v>
      </c>
      <c r="S23" s="26"/>
      <c r="T23" s="26"/>
      <c r="U23" s="26"/>
      <c r="V23" s="26"/>
      <c r="W23" s="26"/>
      <c r="X23" s="26"/>
      <c r="Y23" s="26"/>
      <c r="Z23" s="26"/>
      <c r="AA23" s="26"/>
      <c r="AB23" s="26"/>
      <c r="AC23" s="26"/>
      <c r="AD23" s="25"/>
      <c r="AE23" s="25"/>
      <c r="AF23" s="25"/>
      <c r="AG23" s="25"/>
      <c r="AH23" s="25"/>
      <c r="AI23" s="25"/>
      <c r="AJ23" s="25"/>
      <c r="AK23" s="25"/>
      <c r="AL23" s="25"/>
      <c r="AM23" s="25"/>
      <c r="AN23" s="25"/>
      <c r="AO23" s="25"/>
      <c r="AP23" s="26"/>
      <c r="AQ23" s="39">
        <f t="shared" si="2"/>
        <v>0</v>
      </c>
      <c r="AR23" s="39">
        <f t="shared" si="3"/>
        <v>0</v>
      </c>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row>
    <row r="24" spans="1:74" ht="38.25" customHeight="1">
      <c r="A24" s="22" t="str">
        <f>+PROYECTO!$B$9</f>
        <v>Fortalecimiento de la innovación en las MiPymes a partir de los resultados de investigación de las IES del Departamento del Valle del Cauca</v>
      </c>
      <c r="B24" s="12" t="str">
        <f>'ACTIVIDADES MGA'!E16</f>
        <v>Actividad 2.1 .2</v>
      </c>
      <c r="C24" s="10" t="str">
        <f>'ACTIVIDADES MGA'!F16</f>
        <v>2.1.2 Estructurar la oferta de servicios, conocimientos y tecnologías de las IES orientada a la innovación a las empresas</v>
      </c>
      <c r="D24" s="22">
        <v>1</v>
      </c>
      <c r="E24" s="10" t="s">
        <v>227</v>
      </c>
      <c r="F24" s="10" t="s">
        <v>228</v>
      </c>
      <c r="G24" s="10" t="s">
        <v>216</v>
      </c>
      <c r="H24" s="80">
        <v>45869</v>
      </c>
      <c r="I24" s="34">
        <f>'ACTIVIDADES MGA'!I16</f>
        <v>6</v>
      </c>
      <c r="J24" s="34">
        <f>'ACTIVIDADES MGA'!J16</f>
        <v>26</v>
      </c>
      <c r="K24" s="39">
        <f t="shared" si="1"/>
        <v>2.4604483151532554E-2</v>
      </c>
      <c r="L24" s="26"/>
      <c r="M24" s="26"/>
      <c r="N24" s="26"/>
      <c r="O24" s="26"/>
      <c r="P24" s="26"/>
      <c r="Q24" s="26">
        <v>1.1716420548348832E-3</v>
      </c>
      <c r="R24" s="26">
        <v>1.1716420548348832E-3</v>
      </c>
      <c r="S24" s="26">
        <v>1.1716420548348832E-3</v>
      </c>
      <c r="T24" s="26">
        <v>1.1716420548348832E-3</v>
      </c>
      <c r="U24" s="26">
        <v>1.1716420548348832E-3</v>
      </c>
      <c r="V24" s="26">
        <v>1.1716420548348832E-3</v>
      </c>
      <c r="W24" s="148">
        <v>1.1716420548348832E-3</v>
      </c>
      <c r="X24" s="148">
        <v>1.1716420548348832E-3</v>
      </c>
      <c r="Y24" s="26">
        <v>1.1716420548348832E-3</v>
      </c>
      <c r="Z24" s="26">
        <v>1.1716420548348832E-3</v>
      </c>
      <c r="AA24" s="26">
        <v>1.1716420548348832E-3</v>
      </c>
      <c r="AB24" s="26">
        <v>1.1716420548348832E-3</v>
      </c>
      <c r="AC24" s="26">
        <v>1.1716420548348832E-3</v>
      </c>
      <c r="AD24" s="26">
        <v>1.1716420548348832E-3</v>
      </c>
      <c r="AE24" s="26">
        <v>1.1716420548348832E-3</v>
      </c>
      <c r="AF24" s="26">
        <v>1.1716420548348832E-3</v>
      </c>
      <c r="AG24" s="26">
        <v>1.1716420548348832E-3</v>
      </c>
      <c r="AH24" s="26">
        <v>1.1716420548348832E-3</v>
      </c>
      <c r="AI24" s="26">
        <v>1.1716420548348832E-3</v>
      </c>
      <c r="AJ24" s="26">
        <v>1.1716420548348832E-3</v>
      </c>
      <c r="AK24" s="148">
        <v>1.1716420548348832E-3</v>
      </c>
      <c r="AL24" s="25"/>
      <c r="AM24" s="25"/>
      <c r="AN24" s="25"/>
      <c r="AO24" s="25"/>
      <c r="AP24" s="25"/>
      <c r="AQ24" s="39">
        <f t="shared" si="2"/>
        <v>0</v>
      </c>
      <c r="AR24" s="39">
        <f t="shared" si="3"/>
        <v>0</v>
      </c>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row>
    <row r="25" spans="1:74" ht="38.25" customHeight="1">
      <c r="A25" s="22" t="str">
        <f>+PROYECTO!$B$9</f>
        <v>Fortalecimiento de la innovación en las MiPymes a partir de los resultados de investigación de las IES del Departamento del Valle del Cauca</v>
      </c>
      <c r="B25" s="12" t="str">
        <f>'ACTIVIDADES MGA'!E17</f>
        <v xml:space="preserve">Actividad 2.1.3 </v>
      </c>
      <c r="C25" s="10" t="str">
        <f>'ACTIVIDADES MGA'!F17</f>
        <v>2.1.3 Divulgar y gestionar los resultados de investigación de las IES en las empresas</v>
      </c>
      <c r="D25" s="22">
        <v>1</v>
      </c>
      <c r="E25" s="10" t="s">
        <v>229</v>
      </c>
      <c r="F25" s="10" t="s">
        <v>230</v>
      </c>
      <c r="G25" s="10" t="s">
        <v>216</v>
      </c>
      <c r="H25" s="80">
        <v>45991</v>
      </c>
      <c r="I25" s="34">
        <f>'ACTIVIDADES MGA'!I17</f>
        <v>9</v>
      </c>
      <c r="J25" s="34">
        <f>'ACTIVIDADES MGA'!J17</f>
        <v>30</v>
      </c>
      <c r="K25" s="39">
        <f t="shared" si="1"/>
        <v>3.86969796596928E-2</v>
      </c>
      <c r="L25" s="26"/>
      <c r="M25" s="26"/>
      <c r="N25" s="26"/>
      <c r="O25" s="26"/>
      <c r="P25" s="26"/>
      <c r="Q25" s="26"/>
      <c r="R25" s="26"/>
      <c r="S25" s="26"/>
      <c r="T25" s="26">
        <v>1.7589536208951267E-3</v>
      </c>
      <c r="U25" s="26">
        <v>1.7589536208951267E-3</v>
      </c>
      <c r="V25" s="26">
        <v>1.7589536208951267E-3</v>
      </c>
      <c r="W25" s="26">
        <v>1.7589536208951267E-3</v>
      </c>
      <c r="X25" s="26">
        <v>1.7589536208951267E-3</v>
      </c>
      <c r="Y25" s="26">
        <v>1.7589536208951267E-3</v>
      </c>
      <c r="Z25" s="26">
        <v>1.7589536208951267E-3</v>
      </c>
      <c r="AA25" s="26">
        <v>1.7589536208951267E-3</v>
      </c>
      <c r="AB25" s="26">
        <v>1.7589536208951267E-3</v>
      </c>
      <c r="AC25" s="26">
        <v>1.7589536208951267E-3</v>
      </c>
      <c r="AD25" s="26">
        <v>1.7589536208951267E-3</v>
      </c>
      <c r="AE25" s="26">
        <v>1.7589536208951267E-3</v>
      </c>
      <c r="AF25" s="26">
        <v>1.7589536208951267E-3</v>
      </c>
      <c r="AG25" s="26">
        <v>1.7589536208951267E-3</v>
      </c>
      <c r="AH25" s="26">
        <v>1.7589536208951267E-3</v>
      </c>
      <c r="AI25" s="26">
        <v>1.7589536208951267E-3</v>
      </c>
      <c r="AJ25" s="26">
        <v>1.7589536208951267E-3</v>
      </c>
      <c r="AK25" s="26">
        <v>1.7589536208951267E-3</v>
      </c>
      <c r="AL25" s="26">
        <v>1.7589536208951267E-3</v>
      </c>
      <c r="AM25" s="26">
        <v>1.7589536208951267E-3</v>
      </c>
      <c r="AN25" s="26">
        <v>1.7589536208951267E-3</v>
      </c>
      <c r="AO25" s="148">
        <v>1.7589536208951267E-3</v>
      </c>
      <c r="AP25" s="25"/>
      <c r="AQ25" s="39">
        <f t="shared" si="2"/>
        <v>0</v>
      </c>
      <c r="AR25" s="39">
        <f t="shared" si="3"/>
        <v>0</v>
      </c>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row>
    <row r="26" spans="1:74" ht="38.25" customHeight="1">
      <c r="A26" s="22" t="str">
        <f>+PROYECTO!$B$9</f>
        <v>Fortalecimiento de la innovación en las MiPymes a partir de los resultados de investigación de las IES del Departamento del Valle del Cauca</v>
      </c>
      <c r="B26" s="12" t="str">
        <f>'ACTIVIDADES MGA'!E18</f>
        <v>Actividad 2.1 .4</v>
      </c>
      <c r="C26" s="10" t="str">
        <f>'ACTIVIDADES MGA'!F18</f>
        <v>2.1.4 Desarrollar la maduración de conocimientos y tecnologías de las IES. Convocatoria y desarrollo de los proyectos ganadores: al menos 10 proyectos</v>
      </c>
      <c r="D26" s="22">
        <v>1</v>
      </c>
      <c r="E26" s="10" t="s">
        <v>231</v>
      </c>
      <c r="F26" s="10" t="s">
        <v>232</v>
      </c>
      <c r="G26" s="10" t="s">
        <v>216</v>
      </c>
      <c r="H26" s="80">
        <v>45930</v>
      </c>
      <c r="I26" s="34">
        <f>'ACTIVIDADES MGA'!I18</f>
        <v>5</v>
      </c>
      <c r="J26" s="34">
        <f>'ACTIVIDADES MGA'!J18</f>
        <v>28</v>
      </c>
      <c r="K26" s="39">
        <f t="shared" si="1"/>
        <v>9.7571145066618598E-2</v>
      </c>
      <c r="L26" s="26"/>
      <c r="M26" s="26"/>
      <c r="N26" s="26"/>
      <c r="O26" s="26"/>
      <c r="P26" s="26">
        <v>1.1380662218872478E-3</v>
      </c>
      <c r="Q26" s="26">
        <v>1.1380662218872478E-3</v>
      </c>
      <c r="R26" s="26">
        <v>1.1380662218872478E-3</v>
      </c>
      <c r="S26" s="26">
        <v>1.1380662218872478E-3</v>
      </c>
      <c r="T26" s="26">
        <v>1.1380662218872478E-3</v>
      </c>
      <c r="U26" s="26">
        <v>1.1380662218872478E-3</v>
      </c>
      <c r="V26" s="26">
        <v>3.6266844092549565E-2</v>
      </c>
      <c r="W26" s="26">
        <v>1.1380662218872478E-3</v>
      </c>
      <c r="X26" s="148">
        <v>1.1380662218872478E-3</v>
      </c>
      <c r="Y26" s="148">
        <v>1.1380662218872478E-3</v>
      </c>
      <c r="Z26" s="26">
        <v>1.1380662218872478E-3</v>
      </c>
      <c r="AA26" s="26">
        <v>1.1380662218872478E-3</v>
      </c>
      <c r="AB26" s="26">
        <v>1.1380662218872478E-3</v>
      </c>
      <c r="AC26" s="26">
        <v>3.6266844092549565E-2</v>
      </c>
      <c r="AD26" s="26">
        <v>1.1380662218872478E-3</v>
      </c>
      <c r="AE26" s="26">
        <v>1.1380662218872478E-3</v>
      </c>
      <c r="AF26" s="26">
        <v>1.1380662218872478E-3</v>
      </c>
      <c r="AG26" s="26">
        <v>1.1380662218872478E-3</v>
      </c>
      <c r="AH26" s="26">
        <v>1.1380662218872478E-3</v>
      </c>
      <c r="AI26" s="26">
        <v>1.1380662218872478E-3</v>
      </c>
      <c r="AJ26" s="26">
        <v>1.1380662218872478E-3</v>
      </c>
      <c r="AK26" s="26">
        <v>1.1380662218872478E-3</v>
      </c>
      <c r="AL26" s="26">
        <v>1.1380662218872478E-3</v>
      </c>
      <c r="AM26" s="26">
        <v>1.1380662218872478E-3</v>
      </c>
      <c r="AN26" s="25"/>
      <c r="AO26" s="25"/>
      <c r="AP26" s="25"/>
      <c r="AQ26" s="39">
        <f t="shared" si="2"/>
        <v>0</v>
      </c>
      <c r="AR26" s="39">
        <f t="shared" si="3"/>
        <v>0</v>
      </c>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row>
    <row r="27" spans="1:74" ht="38.25" customHeight="1">
      <c r="A27" s="22" t="str">
        <f>+PROYECTO!$B$9</f>
        <v>Fortalecimiento de la innovación en las MiPymes a partir de los resultados de investigación de las IES del Departamento del Valle del Cauca</v>
      </c>
      <c r="B27" s="12" t="str">
        <f>'ACTIVIDADES MGA'!E19</f>
        <v>Actividad 2.1.5</v>
      </c>
      <c r="C27" s="10" t="str">
        <f>'ACTIVIDADES MGA'!F19</f>
        <v>2.1.5 Crear e implementar los espacios de interacción U-E-E buscando fortalecer la productividad empresarial</v>
      </c>
      <c r="D27" s="22">
        <v>1</v>
      </c>
      <c r="E27" s="10" t="s">
        <v>233</v>
      </c>
      <c r="F27" s="10" t="s">
        <v>234</v>
      </c>
      <c r="G27" s="10" t="s">
        <v>216</v>
      </c>
      <c r="H27" s="80">
        <v>45991</v>
      </c>
      <c r="I27" s="34">
        <f>'ACTIVIDADES MGA'!I19</f>
        <v>1</v>
      </c>
      <c r="J27" s="34">
        <f>'ACTIVIDADES MGA'!J19</f>
        <v>30</v>
      </c>
      <c r="K27" s="39">
        <f t="shared" si="1"/>
        <v>3.9812221928591122E-2</v>
      </c>
      <c r="L27" s="26">
        <v>2.5583914216239413E-5</v>
      </c>
      <c r="M27" s="26">
        <v>3.8375871324359119E-4</v>
      </c>
      <c r="N27" s="26">
        <v>5.5021853491039679E-4</v>
      </c>
      <c r="O27" s="26">
        <v>5.5021853491039679E-4</v>
      </c>
      <c r="P27" s="26">
        <v>3.6842563402104873E-3</v>
      </c>
      <c r="Q27" s="26">
        <v>1.0495979999108136E-3</v>
      </c>
      <c r="R27" s="26">
        <v>1.0495979999108136E-3</v>
      </c>
      <c r="S27" s="26">
        <v>1.0495979999108136E-3</v>
      </c>
      <c r="T27" s="26">
        <v>1.0495979999108136E-3</v>
      </c>
      <c r="U27" s="26">
        <v>1.0495979999108136E-3</v>
      </c>
      <c r="V27" s="26">
        <v>1.0495979999108136E-3</v>
      </c>
      <c r="W27" s="148">
        <v>1.0495979999108136E-3</v>
      </c>
      <c r="X27" s="26">
        <v>5.5214513107827703E-3</v>
      </c>
      <c r="Y27" s="148">
        <v>1.1303540769499805E-3</v>
      </c>
      <c r="Z27" s="26">
        <v>1.1303540769499805E-3</v>
      </c>
      <c r="AA27" s="26">
        <v>1.1303540769499805E-3</v>
      </c>
      <c r="AB27" s="26">
        <v>1.1303540769499805E-3</v>
      </c>
      <c r="AC27" s="26">
        <v>1.1303540769499805E-3</v>
      </c>
      <c r="AD27" s="26">
        <v>1.1303540769499805E-3</v>
      </c>
      <c r="AE27" s="26">
        <v>1.1303540769499805E-3</v>
      </c>
      <c r="AF27" s="26">
        <v>1.1303540769499805E-3</v>
      </c>
      <c r="AG27" s="26">
        <v>1.1303540769499805E-3</v>
      </c>
      <c r="AH27" s="26">
        <v>1.1303540769499805E-3</v>
      </c>
      <c r="AI27" s="26">
        <v>1.1303540769499805E-3</v>
      </c>
      <c r="AJ27" s="26">
        <v>2.9566122338549983E-3</v>
      </c>
      <c r="AK27" s="26">
        <v>1.2001733403218819E-3</v>
      </c>
      <c r="AL27" s="26">
        <v>1.2001733403218819E-3</v>
      </c>
      <c r="AM27" s="26">
        <v>1.2001733403218819E-3</v>
      </c>
      <c r="AN27" s="26">
        <v>1.2001733403218819E-3</v>
      </c>
      <c r="AO27" s="26">
        <v>1.2001733403218819E-3</v>
      </c>
      <c r="AP27" s="26">
        <v>3.5817479902735177E-4</v>
      </c>
      <c r="AQ27" s="39">
        <f t="shared" si="2"/>
        <v>0</v>
      </c>
      <c r="AR27" s="39">
        <f t="shared" si="3"/>
        <v>0</v>
      </c>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row>
    <row r="28" spans="1:74" ht="43.5" customHeight="1">
      <c r="A28" s="10" t="str">
        <f>+PROYECTO!$B$9</f>
        <v>Fortalecimiento de la innovación en las MiPymes a partir de los resultados de investigación de las IES del Departamento del Valle del Cauca</v>
      </c>
      <c r="B28" s="12" t="str">
        <f>'ACTIVIDADES MGA'!E20</f>
        <v>Actividad 3.1.1</v>
      </c>
      <c r="C28" s="10" t="str">
        <f>'ACTIVIDADES MGA'!F20</f>
        <v>3.1.1  Realizar interacción inicial con las MiPymes beneficiarias de la convocatoria</v>
      </c>
      <c r="D28" s="22">
        <v>1</v>
      </c>
      <c r="E28" s="10" t="s">
        <v>235</v>
      </c>
      <c r="F28" s="10" t="s">
        <v>236</v>
      </c>
      <c r="G28" s="10" t="s">
        <v>216</v>
      </c>
      <c r="H28" s="82">
        <v>45412</v>
      </c>
      <c r="I28" s="34">
        <f>'ACTIVIDADES MGA'!I20</f>
        <v>1</v>
      </c>
      <c r="J28" s="34">
        <f>'ACTIVIDADES MGA'!J20</f>
        <v>11</v>
      </c>
      <c r="K28" s="141">
        <f t="shared" si="1"/>
        <v>2.446248898969608E-2</v>
      </c>
      <c r="L28" s="26">
        <v>1.4825750902846115E-4</v>
      </c>
      <c r="M28" s="26">
        <v>2.2238626354269169E-3</v>
      </c>
      <c r="N28" s="26">
        <v>2.2238626354269169E-3</v>
      </c>
      <c r="O28" s="26">
        <v>2.2238626354269169E-3</v>
      </c>
      <c r="P28" s="26">
        <v>2.2238626354269169E-3</v>
      </c>
      <c r="Q28" s="26">
        <v>2.2238626354269169E-3</v>
      </c>
      <c r="R28" s="26">
        <v>2.2238626354269169E-3</v>
      </c>
      <c r="S28" s="26">
        <v>2.2238626354269169E-3</v>
      </c>
      <c r="T28" s="26">
        <v>2.2238626354269169E-3</v>
      </c>
      <c r="U28" s="148">
        <v>2.2238626354269169E-3</v>
      </c>
      <c r="V28" s="26">
        <v>4.2994677618253731E-3</v>
      </c>
      <c r="W28" s="26"/>
      <c r="X28" s="32"/>
      <c r="Y28" s="32"/>
      <c r="Z28" s="32"/>
      <c r="AA28" s="32"/>
      <c r="AB28" s="32"/>
      <c r="AC28" s="32"/>
      <c r="AD28" s="27"/>
      <c r="AE28" s="27"/>
      <c r="AF28" s="27"/>
      <c r="AG28" s="27"/>
      <c r="AH28" s="27"/>
      <c r="AI28" s="27"/>
      <c r="AJ28" s="27"/>
      <c r="AK28" s="27"/>
      <c r="AL28" s="27"/>
      <c r="AM28" s="27"/>
      <c r="AN28" s="27"/>
      <c r="AO28" s="27"/>
      <c r="AP28" s="26"/>
      <c r="AQ28" s="39">
        <f t="shared" si="2"/>
        <v>0</v>
      </c>
      <c r="AR28" s="39">
        <f t="shared" si="3"/>
        <v>0</v>
      </c>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ht="44.25" customHeight="1">
      <c r="A29" s="130" t="s">
        <v>31</v>
      </c>
      <c r="B29" s="136" t="s">
        <v>172</v>
      </c>
      <c r="C29" s="130" t="s">
        <v>237</v>
      </c>
      <c r="D29" s="134">
        <v>1</v>
      </c>
      <c r="E29" s="130" t="s">
        <v>235</v>
      </c>
      <c r="F29" s="130" t="s">
        <v>236</v>
      </c>
      <c r="G29" s="130" t="s">
        <v>216</v>
      </c>
      <c r="H29" s="139">
        <v>45412</v>
      </c>
      <c r="I29" s="132">
        <v>1</v>
      </c>
      <c r="J29" s="132">
        <v>11</v>
      </c>
      <c r="K29" s="141">
        <f t="shared" si="1"/>
        <v>8.5621174166908929E-3</v>
      </c>
      <c r="L29" s="27">
        <v>5.1891620707217533E-5</v>
      </c>
      <c r="M29" s="27">
        <v>7.7837431060826293E-4</v>
      </c>
      <c r="N29" s="27">
        <v>7.7837431060826293E-4</v>
      </c>
      <c r="O29" s="27">
        <v>7.7837431060826293E-4</v>
      </c>
      <c r="P29" s="27">
        <v>7.7837431060826293E-4</v>
      </c>
      <c r="Q29" s="27">
        <v>7.7837431060826293E-4</v>
      </c>
      <c r="R29" s="27">
        <v>7.7837431060826293E-4</v>
      </c>
      <c r="S29" s="27">
        <v>7.7837431060826293E-4</v>
      </c>
      <c r="T29" s="27">
        <v>7.7837431060826293E-4</v>
      </c>
      <c r="U29" s="27">
        <v>7.7837431060826293E-4</v>
      </c>
      <c r="V29" s="150">
        <v>1.5048570005093084E-3</v>
      </c>
      <c r="W29" s="27"/>
      <c r="X29" s="32"/>
      <c r="Y29" s="32"/>
      <c r="Z29" s="32"/>
      <c r="AA29" s="32"/>
      <c r="AB29" s="32"/>
      <c r="AC29" s="32"/>
      <c r="AD29" s="27"/>
      <c r="AE29" s="27"/>
      <c r="AF29" s="27"/>
      <c r="AG29" s="27"/>
      <c r="AH29" s="27"/>
      <c r="AI29" s="27"/>
      <c r="AJ29" s="27"/>
      <c r="AK29" s="27"/>
      <c r="AL29" s="27"/>
      <c r="AM29" s="27"/>
      <c r="AN29" s="27"/>
      <c r="AO29" s="27"/>
      <c r="AP29" s="27"/>
      <c r="AQ29" s="39"/>
      <c r="AR29" s="39"/>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ht="38.25" customHeight="1">
      <c r="A30" s="22" t="str">
        <f>+PROYECTO!$B$9</f>
        <v>Fortalecimiento de la innovación en las MiPymes a partir de los resultados de investigación de las IES del Departamento del Valle del Cauca</v>
      </c>
      <c r="B30" s="12" t="str">
        <f>'ACTIVIDADES MGA'!E21</f>
        <v>Actividad 3.1.2</v>
      </c>
      <c r="C30" s="10" t="str">
        <f>'ACTIVIDADES MGA'!F21</f>
        <v>3.1.2 Realizar los procesos de Intervención en Mipymes de los sectores priorizados del departamento</v>
      </c>
      <c r="D30" s="22">
        <v>1</v>
      </c>
      <c r="E30" s="10" t="s">
        <v>238</v>
      </c>
      <c r="F30" s="10" t="s">
        <v>239</v>
      </c>
      <c r="G30" s="10" t="s">
        <v>216</v>
      </c>
      <c r="H30" s="83">
        <v>45930</v>
      </c>
      <c r="I30" s="34">
        <f>'ACTIVIDADES MGA'!I21</f>
        <v>2</v>
      </c>
      <c r="J30" s="34">
        <f>'ACTIVIDADES MGA'!J21</f>
        <v>28</v>
      </c>
      <c r="K30" s="39">
        <f t="shared" si="1"/>
        <v>0.26839784023346513</v>
      </c>
      <c r="L30" s="32"/>
      <c r="M30" s="32">
        <v>6.6803498815937591E-4</v>
      </c>
      <c r="N30" s="32">
        <v>9.3186742026040523E-3</v>
      </c>
      <c r="O30" s="32">
        <v>6.6803498815937591E-4</v>
      </c>
      <c r="P30" s="32">
        <v>6.6803498815937591E-4</v>
      </c>
      <c r="Q30" s="32">
        <v>6.6803498815937591E-4</v>
      </c>
      <c r="R30" s="151">
        <v>6.6803498815937591E-4</v>
      </c>
      <c r="S30" s="32">
        <v>9.3186742026040523E-3</v>
      </c>
      <c r="T30" s="32">
        <v>6.6803498815937591E-4</v>
      </c>
      <c r="U30" s="32">
        <v>4.5089771325820011E-2</v>
      </c>
      <c r="V30" s="32">
        <v>1.6475985029957417E-2</v>
      </c>
      <c r="W30" s="32">
        <v>1.6475985029957417E-2</v>
      </c>
      <c r="X30" s="32">
        <v>2.2878903156989695E-2</v>
      </c>
      <c r="Y30" s="151">
        <v>6.6803498815937591E-4</v>
      </c>
      <c r="Z30" s="32">
        <v>1.1206668349358071E-2</v>
      </c>
      <c r="AA30" s="32">
        <v>2.2878903156989695E-2</v>
      </c>
      <c r="AB30" s="32">
        <v>1.9637575038317027E-2</v>
      </c>
      <c r="AC30" s="32">
        <v>6.6803498815937591E-4</v>
      </c>
      <c r="AD30" s="32">
        <v>6.6803498815937591E-4</v>
      </c>
      <c r="AE30" s="32">
        <v>1.1206668349358071E-2</v>
      </c>
      <c r="AF30" s="32">
        <v>6.6803498815937591E-4</v>
      </c>
      <c r="AG30" s="32">
        <v>6.6803498815937591E-4</v>
      </c>
      <c r="AH30" s="32">
        <v>6.6803498815937591E-4</v>
      </c>
      <c r="AI30" s="32">
        <v>6.6803498815937591E-4</v>
      </c>
      <c r="AJ30" s="32">
        <v>6.7952155900360245E-2</v>
      </c>
      <c r="AK30" s="32">
        <v>6.6803498815937591E-4</v>
      </c>
      <c r="AL30" s="32">
        <v>5.9373516687587242E-3</v>
      </c>
      <c r="AM30" s="32">
        <v>6.6803498815937591E-4</v>
      </c>
      <c r="AN30" s="27"/>
      <c r="AO30" s="27"/>
      <c r="AP30" s="27"/>
      <c r="AQ30" s="39">
        <f t="shared" si="2"/>
        <v>0</v>
      </c>
      <c r="AR30" s="39">
        <f t="shared" si="3"/>
        <v>0</v>
      </c>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row>
    <row r="31" spans="1:74" ht="38.25" customHeight="1">
      <c r="A31" s="22" t="str">
        <f>+PROYECTO!$B$9</f>
        <v>Fortalecimiento de la innovación en las MiPymes a partir de los resultados de investigación de las IES del Departamento del Valle del Cauca</v>
      </c>
      <c r="B31" s="12" t="str">
        <f>'ACTIVIDADES MGA'!E22</f>
        <v>Actividad 3.1.3</v>
      </c>
      <c r="C31" s="10" t="str">
        <f>'ACTIVIDADES MGA'!F22</f>
        <v>3.1.3 Realizar las actividades de administración del proyecto</v>
      </c>
      <c r="D31" s="22">
        <v>1</v>
      </c>
      <c r="E31" s="10" t="s">
        <v>240</v>
      </c>
      <c r="F31" s="10" t="s">
        <v>241</v>
      </c>
      <c r="G31" s="10" t="s">
        <v>216</v>
      </c>
      <c r="H31" s="83">
        <v>45991</v>
      </c>
      <c r="I31" s="34">
        <f>'ACTIVIDADES MGA'!I22</f>
        <v>1</v>
      </c>
      <c r="J31" s="34">
        <f>'ACTIVIDADES MGA'!J22</f>
        <v>30</v>
      </c>
      <c r="K31" s="39">
        <f t="shared" si="1"/>
        <v>0.15389609729650186</v>
      </c>
      <c r="L31" s="32">
        <v>3.4372227180242657E-4</v>
      </c>
      <c r="M31" s="32">
        <v>4.7388299802189017E-3</v>
      </c>
      <c r="N31" s="32">
        <v>4.7388299802189017E-3</v>
      </c>
      <c r="O31" s="32">
        <v>4.7388299802189017E-3</v>
      </c>
      <c r="P31" s="32">
        <v>4.7388299802189017E-3</v>
      </c>
      <c r="Q31" s="32">
        <v>4.7388299802189017E-3</v>
      </c>
      <c r="R31" s="32">
        <v>4.7388299802189017E-3</v>
      </c>
      <c r="S31" s="32">
        <v>4.7388299802189017E-3</v>
      </c>
      <c r="T31" s="32">
        <v>4.7388299802189017E-3</v>
      </c>
      <c r="U31" s="32">
        <v>4.7388299802189017E-3</v>
      </c>
      <c r="V31" s="32">
        <v>4.7388299802189017E-3</v>
      </c>
      <c r="W31" s="151">
        <v>4.7388299802189017E-3</v>
      </c>
      <c r="X31" s="32">
        <v>5.4641536900369731E-3</v>
      </c>
      <c r="Y31" s="32">
        <v>5.0471495932194761E-3</v>
      </c>
      <c r="Z31" s="32">
        <v>5.0471495932194761E-3</v>
      </c>
      <c r="AA31" s="32">
        <v>5.0471495932194761E-3</v>
      </c>
      <c r="AB31" s="32">
        <v>5.0471495932194761E-3</v>
      </c>
      <c r="AC31" s="32">
        <v>5.0471495932194761E-3</v>
      </c>
      <c r="AD31" s="32">
        <v>5.0471495932194761E-3</v>
      </c>
      <c r="AE31" s="32">
        <v>5.0471495932194761E-3</v>
      </c>
      <c r="AF31" s="32">
        <v>5.0471495932194761E-3</v>
      </c>
      <c r="AG31" s="32">
        <v>5.0471495932194761E-3</v>
      </c>
      <c r="AH31" s="151">
        <v>5.0471495932194761E-3</v>
      </c>
      <c r="AI31" s="32">
        <v>4.6042396971941119E-3</v>
      </c>
      <c r="AJ31" s="32">
        <v>6.1121404512018635E-3</v>
      </c>
      <c r="AK31" s="32">
        <v>5.9036387540808933E-3</v>
      </c>
      <c r="AL31" s="32">
        <v>5.9036387540808933E-3</v>
      </c>
      <c r="AM31" s="32">
        <v>5.9036387540808933E-3</v>
      </c>
      <c r="AN31" s="32">
        <v>5.9036387540808933E-3</v>
      </c>
      <c r="AO31" s="32">
        <v>5.9036387540808933E-3</v>
      </c>
      <c r="AP31" s="151">
        <v>5.2550217012593357E-3</v>
      </c>
      <c r="AQ31" s="39">
        <f t="shared" si="2"/>
        <v>0</v>
      </c>
      <c r="AR31" s="39">
        <f t="shared" si="3"/>
        <v>0</v>
      </c>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row>
    <row r="32" spans="1:74" ht="38.25" customHeight="1">
      <c r="A32" s="134" t="str">
        <f>+PROYECTO!$B$9</f>
        <v>Fortalecimiento de la innovación en las MiPymes a partir de los resultados de investigación de las IES del Departamento del Valle del Cauca</v>
      </c>
      <c r="B32" s="136" t="str">
        <f>'ACTIVIDADES MGA'!E22</f>
        <v>Actividad 3.1.3</v>
      </c>
      <c r="C32" s="130" t="s">
        <v>242</v>
      </c>
      <c r="D32" s="134">
        <v>1</v>
      </c>
      <c r="E32" s="130" t="s">
        <v>240</v>
      </c>
      <c r="F32" s="130" t="s">
        <v>241</v>
      </c>
      <c r="G32" s="130" t="s">
        <v>216</v>
      </c>
      <c r="H32" s="135">
        <v>45991</v>
      </c>
      <c r="I32" s="132">
        <f>'ACTIVIDADES MGA'!I22</f>
        <v>1</v>
      </c>
      <c r="J32" s="132">
        <f>'ACTIVIDADES MGA'!J22</f>
        <v>30</v>
      </c>
      <c r="K32" s="39">
        <f t="shared" si="1"/>
        <v>1.1603254885541455E-2</v>
      </c>
      <c r="L32" s="32">
        <v>2.4394984632404382E-5</v>
      </c>
      <c r="M32" s="32">
        <v>3.659247694860658E-4</v>
      </c>
      <c r="N32" s="32">
        <v>3.659247694860658E-4</v>
      </c>
      <c r="O32" s="32">
        <v>3.659247694860658E-4</v>
      </c>
      <c r="P32" s="32">
        <v>3.659247694860658E-4</v>
      </c>
      <c r="Q32" s="32">
        <v>3.659247694860658E-4</v>
      </c>
      <c r="R32" s="32">
        <v>3.659247694860658E-4</v>
      </c>
      <c r="S32" s="32">
        <v>3.659247694860658E-4</v>
      </c>
      <c r="T32" s="32">
        <v>3.659247694860658E-4</v>
      </c>
      <c r="U32" s="32">
        <v>3.659247694860658E-4</v>
      </c>
      <c r="V32" s="32">
        <v>3.659247694860658E-4</v>
      </c>
      <c r="W32" s="151">
        <v>3.659247694860658E-4</v>
      </c>
      <c r="X32" s="151">
        <v>3.9153950335009039E-4</v>
      </c>
      <c r="Y32" s="32">
        <v>3.9153950335009039E-4</v>
      </c>
      <c r="Z32" s="32">
        <v>3.9153950335009039E-4</v>
      </c>
      <c r="AA32" s="32">
        <v>3.9153950335009039E-4</v>
      </c>
      <c r="AB32" s="32">
        <v>3.9153950335009039E-4</v>
      </c>
      <c r="AC32" s="32">
        <v>3.9153950335009039E-4</v>
      </c>
      <c r="AD32" s="32">
        <v>3.9153950335009039E-4</v>
      </c>
      <c r="AE32" s="32">
        <v>3.9153950335009039E-4</v>
      </c>
      <c r="AF32" s="32">
        <v>3.9153950335009039E-4</v>
      </c>
      <c r="AG32" s="32">
        <v>3.9153950335009039E-4</v>
      </c>
      <c r="AH32" s="32">
        <v>3.9153950335009039E-4</v>
      </c>
      <c r="AI32" s="32">
        <v>3.9153950335009039E-4</v>
      </c>
      <c r="AJ32" s="32">
        <v>4.1894726858459675E-4</v>
      </c>
      <c r="AK32" s="32">
        <v>4.1894726858459675E-4</v>
      </c>
      <c r="AL32" s="32">
        <v>4.1894726858459675E-4</v>
      </c>
      <c r="AM32" s="32">
        <v>4.1894726858459675E-4</v>
      </c>
      <c r="AN32" s="32">
        <v>4.1894726858459675E-4</v>
      </c>
      <c r="AO32" s="32">
        <v>4.1894726858459675E-4</v>
      </c>
      <c r="AP32" s="32">
        <v>3.4152978485366137E-4</v>
      </c>
      <c r="AQ32" s="39"/>
      <c r="AR32" s="39"/>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row>
    <row r="33" spans="1:74" ht="38.25" customHeight="1">
      <c r="A33" s="134" t="str">
        <f>+PROYECTO!$B$9</f>
        <v>Fortalecimiento de la innovación en las MiPymes a partir de los resultados de investigación de las IES del Departamento del Valle del Cauca</v>
      </c>
      <c r="B33" s="136" t="str">
        <f>'ACTIVIDADES MGA'!E22</f>
        <v>Actividad 3.1.3</v>
      </c>
      <c r="C33" s="130" t="s">
        <v>243</v>
      </c>
      <c r="D33" s="134">
        <v>1</v>
      </c>
      <c r="E33" s="130" t="s">
        <v>240</v>
      </c>
      <c r="F33" s="130" t="s">
        <v>241</v>
      </c>
      <c r="G33" s="130" t="s">
        <v>216</v>
      </c>
      <c r="H33" s="135">
        <v>45991</v>
      </c>
      <c r="I33" s="132">
        <f>'ACTIVIDADES MGA'!I22</f>
        <v>1</v>
      </c>
      <c r="J33" s="145">
        <v>24</v>
      </c>
      <c r="K33" s="39">
        <f t="shared" si="1"/>
        <v>1.1389111612080787E-2</v>
      </c>
      <c r="L33" s="32">
        <v>3.1636421144668862E-5</v>
      </c>
      <c r="M33" s="32">
        <v>4.7454631717003292E-4</v>
      </c>
      <c r="N33" s="32">
        <v>4.7454631717003292E-4</v>
      </c>
      <c r="O33" s="32">
        <v>4.7454631717003292E-4</v>
      </c>
      <c r="P33" s="32">
        <v>4.7454631717003292E-4</v>
      </c>
      <c r="Q33" s="32">
        <v>4.7454631717003292E-4</v>
      </c>
      <c r="R33" s="32">
        <v>4.7454631717003292E-4</v>
      </c>
      <c r="S33" s="32">
        <v>4.7454631717003292E-4</v>
      </c>
      <c r="T33" s="32">
        <v>4.7454631717003292E-4</v>
      </c>
      <c r="U33" s="32">
        <v>4.7454631717003292E-4</v>
      </c>
      <c r="V33" s="32">
        <v>4.7454631717003292E-4</v>
      </c>
      <c r="W33" s="32">
        <v>4.7454631717003292E-4</v>
      </c>
      <c r="X33" s="32">
        <v>4.7454631717003292E-4</v>
      </c>
      <c r="Y33" s="32">
        <v>4.7454631717003292E-4</v>
      </c>
      <c r="Z33" s="32">
        <v>4.7454631717003292E-4</v>
      </c>
      <c r="AA33" s="32">
        <v>4.7454631717003292E-4</v>
      </c>
      <c r="AB33" s="32">
        <v>4.7454631717003292E-4</v>
      </c>
      <c r="AC33" s="32">
        <v>4.7454631717003292E-4</v>
      </c>
      <c r="AD33" s="32">
        <v>4.7454631717003292E-4</v>
      </c>
      <c r="AE33" s="32">
        <v>4.7454631717003292E-4</v>
      </c>
      <c r="AF33" s="32">
        <v>4.7454631717003292E-4</v>
      </c>
      <c r="AG33" s="32">
        <v>4.7454631717003292E-4</v>
      </c>
      <c r="AH33" s="32">
        <v>4.7454631717003292E-4</v>
      </c>
      <c r="AI33" s="151">
        <v>9.1745621319539708E-4</v>
      </c>
      <c r="AJ33" s="32"/>
      <c r="AK33" s="32"/>
      <c r="AL33" s="32"/>
      <c r="AM33" s="32"/>
      <c r="AN33" s="32"/>
      <c r="AO33" s="32"/>
      <c r="AP33" s="32"/>
      <c r="AQ33" s="39"/>
      <c r="AR33" s="39"/>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row>
    <row r="34" spans="1:74" ht="38.25" customHeight="1">
      <c r="A34" s="134" t="str">
        <f>+PROYECTO!$B$9</f>
        <v>Fortalecimiento de la innovación en las MiPymes a partir de los resultados de investigación de las IES del Departamento del Valle del Cauca</v>
      </c>
      <c r="B34" s="136" t="str">
        <f>'ACTIVIDADES MGA'!E22</f>
        <v>Actividad 3.1.3</v>
      </c>
      <c r="C34" s="130" t="s">
        <v>244</v>
      </c>
      <c r="D34" s="134">
        <v>1</v>
      </c>
      <c r="E34" s="130" t="s">
        <v>240</v>
      </c>
      <c r="F34" s="130" t="s">
        <v>241</v>
      </c>
      <c r="G34" s="130" t="s">
        <v>216</v>
      </c>
      <c r="H34" s="135">
        <v>45991</v>
      </c>
      <c r="I34" s="132">
        <f>'ACTIVIDADES MGA'!I22</f>
        <v>1</v>
      </c>
      <c r="J34" s="132">
        <f>'ACTIVIDADES MGA'!J22</f>
        <v>30</v>
      </c>
      <c r="K34" s="39">
        <f t="shared" si="1"/>
        <v>1.2916149047485124E-3</v>
      </c>
      <c r="L34" s="32">
        <v>2.3918794532379852E-6</v>
      </c>
      <c r="M34" s="32">
        <v>3.5878191798569774E-5</v>
      </c>
      <c r="N34" s="32">
        <v>3.5878191798569774E-5</v>
      </c>
      <c r="O34" s="32">
        <v>3.5878191798569774E-5</v>
      </c>
      <c r="P34" s="32">
        <v>3.5878191798569774E-5</v>
      </c>
      <c r="Q34" s="32">
        <v>3.5878191798569774E-5</v>
      </c>
      <c r="R34" s="32">
        <v>3.5878191798569774E-5</v>
      </c>
      <c r="S34" s="32">
        <v>3.5878191798569774E-5</v>
      </c>
      <c r="T34" s="32">
        <v>3.5878191798569774E-5</v>
      </c>
      <c r="U34" s="32">
        <v>3.5878191798569774E-5</v>
      </c>
      <c r="V34" s="151">
        <v>3.5878191798569774E-5</v>
      </c>
      <c r="W34" s="151">
        <v>3.5878191798569774E-5</v>
      </c>
      <c r="X34" s="151">
        <v>3.5878191798569774E-5</v>
      </c>
      <c r="Y34" s="151">
        <v>3.5878191798569774E-5</v>
      </c>
      <c r="Z34" s="151">
        <v>3.5878191798569774E-5</v>
      </c>
      <c r="AA34" s="151">
        <v>3.5878191798569774E-5</v>
      </c>
      <c r="AB34" s="151">
        <v>3.5878191798569774E-5</v>
      </c>
      <c r="AC34" s="151">
        <v>3.5878191798569774E-5</v>
      </c>
      <c r="AD34" s="32">
        <v>3.5878191798569774E-5</v>
      </c>
      <c r="AE34" s="32">
        <v>3.5878191798569774E-5</v>
      </c>
      <c r="AF34" s="32">
        <v>3.5878191798569774E-5</v>
      </c>
      <c r="AG34" s="32">
        <v>3.5878191798569774E-5</v>
      </c>
      <c r="AH34" s="32">
        <v>3.5878191798569774E-5</v>
      </c>
      <c r="AI34" s="32">
        <v>3.5878191798569774E-5</v>
      </c>
      <c r="AJ34" s="32">
        <v>7.1756383597139549E-5</v>
      </c>
      <c r="AK34" s="32">
        <v>7.1756383597139549E-5</v>
      </c>
      <c r="AL34" s="32">
        <v>7.1756383597139549E-5</v>
      </c>
      <c r="AM34" s="32">
        <v>7.1756383597139549E-5</v>
      </c>
      <c r="AN34" s="32">
        <v>7.1756383597139549E-5</v>
      </c>
      <c r="AO34" s="32">
        <v>7.1756383597139549E-5</v>
      </c>
      <c r="AP34" s="32">
        <v>3.3486312345331793E-5</v>
      </c>
      <c r="AQ34" s="39"/>
      <c r="AR34" s="39"/>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row>
    <row r="35" spans="1:74" ht="38.25" customHeight="1">
      <c r="A35" s="22" t="str">
        <f>+PROYECTO!$B$9</f>
        <v>Fortalecimiento de la innovación en las MiPymes a partir de los resultados de investigación de las IES del Departamento del Valle del Cauca</v>
      </c>
      <c r="B35" s="12" t="str">
        <f>'ACTIVIDADES MGA'!E23</f>
        <v>Actividad 3.1.4</v>
      </c>
      <c r="C35" s="10" t="str">
        <f>'ACTIVIDADES MGA'!F23</f>
        <v>3.1.4 Realizar las actividades de supervisión del proyecto</v>
      </c>
      <c r="D35" s="22">
        <v>1</v>
      </c>
      <c r="E35" s="10" t="s">
        <v>245</v>
      </c>
      <c r="F35" s="10"/>
      <c r="G35" s="10"/>
      <c r="H35" s="83">
        <v>45991</v>
      </c>
      <c r="I35" s="34">
        <f>'ACTIVIDADES MGA'!I23</f>
        <v>1</v>
      </c>
      <c r="J35" s="34">
        <f>'ACTIVIDADES MGA'!J23</f>
        <v>30</v>
      </c>
      <c r="K35" s="39">
        <f t="shared" si="1"/>
        <v>4.6800841249857963E-2</v>
      </c>
      <c r="L35" s="26">
        <v>9.9531537300209891E-5</v>
      </c>
      <c r="M35" s="26">
        <v>1.4929730595031484E-3</v>
      </c>
      <c r="N35" s="26">
        <v>1.4929730595031484E-3</v>
      </c>
      <c r="O35" s="26">
        <v>1.4929730595031484E-3</v>
      </c>
      <c r="P35" s="26">
        <v>1.4929730595031484E-3</v>
      </c>
      <c r="Q35" s="26">
        <v>1.4929730595031484E-3</v>
      </c>
      <c r="R35" s="26">
        <v>1.4929730595031484E-3</v>
      </c>
      <c r="S35" s="26">
        <v>1.4929730595031484E-3</v>
      </c>
      <c r="T35" s="26">
        <v>1.4929730595031484E-3</v>
      </c>
      <c r="U35" s="26">
        <v>1.4929730595031484E-3</v>
      </c>
      <c r="V35" s="26">
        <v>1.4929730595031484E-3</v>
      </c>
      <c r="W35" s="26">
        <v>1.4929730595031484E-3</v>
      </c>
      <c r="X35" s="26">
        <v>1.5777797840792391E-3</v>
      </c>
      <c r="Y35" s="26">
        <v>1.5777797840792391E-3</v>
      </c>
      <c r="Z35" s="26">
        <v>1.5777797840792391E-3</v>
      </c>
      <c r="AA35" s="26">
        <v>1.5777797840792391E-3</v>
      </c>
      <c r="AB35" s="26">
        <v>1.5777797840792391E-3</v>
      </c>
      <c r="AC35" s="26">
        <v>1.5777797840792391E-3</v>
      </c>
      <c r="AD35" s="26">
        <v>1.5777797840792391E-3</v>
      </c>
      <c r="AE35" s="26">
        <v>1.5777797840792391E-3</v>
      </c>
      <c r="AF35" s="26">
        <v>1.5777797840792391E-3</v>
      </c>
      <c r="AG35" s="26">
        <v>1.5777797840792391E-3</v>
      </c>
      <c r="AH35" s="26">
        <v>1.5777797840792391E-3</v>
      </c>
      <c r="AI35" s="26">
        <v>1.5777797840792391E-3</v>
      </c>
      <c r="AJ35" s="26">
        <v>1.65863452114488E-3</v>
      </c>
      <c r="AK35" s="26">
        <v>1.65863452114488E-3</v>
      </c>
      <c r="AL35" s="26">
        <v>1.65863452114488E-3</v>
      </c>
      <c r="AM35" s="26">
        <v>1.65863452114488E-3</v>
      </c>
      <c r="AN35" s="26">
        <v>1.65863452114488E-3</v>
      </c>
      <c r="AO35" s="26">
        <v>1.65863452114488E-3</v>
      </c>
      <c r="AP35" s="26">
        <v>1.3934415222029385E-3</v>
      </c>
      <c r="AQ35" s="39">
        <f t="shared" si="2"/>
        <v>0</v>
      </c>
      <c r="AR35" s="39">
        <f t="shared" si="3"/>
        <v>0</v>
      </c>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row>
    <row r="36" spans="1:74" ht="15.75" thickBot="1">
      <c r="A36" s="89"/>
      <c r="B36" s="43"/>
      <c r="C36" s="43"/>
      <c r="D36" s="43"/>
      <c r="E36" s="43"/>
      <c r="F36" s="43"/>
      <c r="G36" s="43"/>
      <c r="H36" s="43"/>
      <c r="I36" s="171"/>
      <c r="J36" s="171"/>
      <c r="K36" s="45">
        <f>SUM(K11:K35)</f>
        <v>1</v>
      </c>
      <c r="L36" s="45">
        <f t="shared" ref="L36:AP36" si="4">SUM(L11:L35)</f>
        <v>1.314599728678312E-3</v>
      </c>
      <c r="M36" s="45">
        <f t="shared" si="4"/>
        <v>2.045101499249715E-2</v>
      </c>
      <c r="N36" s="45">
        <f t="shared" si="4"/>
        <v>6.0656466575328062E-2</v>
      </c>
      <c r="O36" s="45">
        <f t="shared" si="4"/>
        <v>3.6411472014023172E-2</v>
      </c>
      <c r="P36" s="45">
        <f t="shared" si="4"/>
        <v>2.6632064892945589E-2</v>
      </c>
      <c r="Q36" s="45">
        <f t="shared" si="4"/>
        <v>2.5169048607480798E-2</v>
      </c>
      <c r="R36" s="45">
        <f t="shared" si="4"/>
        <v>2.8645339465603405E-2</v>
      </c>
      <c r="S36" s="45">
        <f t="shared" si="4"/>
        <v>4.5903040515735009E-2</v>
      </c>
      <c r="T36" s="45">
        <f t="shared" si="4"/>
        <v>2.3203404880387413E-2</v>
      </c>
      <c r="U36" s="45">
        <f t="shared" si="4"/>
        <v>6.8763565438422977E-2</v>
      </c>
      <c r="V36" s="45">
        <f t="shared" si="4"/>
        <v>9.0064405863228586E-2</v>
      </c>
      <c r="W36" s="45">
        <f t="shared" si="4"/>
        <v>3.5079785583142752E-2</v>
      </c>
      <c r="X36" s="45">
        <f t="shared" si="4"/>
        <v>6.08481771423059E-2</v>
      </c>
      <c r="Y36" s="45">
        <f t="shared" si="4"/>
        <v>1.929670832357977E-2</v>
      </c>
      <c r="Z36" s="45">
        <f t="shared" si="4"/>
        <v>2.9835341684778464E-2</v>
      </c>
      <c r="AA36" s="45">
        <f t="shared" si="4"/>
        <v>4.1507576492410082E-2</v>
      </c>
      <c r="AB36" s="45">
        <f t="shared" si="4"/>
        <v>3.6233347980210745E-2</v>
      </c>
      <c r="AC36" s="45">
        <f t="shared" si="4"/>
        <v>5.2392585800715409E-2</v>
      </c>
      <c r="AD36" s="45">
        <f t="shared" si="4"/>
        <v>1.7263807930053093E-2</v>
      </c>
      <c r="AE36" s="45">
        <f t="shared" si="4"/>
        <v>2.7802441291251784E-2</v>
      </c>
      <c r="AF36" s="45">
        <f t="shared" si="4"/>
        <v>1.7263807930053093E-2</v>
      </c>
      <c r="AG36" s="45">
        <f t="shared" si="4"/>
        <v>1.7263807930053093E-2</v>
      </c>
      <c r="AH36" s="45">
        <f t="shared" si="4"/>
        <v>1.7263807930053093E-2</v>
      </c>
      <c r="AI36" s="45">
        <f t="shared" si="4"/>
        <v>1.7263807930053089E-2</v>
      </c>
      <c r="AJ36" s="45">
        <f t="shared" si="4"/>
        <v>8.6959623540569686E-2</v>
      </c>
      <c r="AK36" s="45">
        <f t="shared" si="4"/>
        <v>1.7710562037714712E-2</v>
      </c>
      <c r="AL36" s="45">
        <f t="shared" si="4"/>
        <v>2.180823666347918E-2</v>
      </c>
      <c r="AM36" s="45">
        <f t="shared" si="4"/>
        <v>1.6538919982879832E-2</v>
      </c>
      <c r="AN36" s="45">
        <f t="shared" si="4"/>
        <v>1.4732818772833207E-2</v>
      </c>
      <c r="AO36" s="45">
        <f t="shared" si="4"/>
        <v>1.4732818772833207E-2</v>
      </c>
      <c r="AP36" s="45">
        <f t="shared" si="4"/>
        <v>1.0987593306699316E-2</v>
      </c>
      <c r="AQ36" s="46">
        <f t="shared" ref="AQ36" si="5">SUM(AS36:BJ36)</f>
        <v>0</v>
      </c>
      <c r="AR36" s="106"/>
      <c r="AS36" s="47">
        <f>SUM(AS11:AS35)</f>
        <v>0</v>
      </c>
      <c r="AT36" s="47">
        <f>SUM(AT11:AT35)</f>
        <v>0</v>
      </c>
      <c r="AU36" s="47">
        <f t="shared" ref="AU36:BV36" si="6">SUM(AU11:AU35)</f>
        <v>0</v>
      </c>
      <c r="AV36" s="47">
        <f t="shared" si="6"/>
        <v>0</v>
      </c>
      <c r="AW36" s="47">
        <f t="shared" si="6"/>
        <v>0</v>
      </c>
      <c r="AX36" s="47">
        <f t="shared" si="6"/>
        <v>0</v>
      </c>
      <c r="AY36" s="47">
        <f t="shared" si="6"/>
        <v>0</v>
      </c>
      <c r="AZ36" s="47">
        <f t="shared" si="6"/>
        <v>0</v>
      </c>
      <c r="BA36" s="47">
        <f t="shared" si="6"/>
        <v>0</v>
      </c>
      <c r="BB36" s="47">
        <f t="shared" si="6"/>
        <v>0</v>
      </c>
      <c r="BC36" s="47">
        <f t="shared" si="6"/>
        <v>0</v>
      </c>
      <c r="BD36" s="47">
        <f t="shared" si="6"/>
        <v>0</v>
      </c>
      <c r="BE36" s="47">
        <f t="shared" si="6"/>
        <v>0</v>
      </c>
      <c r="BF36" s="47">
        <f t="shared" si="6"/>
        <v>0</v>
      </c>
      <c r="BG36" s="47">
        <f t="shared" si="6"/>
        <v>0</v>
      </c>
      <c r="BH36" s="47">
        <f t="shared" si="6"/>
        <v>0</v>
      </c>
      <c r="BI36" s="47">
        <f t="shared" si="6"/>
        <v>0</v>
      </c>
      <c r="BJ36" s="47">
        <f t="shared" si="6"/>
        <v>0</v>
      </c>
      <c r="BK36" s="47">
        <f t="shared" si="6"/>
        <v>0</v>
      </c>
      <c r="BL36" s="47">
        <f t="shared" si="6"/>
        <v>0</v>
      </c>
      <c r="BM36" s="47">
        <f t="shared" si="6"/>
        <v>0</v>
      </c>
      <c r="BN36" s="47">
        <f t="shared" si="6"/>
        <v>0</v>
      </c>
      <c r="BO36" s="47">
        <f t="shared" si="6"/>
        <v>0</v>
      </c>
      <c r="BP36" s="47">
        <f t="shared" si="6"/>
        <v>0</v>
      </c>
      <c r="BQ36" s="47">
        <f t="shared" si="6"/>
        <v>0</v>
      </c>
      <c r="BR36" s="47">
        <f t="shared" si="6"/>
        <v>0</v>
      </c>
      <c r="BS36" s="47">
        <f t="shared" si="6"/>
        <v>0</v>
      </c>
      <c r="BT36" s="47">
        <f t="shared" si="6"/>
        <v>0</v>
      </c>
      <c r="BU36" s="47">
        <f t="shared" si="6"/>
        <v>0</v>
      </c>
      <c r="BV36" s="47">
        <f t="shared" si="6"/>
        <v>0</v>
      </c>
    </row>
    <row r="37" spans="1:74" ht="15.75" thickTop="1">
      <c r="H37" s="172" t="s">
        <v>246</v>
      </c>
      <c r="I37" s="172"/>
      <c r="J37" s="172"/>
      <c r="K37" s="86">
        <f>SUM(L37:AC37)</f>
        <v>0.7024079459814736</v>
      </c>
      <c r="L37" s="86">
        <f>+L36</f>
        <v>1.314599728678312E-3</v>
      </c>
      <c r="M37" s="86">
        <f t="shared" ref="M37:AP37" si="7">+M36</f>
        <v>2.045101499249715E-2</v>
      </c>
      <c r="N37" s="86">
        <f t="shared" si="7"/>
        <v>6.0656466575328062E-2</v>
      </c>
      <c r="O37" s="86">
        <f t="shared" si="7"/>
        <v>3.6411472014023172E-2</v>
      </c>
      <c r="P37" s="86">
        <f t="shared" si="7"/>
        <v>2.6632064892945589E-2</v>
      </c>
      <c r="Q37" s="86">
        <f t="shared" si="7"/>
        <v>2.5169048607480798E-2</v>
      </c>
      <c r="R37" s="86">
        <f t="shared" si="7"/>
        <v>2.8645339465603405E-2</v>
      </c>
      <c r="S37" s="86">
        <f t="shared" si="7"/>
        <v>4.5903040515735009E-2</v>
      </c>
      <c r="T37" s="86">
        <f t="shared" si="7"/>
        <v>2.3203404880387413E-2</v>
      </c>
      <c r="U37" s="86">
        <f t="shared" si="7"/>
        <v>6.8763565438422977E-2</v>
      </c>
      <c r="V37" s="86">
        <f t="shared" si="7"/>
        <v>9.0064405863228586E-2</v>
      </c>
      <c r="W37" s="86">
        <f t="shared" si="7"/>
        <v>3.5079785583142752E-2</v>
      </c>
      <c r="X37" s="86">
        <f t="shared" si="7"/>
        <v>6.08481771423059E-2</v>
      </c>
      <c r="Y37" s="86">
        <f t="shared" si="7"/>
        <v>1.929670832357977E-2</v>
      </c>
      <c r="Z37" s="86">
        <f t="shared" si="7"/>
        <v>2.9835341684778464E-2</v>
      </c>
      <c r="AA37" s="86">
        <f t="shared" si="7"/>
        <v>4.1507576492410082E-2</v>
      </c>
      <c r="AB37" s="86">
        <f t="shared" si="7"/>
        <v>3.6233347980210745E-2</v>
      </c>
      <c r="AC37" s="86">
        <f t="shared" si="7"/>
        <v>5.2392585800715409E-2</v>
      </c>
      <c r="AD37" s="86">
        <f t="shared" si="7"/>
        <v>1.7263807930053093E-2</v>
      </c>
      <c r="AE37" s="86">
        <f t="shared" si="7"/>
        <v>2.7802441291251784E-2</v>
      </c>
      <c r="AF37" s="86">
        <f t="shared" si="7"/>
        <v>1.7263807930053093E-2</v>
      </c>
      <c r="AG37" s="86">
        <f t="shared" si="7"/>
        <v>1.7263807930053093E-2</v>
      </c>
      <c r="AH37" s="86">
        <f t="shared" si="7"/>
        <v>1.7263807930053093E-2</v>
      </c>
      <c r="AI37" s="86">
        <f t="shared" si="7"/>
        <v>1.7263807930053089E-2</v>
      </c>
      <c r="AJ37" s="86">
        <f t="shared" si="7"/>
        <v>8.6959623540569686E-2</v>
      </c>
      <c r="AK37" s="86">
        <f t="shared" si="7"/>
        <v>1.7710562037714712E-2</v>
      </c>
      <c r="AL37" s="86">
        <f t="shared" si="7"/>
        <v>2.180823666347918E-2</v>
      </c>
      <c r="AM37" s="86">
        <f t="shared" si="7"/>
        <v>1.6538919982879832E-2</v>
      </c>
      <c r="AN37" s="86">
        <f t="shared" si="7"/>
        <v>1.4732818772833207E-2</v>
      </c>
      <c r="AO37" s="86">
        <f t="shared" si="7"/>
        <v>1.4732818772833207E-2</v>
      </c>
      <c r="AP37" s="86">
        <f t="shared" si="7"/>
        <v>1.0987593306699316E-2</v>
      </c>
    </row>
    <row r="38" spans="1:74">
      <c r="H38" s="170" t="s">
        <v>247</v>
      </c>
      <c r="I38" s="170"/>
      <c r="J38" s="170"/>
      <c r="K38" s="86">
        <f>SUM(L38:AC38)</f>
        <v>0</v>
      </c>
      <c r="L38" s="86">
        <f>+AS36</f>
        <v>0</v>
      </c>
      <c r="M38" s="86">
        <f t="shared" ref="M38:AP38" si="8">+AT36</f>
        <v>0</v>
      </c>
      <c r="N38" s="86">
        <f t="shared" si="8"/>
        <v>0</v>
      </c>
      <c r="O38" s="86">
        <f t="shared" si="8"/>
        <v>0</v>
      </c>
      <c r="P38" s="86">
        <f t="shared" si="8"/>
        <v>0</v>
      </c>
      <c r="Q38" s="86">
        <f t="shared" si="8"/>
        <v>0</v>
      </c>
      <c r="R38" s="86">
        <f t="shared" si="8"/>
        <v>0</v>
      </c>
      <c r="S38" s="86">
        <f t="shared" si="8"/>
        <v>0</v>
      </c>
      <c r="T38" s="86">
        <f t="shared" si="8"/>
        <v>0</v>
      </c>
      <c r="U38" s="86">
        <f t="shared" si="8"/>
        <v>0</v>
      </c>
      <c r="V38" s="86">
        <f t="shared" si="8"/>
        <v>0</v>
      </c>
      <c r="W38" s="86">
        <f t="shared" si="8"/>
        <v>0</v>
      </c>
      <c r="X38" s="86">
        <f t="shared" si="8"/>
        <v>0</v>
      </c>
      <c r="Y38" s="86">
        <f t="shared" si="8"/>
        <v>0</v>
      </c>
      <c r="Z38" s="86">
        <f t="shared" si="8"/>
        <v>0</v>
      </c>
      <c r="AA38" s="86">
        <f t="shared" si="8"/>
        <v>0</v>
      </c>
      <c r="AB38" s="86">
        <f t="shared" si="8"/>
        <v>0</v>
      </c>
      <c r="AC38" s="86">
        <f t="shared" si="8"/>
        <v>0</v>
      </c>
      <c r="AD38" s="86">
        <f t="shared" si="8"/>
        <v>0</v>
      </c>
      <c r="AE38" s="86">
        <f t="shared" si="8"/>
        <v>0</v>
      </c>
      <c r="AF38" s="86">
        <f t="shared" si="8"/>
        <v>0</v>
      </c>
      <c r="AG38" s="86">
        <f t="shared" si="8"/>
        <v>0</v>
      </c>
      <c r="AH38" s="86">
        <f t="shared" si="8"/>
        <v>0</v>
      </c>
      <c r="AI38" s="86">
        <f t="shared" si="8"/>
        <v>0</v>
      </c>
      <c r="AJ38" s="86">
        <f t="shared" si="8"/>
        <v>0</v>
      </c>
      <c r="AK38" s="86">
        <f t="shared" si="8"/>
        <v>0</v>
      </c>
      <c r="AL38" s="86">
        <f t="shared" si="8"/>
        <v>0</v>
      </c>
      <c r="AM38" s="86">
        <f t="shared" si="8"/>
        <v>0</v>
      </c>
      <c r="AN38" s="86">
        <f t="shared" si="8"/>
        <v>0</v>
      </c>
      <c r="AO38" s="86">
        <f t="shared" si="8"/>
        <v>0</v>
      </c>
      <c r="AP38" s="86">
        <f t="shared" si="8"/>
        <v>0</v>
      </c>
    </row>
    <row r="39" spans="1:74">
      <c r="H39" s="104"/>
      <c r="I39" s="104"/>
      <c r="J39" s="104"/>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row>
    <row r="40" spans="1:74" ht="15" customHeight="1">
      <c r="H40" s="170" t="s">
        <v>248</v>
      </c>
      <c r="I40" s="170"/>
      <c r="J40" s="170"/>
      <c r="K40" s="87"/>
      <c r="L40" s="86">
        <f>+L37</f>
        <v>1.314599728678312E-3</v>
      </c>
      <c r="M40" s="86">
        <f t="shared" ref="M40:AP40" si="9">+M37</f>
        <v>2.045101499249715E-2</v>
      </c>
      <c r="N40" s="86">
        <f t="shared" si="9"/>
        <v>6.0656466575328062E-2</v>
      </c>
      <c r="O40" s="86">
        <f t="shared" si="9"/>
        <v>3.6411472014023172E-2</v>
      </c>
      <c r="P40" s="86">
        <f t="shared" si="9"/>
        <v>2.6632064892945589E-2</v>
      </c>
      <c r="Q40" s="86">
        <f t="shared" si="9"/>
        <v>2.5169048607480798E-2</v>
      </c>
      <c r="R40" s="86">
        <f t="shared" si="9"/>
        <v>2.8645339465603405E-2</v>
      </c>
      <c r="S40" s="86">
        <f t="shared" si="9"/>
        <v>4.5903040515735009E-2</v>
      </c>
      <c r="T40" s="86">
        <f t="shared" si="9"/>
        <v>2.3203404880387413E-2</v>
      </c>
      <c r="U40" s="86">
        <f t="shared" si="9"/>
        <v>6.8763565438422977E-2</v>
      </c>
      <c r="V40" s="86">
        <f t="shared" si="9"/>
        <v>9.0064405863228586E-2</v>
      </c>
      <c r="W40" s="86">
        <f t="shared" si="9"/>
        <v>3.5079785583142752E-2</v>
      </c>
      <c r="X40" s="86">
        <f t="shared" si="9"/>
        <v>6.08481771423059E-2</v>
      </c>
      <c r="Y40" s="86">
        <f t="shared" si="9"/>
        <v>1.929670832357977E-2</v>
      </c>
      <c r="Z40" s="86">
        <f t="shared" si="9"/>
        <v>2.9835341684778464E-2</v>
      </c>
      <c r="AA40" s="86">
        <f t="shared" si="9"/>
        <v>4.1507576492410082E-2</v>
      </c>
      <c r="AB40" s="86">
        <f t="shared" si="9"/>
        <v>3.6233347980210745E-2</v>
      </c>
      <c r="AC40" s="86">
        <f t="shared" si="9"/>
        <v>5.2392585800715409E-2</v>
      </c>
      <c r="AD40" s="86">
        <f t="shared" si="9"/>
        <v>1.7263807930053093E-2</v>
      </c>
      <c r="AE40" s="86">
        <f t="shared" si="9"/>
        <v>2.7802441291251784E-2</v>
      </c>
      <c r="AF40" s="86">
        <f t="shared" si="9"/>
        <v>1.7263807930053093E-2</v>
      </c>
      <c r="AG40" s="86">
        <f t="shared" si="9"/>
        <v>1.7263807930053093E-2</v>
      </c>
      <c r="AH40" s="86">
        <f t="shared" si="9"/>
        <v>1.7263807930053093E-2</v>
      </c>
      <c r="AI40" s="86">
        <f t="shared" si="9"/>
        <v>1.7263807930053089E-2</v>
      </c>
      <c r="AJ40" s="86">
        <f t="shared" si="9"/>
        <v>8.6959623540569686E-2</v>
      </c>
      <c r="AK40" s="86">
        <f t="shared" si="9"/>
        <v>1.7710562037714712E-2</v>
      </c>
      <c r="AL40" s="86">
        <f t="shared" si="9"/>
        <v>2.180823666347918E-2</v>
      </c>
      <c r="AM40" s="86">
        <f t="shared" si="9"/>
        <v>1.6538919982879832E-2</v>
      </c>
      <c r="AN40" s="86">
        <f t="shared" si="9"/>
        <v>1.4732818772833207E-2</v>
      </c>
      <c r="AO40" s="86">
        <f t="shared" si="9"/>
        <v>1.4732818772833207E-2</v>
      </c>
      <c r="AP40" s="86">
        <f t="shared" si="9"/>
        <v>1.0987593306699316E-2</v>
      </c>
    </row>
    <row r="41" spans="1:74" ht="15" customHeight="1">
      <c r="F41" s="8">
        <f>0.01+0.042</f>
        <v>5.2000000000000005E-2</v>
      </c>
      <c r="H41" s="170" t="s">
        <v>249</v>
      </c>
      <c r="I41" s="170"/>
      <c r="J41" s="170"/>
      <c r="K41" s="87"/>
      <c r="L41" s="86">
        <f>+L38</f>
        <v>0</v>
      </c>
      <c r="M41" s="86">
        <f t="shared" ref="M41:AP41" si="10">+M38</f>
        <v>0</v>
      </c>
      <c r="N41" s="86">
        <f t="shared" si="10"/>
        <v>0</v>
      </c>
      <c r="O41" s="86">
        <f t="shared" si="10"/>
        <v>0</v>
      </c>
      <c r="P41" s="86">
        <f t="shared" si="10"/>
        <v>0</v>
      </c>
      <c r="Q41" s="86">
        <f t="shared" si="10"/>
        <v>0</v>
      </c>
      <c r="R41" s="86">
        <f t="shared" si="10"/>
        <v>0</v>
      </c>
      <c r="S41" s="86">
        <f t="shared" si="10"/>
        <v>0</v>
      </c>
      <c r="T41" s="86">
        <f t="shared" si="10"/>
        <v>0</v>
      </c>
      <c r="U41" s="86">
        <f t="shared" si="10"/>
        <v>0</v>
      </c>
      <c r="V41" s="86">
        <f t="shared" si="10"/>
        <v>0</v>
      </c>
      <c r="W41" s="86">
        <f t="shared" si="10"/>
        <v>0</v>
      </c>
      <c r="X41" s="86">
        <f t="shared" si="10"/>
        <v>0</v>
      </c>
      <c r="Y41" s="86">
        <f t="shared" si="10"/>
        <v>0</v>
      </c>
      <c r="Z41" s="86">
        <f t="shared" si="10"/>
        <v>0</v>
      </c>
      <c r="AA41" s="86">
        <f t="shared" si="10"/>
        <v>0</v>
      </c>
      <c r="AB41" s="86">
        <f t="shared" si="10"/>
        <v>0</v>
      </c>
      <c r="AC41" s="86">
        <f t="shared" si="10"/>
        <v>0</v>
      </c>
      <c r="AD41" s="86">
        <f t="shared" si="10"/>
        <v>0</v>
      </c>
      <c r="AE41" s="86">
        <f t="shared" si="10"/>
        <v>0</v>
      </c>
      <c r="AF41" s="86">
        <f t="shared" si="10"/>
        <v>0</v>
      </c>
      <c r="AG41" s="86">
        <f t="shared" si="10"/>
        <v>0</v>
      </c>
      <c r="AH41" s="86">
        <f t="shared" si="10"/>
        <v>0</v>
      </c>
      <c r="AI41" s="86">
        <f t="shared" si="10"/>
        <v>0</v>
      </c>
      <c r="AJ41" s="86">
        <f t="shared" si="10"/>
        <v>0</v>
      </c>
      <c r="AK41" s="86">
        <f t="shared" si="10"/>
        <v>0</v>
      </c>
      <c r="AL41" s="86">
        <f t="shared" si="10"/>
        <v>0</v>
      </c>
      <c r="AM41" s="86">
        <f t="shared" si="10"/>
        <v>0</v>
      </c>
      <c r="AN41" s="86">
        <f t="shared" si="10"/>
        <v>0</v>
      </c>
      <c r="AO41" s="86">
        <f t="shared" si="10"/>
        <v>0</v>
      </c>
      <c r="AP41" s="86">
        <f t="shared" si="10"/>
        <v>0</v>
      </c>
    </row>
    <row r="42" spans="1:74">
      <c r="H42" s="170" t="s">
        <v>250</v>
      </c>
      <c r="I42" s="170"/>
      <c r="J42" s="170"/>
      <c r="K42" s="87"/>
      <c r="L42" s="86">
        <f>+L38/L37</f>
        <v>0</v>
      </c>
      <c r="M42" s="86">
        <f t="shared" ref="M42:AP42" si="11">+M38/M37</f>
        <v>0</v>
      </c>
      <c r="N42" s="86">
        <f t="shared" si="11"/>
        <v>0</v>
      </c>
      <c r="O42" s="86">
        <f t="shared" si="11"/>
        <v>0</v>
      </c>
      <c r="P42" s="86">
        <f t="shared" si="11"/>
        <v>0</v>
      </c>
      <c r="Q42" s="86">
        <f t="shared" si="11"/>
        <v>0</v>
      </c>
      <c r="R42" s="86">
        <f t="shared" si="11"/>
        <v>0</v>
      </c>
      <c r="S42" s="86">
        <f t="shared" si="11"/>
        <v>0</v>
      </c>
      <c r="T42" s="86">
        <f t="shared" si="11"/>
        <v>0</v>
      </c>
      <c r="U42" s="86">
        <f t="shared" si="11"/>
        <v>0</v>
      </c>
      <c r="V42" s="86">
        <f t="shared" si="11"/>
        <v>0</v>
      </c>
      <c r="W42" s="86">
        <f t="shared" si="11"/>
        <v>0</v>
      </c>
      <c r="X42" s="86">
        <f t="shared" si="11"/>
        <v>0</v>
      </c>
      <c r="Y42" s="86">
        <f t="shared" si="11"/>
        <v>0</v>
      </c>
      <c r="Z42" s="86">
        <f t="shared" si="11"/>
        <v>0</v>
      </c>
      <c r="AA42" s="86">
        <f t="shared" si="11"/>
        <v>0</v>
      </c>
      <c r="AB42" s="86">
        <f t="shared" si="11"/>
        <v>0</v>
      </c>
      <c r="AC42" s="86">
        <f t="shared" si="11"/>
        <v>0</v>
      </c>
      <c r="AD42" s="86">
        <f t="shared" si="11"/>
        <v>0</v>
      </c>
      <c r="AE42" s="86">
        <f t="shared" si="11"/>
        <v>0</v>
      </c>
      <c r="AF42" s="86">
        <f t="shared" si="11"/>
        <v>0</v>
      </c>
      <c r="AG42" s="86">
        <f t="shared" si="11"/>
        <v>0</v>
      </c>
      <c r="AH42" s="86">
        <f t="shared" si="11"/>
        <v>0</v>
      </c>
      <c r="AI42" s="86">
        <f t="shared" si="11"/>
        <v>0</v>
      </c>
      <c r="AJ42" s="86">
        <f t="shared" si="11"/>
        <v>0</v>
      </c>
      <c r="AK42" s="86">
        <f t="shared" si="11"/>
        <v>0</v>
      </c>
      <c r="AL42" s="86">
        <f t="shared" si="11"/>
        <v>0</v>
      </c>
      <c r="AM42" s="86">
        <f t="shared" si="11"/>
        <v>0</v>
      </c>
      <c r="AN42" s="86">
        <f t="shared" si="11"/>
        <v>0</v>
      </c>
      <c r="AO42" s="86">
        <f t="shared" si="11"/>
        <v>0</v>
      </c>
      <c r="AP42" s="86">
        <f t="shared" si="11"/>
        <v>0</v>
      </c>
    </row>
  </sheetData>
  <mergeCells count="22">
    <mergeCell ref="AS7:BJ7"/>
    <mergeCell ref="A7:A10"/>
    <mergeCell ref="AR7:AR9"/>
    <mergeCell ref="B5:K5"/>
    <mergeCell ref="L7:AC7"/>
    <mergeCell ref="AQ7:AQ9"/>
    <mergeCell ref="K7:K10"/>
    <mergeCell ref="J7:J10"/>
    <mergeCell ref="I7:I10"/>
    <mergeCell ref="H7:H10"/>
    <mergeCell ref="G7:G10"/>
    <mergeCell ref="F7:F10"/>
    <mergeCell ref="E7:E10"/>
    <mergeCell ref="D7:D10"/>
    <mergeCell ref="C7:C10"/>
    <mergeCell ref="B7:B10"/>
    <mergeCell ref="H42:J42"/>
    <mergeCell ref="I36:J36"/>
    <mergeCell ref="H37:J37"/>
    <mergeCell ref="H38:J38"/>
    <mergeCell ref="H40:J40"/>
    <mergeCell ref="H41:J41"/>
  </mergeCells>
  <phoneticPr fontId="26" type="noConversion"/>
  <conditionalFormatting sqref="AR11:AR1048576">
    <cfRule type="cellIs" dxfId="8" priority="1" operator="equal">
      <formula>0</formula>
    </cfRule>
    <cfRule type="cellIs" dxfId="7" priority="2" operator="greaterThan">
      <formula>0.99</formula>
    </cfRule>
    <cfRule type="cellIs" dxfId="6" priority="3" operator="lessThan">
      <formula>1</formula>
    </cfRule>
    <cfRule type="cellIs" dxfId="5" priority="4" operator="greaterThan">
      <formula>0.99</formula>
    </cfRule>
    <cfRule type="cellIs" dxfId="4" priority="5" operator="greaterThan">
      <formula>0.99</formula>
    </cfRule>
    <cfRule type="cellIs" dxfId="3" priority="9" operator="greaterThan">
      <formula>99</formula>
    </cfRule>
    <cfRule type="cellIs" dxfId="2" priority="10" operator="lessThan">
      <formula>100</formula>
    </cfRule>
    <cfRule type="cellIs" dxfId="1" priority="11" operator="greaterThan">
      <formula>99</formula>
    </cfRule>
    <cfRule type="colorScale" priority="12">
      <colorScale>
        <cfvo type="min"/>
        <cfvo type="percentile" val="50"/>
        <cfvo type="max"/>
        <color rgb="FFF8696B"/>
        <color rgb="FFFFEB84"/>
        <color rgb="FF63BE7B"/>
      </colorScale>
    </cfRule>
  </conditionalFormatting>
  <conditionalFormatting sqref="AR19">
    <cfRule type="cellIs" dxfId="0" priority="8" operator="greaterThan">
      <formula>0.99</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987B4307-6DC7-4099-ADAA-11EF1CADDD18}">
          <x14:formula1>
            <xm:f>PARAMETRIZACIÓN!$E$2:$E$13</xm:f>
          </x14:formula1>
          <xm:sqref>AS9:BV9 L9:AP9</xm:sqref>
        </x14:dataValidation>
        <x14:dataValidation type="list" allowBlank="1" showInputMessage="1" showErrorMessage="1" xr:uid="{08C9FAF8-CE70-456E-88AC-E83B1E4052D4}">
          <x14:formula1>
            <xm:f>PARAMETRIZACIÓN!$D$1:$D$2</xm:f>
          </x14:formula1>
          <xm:sqref>L39:AP39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55F7E-8589-4ADF-AFAA-DCC39027F6D7}">
  <dimension ref="A1:BR43"/>
  <sheetViews>
    <sheetView showGridLines="0" topLeftCell="B6" zoomScale="115" zoomScaleNormal="115" workbookViewId="0">
      <pane xSplit="2" ySplit="4" topLeftCell="E10" activePane="bottomRight" state="frozen"/>
      <selection pane="bottomRight" activeCell="I30" sqref="I30"/>
      <selection pane="bottomLeft" activeCell="B10" sqref="B10"/>
      <selection pane="topRight" activeCell="D6" sqref="D6"/>
    </sheetView>
  </sheetViews>
  <sheetFormatPr defaultColWidth="11.42578125" defaultRowHeight="15"/>
  <cols>
    <col min="1" max="1" width="39" style="8" hidden="1" customWidth="1"/>
    <col min="2" max="2" width="11.28515625" style="8" bestFit="1" customWidth="1"/>
    <col min="3" max="3" width="30.85546875" style="8" bestFit="1" customWidth="1"/>
    <col min="4" max="4" width="8.7109375" style="8" customWidth="1"/>
    <col min="5" max="5" width="31.140625" style="8" customWidth="1"/>
    <col min="6" max="6" width="6.7109375" bestFit="1" customWidth="1"/>
    <col min="7" max="7" width="10.5703125" customWidth="1"/>
    <col min="8" max="8" width="14.42578125" style="137" customWidth="1"/>
    <col min="9" max="9" width="13.85546875" style="63" bestFit="1" customWidth="1"/>
    <col min="10" max="11" width="12.5703125" style="63" customWidth="1"/>
    <col min="12" max="16" width="13.85546875" style="63" customWidth="1"/>
    <col min="17" max="17" width="13.7109375" style="63" customWidth="1"/>
    <col min="18" max="18" width="14.7109375" style="63" customWidth="1"/>
    <col min="19" max="19" width="13.7109375" style="63" customWidth="1"/>
    <col min="20" max="20" width="13.85546875" style="63" customWidth="1"/>
    <col min="21" max="21" width="14.7109375" style="63" customWidth="1"/>
    <col min="22" max="23" width="13.85546875" style="63" customWidth="1"/>
    <col min="24" max="39" width="14.7109375" style="63" customWidth="1"/>
    <col min="40" max="40" width="16.42578125" style="64" bestFit="1" customWidth="1"/>
    <col min="41" max="41" width="11.7109375" style="63" bestFit="1" customWidth="1"/>
    <col min="42" max="42" width="12.5703125" style="63" bestFit="1" customWidth="1"/>
    <col min="43" max="58" width="11.42578125" style="63"/>
  </cols>
  <sheetData>
    <row r="1" spans="1:70" hidden="1"/>
    <row r="2" spans="1:70" hidden="1"/>
    <row r="3" spans="1:70" hidden="1"/>
    <row r="4" spans="1:70" hidden="1"/>
    <row r="5" spans="1:70" ht="16.5" hidden="1">
      <c r="A5" s="59" t="s">
        <v>182</v>
      </c>
      <c r="B5" s="175"/>
      <c r="C5" s="175"/>
      <c r="D5" s="175"/>
      <c r="E5" s="175"/>
      <c r="F5" s="175"/>
      <c r="G5" s="175"/>
      <c r="H5" s="175"/>
      <c r="I5" s="62"/>
    </row>
    <row r="6" spans="1:70" ht="9" customHeight="1"/>
    <row r="7" spans="1:70" s="2" customFormat="1" ht="12.75" customHeight="1">
      <c r="A7" s="174" t="s">
        <v>77</v>
      </c>
      <c r="B7" s="174" t="s">
        <v>79</v>
      </c>
      <c r="C7" s="174" t="s">
        <v>80</v>
      </c>
      <c r="D7" s="170" t="s">
        <v>184</v>
      </c>
      <c r="E7" s="174" t="s">
        <v>185</v>
      </c>
      <c r="F7" s="174" t="s">
        <v>189</v>
      </c>
      <c r="G7" s="174" t="s">
        <v>190</v>
      </c>
      <c r="H7" s="176" t="s">
        <v>191</v>
      </c>
      <c r="I7" s="176" t="s">
        <v>251</v>
      </c>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65"/>
      <c r="AN7" s="176" t="s">
        <v>193</v>
      </c>
      <c r="AO7" s="176" t="s">
        <v>252</v>
      </c>
      <c r="AP7" s="176"/>
      <c r="AQ7" s="176"/>
      <c r="AR7" s="176"/>
      <c r="AS7" s="176"/>
      <c r="AT7" s="176"/>
      <c r="AU7" s="176"/>
      <c r="AV7" s="176"/>
      <c r="AW7" s="176"/>
      <c r="AX7" s="176"/>
      <c r="AY7" s="176"/>
      <c r="AZ7" s="176"/>
      <c r="BA7" s="176"/>
      <c r="BB7" s="176"/>
      <c r="BC7" s="176"/>
      <c r="BD7" s="176"/>
      <c r="BE7" s="176"/>
      <c r="BF7" s="176"/>
      <c r="BG7" s="176"/>
      <c r="BH7" s="176"/>
      <c r="BI7" s="176"/>
      <c r="BJ7" s="176"/>
      <c r="BK7" s="176"/>
      <c r="BL7" s="176"/>
      <c r="BM7" s="176"/>
      <c r="BN7" s="176"/>
      <c r="BO7" s="176"/>
      <c r="BP7" s="176"/>
      <c r="BQ7" s="176"/>
      <c r="BR7" s="176"/>
    </row>
    <row r="8" spans="1:70" s="2" customFormat="1" ht="9" customHeight="1">
      <c r="A8" s="174"/>
      <c r="B8" s="174"/>
      <c r="C8" s="174"/>
      <c r="D8" s="170"/>
      <c r="E8" s="174"/>
      <c r="F8" s="174"/>
      <c r="G8" s="174"/>
      <c r="H8" s="176"/>
      <c r="I8" s="65" t="s">
        <v>95</v>
      </c>
      <c r="J8" s="65" t="s">
        <v>96</v>
      </c>
      <c r="K8" s="65" t="s">
        <v>97</v>
      </c>
      <c r="L8" s="65" t="s">
        <v>98</v>
      </c>
      <c r="M8" s="65" t="s">
        <v>99</v>
      </c>
      <c r="N8" s="65" t="s">
        <v>100</v>
      </c>
      <c r="O8" s="65" t="s">
        <v>101</v>
      </c>
      <c r="P8" s="65" t="s">
        <v>102</v>
      </c>
      <c r="Q8" s="65" t="s">
        <v>103</v>
      </c>
      <c r="R8" s="65" t="s">
        <v>104</v>
      </c>
      <c r="S8" s="65" t="s">
        <v>105</v>
      </c>
      <c r="T8" s="65" t="s">
        <v>106</v>
      </c>
      <c r="U8" s="65" t="s">
        <v>107</v>
      </c>
      <c r="V8" s="65" t="s">
        <v>108</v>
      </c>
      <c r="W8" s="65" t="s">
        <v>109</v>
      </c>
      <c r="X8" s="65" t="s">
        <v>110</v>
      </c>
      <c r="Y8" s="65" t="s">
        <v>111</v>
      </c>
      <c r="Z8" s="65" t="s">
        <v>112</v>
      </c>
      <c r="AA8" s="65" t="s">
        <v>113</v>
      </c>
      <c r="AB8" s="65" t="s">
        <v>114</v>
      </c>
      <c r="AC8" s="65" t="s">
        <v>115</v>
      </c>
      <c r="AD8" s="65" t="s">
        <v>116</v>
      </c>
      <c r="AE8" s="65" t="s">
        <v>117</v>
      </c>
      <c r="AF8" s="65" t="s">
        <v>118</v>
      </c>
      <c r="AG8" s="65" t="s">
        <v>119</v>
      </c>
      <c r="AH8" s="65" t="s">
        <v>120</v>
      </c>
      <c r="AI8" s="65" t="s">
        <v>121</v>
      </c>
      <c r="AJ8" s="65" t="s">
        <v>122</v>
      </c>
      <c r="AK8" s="65" t="s">
        <v>123</v>
      </c>
      <c r="AL8" s="65" t="s">
        <v>124</v>
      </c>
      <c r="AM8" s="65"/>
      <c r="AN8" s="176"/>
      <c r="AO8" s="65" t="s">
        <v>95</v>
      </c>
      <c r="AP8" s="65" t="s">
        <v>96</v>
      </c>
      <c r="AQ8" s="65" t="s">
        <v>97</v>
      </c>
      <c r="AR8" s="65" t="s">
        <v>98</v>
      </c>
      <c r="AS8" s="65" t="s">
        <v>99</v>
      </c>
      <c r="AT8" s="65" t="s">
        <v>100</v>
      </c>
      <c r="AU8" s="65" t="s">
        <v>101</v>
      </c>
      <c r="AV8" s="65" t="s">
        <v>102</v>
      </c>
      <c r="AW8" s="65" t="s">
        <v>103</v>
      </c>
      <c r="AX8" s="65" t="s">
        <v>104</v>
      </c>
      <c r="AY8" s="65" t="s">
        <v>105</v>
      </c>
      <c r="AZ8" s="65" t="s">
        <v>106</v>
      </c>
      <c r="BA8" s="65" t="s">
        <v>107</v>
      </c>
      <c r="BB8" s="65" t="s">
        <v>108</v>
      </c>
      <c r="BC8" s="65" t="s">
        <v>109</v>
      </c>
      <c r="BD8" s="65" t="s">
        <v>110</v>
      </c>
      <c r="BE8" s="65" t="s">
        <v>111</v>
      </c>
      <c r="BF8" s="65" t="s">
        <v>112</v>
      </c>
      <c r="BG8" s="65" t="s">
        <v>113</v>
      </c>
      <c r="BH8" s="65" t="s">
        <v>114</v>
      </c>
      <c r="BI8" s="65" t="s">
        <v>115</v>
      </c>
      <c r="BJ8" s="65" t="s">
        <v>116</v>
      </c>
      <c r="BK8" s="65" t="s">
        <v>117</v>
      </c>
      <c r="BL8" s="65" t="s">
        <v>118</v>
      </c>
      <c r="BM8" s="65" t="s">
        <v>119</v>
      </c>
      <c r="BN8" s="65" t="s">
        <v>120</v>
      </c>
      <c r="BO8" s="65" t="s">
        <v>121</v>
      </c>
      <c r="BP8" s="65" t="s">
        <v>122</v>
      </c>
      <c r="BQ8" s="65" t="s">
        <v>123</v>
      </c>
      <c r="BR8" s="65" t="s">
        <v>124</v>
      </c>
    </row>
    <row r="9" spans="1:70" s="2" customFormat="1" ht="12">
      <c r="A9" s="174"/>
      <c r="B9" s="174"/>
      <c r="C9" s="174"/>
      <c r="D9" s="170"/>
      <c r="E9" s="174"/>
      <c r="F9" s="174"/>
      <c r="G9" s="174"/>
      <c r="H9" s="176"/>
      <c r="I9" s="65" t="s">
        <v>125</v>
      </c>
      <c r="J9" s="65" t="s">
        <v>126</v>
      </c>
      <c r="K9" s="65" t="s">
        <v>127</v>
      </c>
      <c r="L9" s="65" t="s">
        <v>196</v>
      </c>
      <c r="M9" s="65" t="s">
        <v>197</v>
      </c>
      <c r="N9" s="65" t="s">
        <v>198</v>
      </c>
      <c r="O9" s="65" t="s">
        <v>199</v>
      </c>
      <c r="P9" s="65" t="s">
        <v>132</v>
      </c>
      <c r="Q9" s="65" t="s">
        <v>200</v>
      </c>
      <c r="R9" s="65" t="s">
        <v>201</v>
      </c>
      <c r="S9" s="65" t="s">
        <v>135</v>
      </c>
      <c r="T9" s="65" t="s">
        <v>136</v>
      </c>
      <c r="U9" s="65" t="s">
        <v>125</v>
      </c>
      <c r="V9" s="65" t="s">
        <v>126</v>
      </c>
      <c r="W9" s="65" t="s">
        <v>127</v>
      </c>
      <c r="X9" s="65" t="s">
        <v>196</v>
      </c>
      <c r="Y9" s="65" t="s">
        <v>197</v>
      </c>
      <c r="Z9" s="65" t="s">
        <v>198</v>
      </c>
      <c r="AA9" s="65" t="s">
        <v>199</v>
      </c>
      <c r="AB9" s="65" t="s">
        <v>132</v>
      </c>
      <c r="AC9" s="65" t="s">
        <v>200</v>
      </c>
      <c r="AD9" s="65" t="s">
        <v>201</v>
      </c>
      <c r="AE9" s="65" t="s">
        <v>135</v>
      </c>
      <c r="AF9" s="65" t="s">
        <v>136</v>
      </c>
      <c r="AG9" s="65" t="s">
        <v>125</v>
      </c>
      <c r="AH9" s="65" t="s">
        <v>126</v>
      </c>
      <c r="AI9" s="65" t="s">
        <v>127</v>
      </c>
      <c r="AJ9" s="65" t="s">
        <v>196</v>
      </c>
      <c r="AK9" s="65" t="s">
        <v>197</v>
      </c>
      <c r="AL9" s="65" t="s">
        <v>198</v>
      </c>
      <c r="AM9" s="65" t="s">
        <v>199</v>
      </c>
      <c r="AN9" s="176"/>
      <c r="AO9" s="65" t="s">
        <v>125</v>
      </c>
      <c r="AP9" s="65" t="s">
        <v>126</v>
      </c>
      <c r="AQ9" s="65" t="s">
        <v>127</v>
      </c>
      <c r="AR9" s="65" t="s">
        <v>196</v>
      </c>
      <c r="AS9" s="65" t="s">
        <v>197</v>
      </c>
      <c r="AT9" s="65" t="s">
        <v>198</v>
      </c>
      <c r="AU9" s="65" t="s">
        <v>199</v>
      </c>
      <c r="AV9" s="65" t="s">
        <v>132</v>
      </c>
      <c r="AW9" s="65" t="s">
        <v>200</v>
      </c>
      <c r="AX9" s="65" t="s">
        <v>201</v>
      </c>
      <c r="AY9" s="65" t="s">
        <v>135</v>
      </c>
      <c r="AZ9" s="65" t="s">
        <v>136</v>
      </c>
      <c r="BA9" s="65" t="s">
        <v>125</v>
      </c>
      <c r="BB9" s="65" t="s">
        <v>126</v>
      </c>
      <c r="BC9" s="65" t="s">
        <v>127</v>
      </c>
      <c r="BD9" s="65" t="s">
        <v>196</v>
      </c>
      <c r="BE9" s="65" t="s">
        <v>197</v>
      </c>
      <c r="BF9" s="65" t="s">
        <v>198</v>
      </c>
      <c r="BG9" s="65" t="s">
        <v>199</v>
      </c>
      <c r="BH9" s="65" t="s">
        <v>132</v>
      </c>
      <c r="BI9" s="65" t="s">
        <v>200</v>
      </c>
      <c r="BJ9" s="65" t="s">
        <v>201</v>
      </c>
      <c r="BK9" s="65" t="s">
        <v>135</v>
      </c>
      <c r="BL9" s="65" t="s">
        <v>136</v>
      </c>
      <c r="BM9" s="65" t="s">
        <v>125</v>
      </c>
      <c r="BN9" s="65" t="s">
        <v>126</v>
      </c>
      <c r="BO9" s="65" t="s">
        <v>127</v>
      </c>
      <c r="BP9" s="65" t="s">
        <v>196</v>
      </c>
      <c r="BQ9" s="65" t="s">
        <v>197</v>
      </c>
      <c r="BR9" s="65" t="s">
        <v>198</v>
      </c>
    </row>
    <row r="10" spans="1:70" ht="45" customHeight="1">
      <c r="A10" s="10" t="str">
        <f>+PROYECTO!$B$9</f>
        <v>Fortalecimiento de la innovación en las MiPymes a partir de los resultados de investigación de las IES del Departamento del Valle del Cauca</v>
      </c>
      <c r="B10" s="12" t="str">
        <f>'POA TÉCNICO'!B11</f>
        <v>Actividad 1.1.1</v>
      </c>
      <c r="C10" s="10" t="str">
        <f>'POA TÉCNICO'!C11</f>
        <v>1.1 .1 Realizar una Planeación detallada y Dirección - Gerencia del Proyecto</v>
      </c>
      <c r="D10" s="10">
        <v>1</v>
      </c>
      <c r="E10" s="10" t="str">
        <f>'POA TÉCNICO'!E11</f>
        <v>Realizar la revisión de los documentos construidos durante la formulación y cumplimiento de requisitos para aprobación de OCAD. Gestionar cronograma de actividades. Realizar la dirección y gerencia del proyecto, según la guía PMBoK del PMI. Entregar informes de avance mensual que evidencie el desarrollo de las actividades para el cumplimiento de los objetivos</v>
      </c>
      <c r="F10" s="121">
        <f>'POA TÉCNICO'!I11</f>
        <v>1</v>
      </c>
      <c r="G10" s="121">
        <f>'POA TÉCNICO'!J11</f>
        <v>30</v>
      </c>
      <c r="H10" s="133">
        <f>SUM(I10:AM10)</f>
        <v>140662862.29999998</v>
      </c>
      <c r="I10" s="72">
        <f>(3601534.66666667/30)*2</f>
        <v>240102.31111111131</v>
      </c>
      <c r="J10" s="72">
        <v>3601534.666666667</v>
      </c>
      <c r="K10" s="72">
        <v>22306029.666666668</v>
      </c>
      <c r="L10" s="72">
        <v>3601534.666666667</v>
      </c>
      <c r="M10" s="72">
        <v>3601534.666666667</v>
      </c>
      <c r="N10" s="72">
        <v>3601534.666666667</v>
      </c>
      <c r="O10" s="72">
        <v>3601534.666666667</v>
      </c>
      <c r="P10" s="72">
        <v>13601534.666666666</v>
      </c>
      <c r="Q10" s="72">
        <v>3601534.666666667</v>
      </c>
      <c r="R10" s="72">
        <v>3601534.666666667</v>
      </c>
      <c r="S10" s="72">
        <v>3601534.666666667</v>
      </c>
      <c r="T10" s="72">
        <v>3601534.666666667</v>
      </c>
      <c r="U10" s="72">
        <v>3769638.4229166666</v>
      </c>
      <c r="V10" s="72">
        <v>3769638.4229166666</v>
      </c>
      <c r="W10" s="72">
        <v>3769638.4229166666</v>
      </c>
      <c r="X10" s="72">
        <v>3769638.4229166666</v>
      </c>
      <c r="Y10" s="72">
        <v>3769638.4229166666</v>
      </c>
      <c r="Z10" s="122">
        <v>3769638.4229166666</v>
      </c>
      <c r="AA10" s="72">
        <v>3769638.4229166666</v>
      </c>
      <c r="AB10" s="72">
        <v>3769638.4229166666</v>
      </c>
      <c r="AC10" s="72">
        <v>3769638.4229166666</v>
      </c>
      <c r="AD10" s="72">
        <v>3769638.4229166666</v>
      </c>
      <c r="AE10" s="72">
        <v>3769638.4229166666</v>
      </c>
      <c r="AF10" s="72">
        <v>3769638.4229166666</v>
      </c>
      <c r="AG10" s="72">
        <v>3917381.7041666666</v>
      </c>
      <c r="AH10" s="72">
        <v>3917381.7041666666</v>
      </c>
      <c r="AI10" s="72">
        <v>3917381.7041666666</v>
      </c>
      <c r="AJ10" s="72">
        <v>3917381.7041666666</v>
      </c>
      <c r="AK10" s="72">
        <v>3917381.7041666666</v>
      </c>
      <c r="AL10" s="72">
        <v>3917381.7041666666</v>
      </c>
      <c r="AM10" s="72">
        <f>(3601534.66666667/30)*28</f>
        <v>3361432.3555555586</v>
      </c>
      <c r="AN10" s="60">
        <f>SUM(AO10:BR10)</f>
        <v>0</v>
      </c>
      <c r="AO10" s="66"/>
      <c r="AP10" s="66"/>
      <c r="AQ10" s="66"/>
      <c r="AR10" s="66"/>
      <c r="AS10" s="66"/>
      <c r="AT10" s="66"/>
      <c r="AU10" s="66"/>
      <c r="AV10" s="66"/>
      <c r="AW10" s="66"/>
      <c r="AX10" s="66"/>
      <c r="AY10" s="66"/>
      <c r="AZ10" s="66"/>
      <c r="BA10" s="66"/>
      <c r="BB10" s="66"/>
      <c r="BC10" s="66"/>
      <c r="BD10" s="66"/>
      <c r="BE10" s="66"/>
      <c r="BF10" s="66"/>
      <c r="BG10" s="66"/>
      <c r="BH10" s="66"/>
      <c r="BI10" s="66"/>
      <c r="BJ10" s="66"/>
      <c r="BK10" s="66"/>
      <c r="BL10" s="66"/>
      <c r="BM10" s="66"/>
      <c r="BN10" s="66"/>
      <c r="BO10" s="66"/>
      <c r="BP10" s="66"/>
      <c r="BQ10" s="66"/>
      <c r="BR10" s="66"/>
    </row>
    <row r="11" spans="1:70" ht="36.75" customHeight="1">
      <c r="A11" s="22" t="str">
        <f>+PROYECTO!$B$9</f>
        <v>Fortalecimiento de la innovación en las MiPymes a partir de los resultados de investigación de las IES del Departamento del Valle del Cauca</v>
      </c>
      <c r="B11" s="136" t="str">
        <f>'POA TÉCNICO'!B12</f>
        <v>Actividad 1.1.1</v>
      </c>
      <c r="C11" s="130" t="str">
        <f>'POA TÉCNICO'!C12</f>
        <v>1.1.1 Realizar Planeación estratégica REDDI</v>
      </c>
      <c r="D11" s="134">
        <v>1</v>
      </c>
      <c r="E11" s="130" t="str">
        <f>'POA TÉCNICO'!E12</f>
        <v>Articular con la entidad aliada el desarrollo de las actividades administrativas y de coordinación del desarrollo de las actividades que se realicen con la entidad en el marco del proyecto</v>
      </c>
      <c r="F11" s="140">
        <f>'POA TÉCNICO'!I12</f>
        <v>1</v>
      </c>
      <c r="G11" s="140">
        <f>'POA TÉCNICO'!J12</f>
        <v>30</v>
      </c>
      <c r="H11" s="133">
        <f t="shared" ref="H11:H34" si="0">SUM(I11:AM11)</f>
        <v>58509816.000000015</v>
      </c>
      <c r="I11" s="72">
        <f>(1841568/30)*2</f>
        <v>122771.2</v>
      </c>
      <c r="J11" s="72">
        <v>1841568</v>
      </c>
      <c r="K11" s="72">
        <v>1841568</v>
      </c>
      <c r="L11" s="72">
        <v>1841568</v>
      </c>
      <c r="M11" s="72">
        <v>1841568</v>
      </c>
      <c r="N11" s="72">
        <v>1841568</v>
      </c>
      <c r="O11" s="72">
        <v>1841568</v>
      </c>
      <c r="P11" s="72">
        <v>1841568</v>
      </c>
      <c r="Q11" s="72">
        <v>1841568</v>
      </c>
      <c r="R11" s="72">
        <v>1841568</v>
      </c>
      <c r="S11" s="72">
        <v>1841568</v>
      </c>
      <c r="T11" s="72">
        <v>1841568</v>
      </c>
      <c r="U11" s="72">
        <v>1983333.3333333333</v>
      </c>
      <c r="V11" s="72">
        <v>1983333.3333333333</v>
      </c>
      <c r="W11" s="72">
        <v>1983333.3333333333</v>
      </c>
      <c r="X11" s="72">
        <v>1983333.3333333333</v>
      </c>
      <c r="Y11" s="72">
        <v>1983333.3333333333</v>
      </c>
      <c r="Z11" s="122">
        <v>1983333.3333333333</v>
      </c>
      <c r="AA11" s="72">
        <v>1983333.3333333333</v>
      </c>
      <c r="AB11" s="72">
        <v>1983333.3333333333</v>
      </c>
      <c r="AC11" s="72">
        <v>1983333.3333333333</v>
      </c>
      <c r="AD11" s="72">
        <v>1983333.3333333333</v>
      </c>
      <c r="AE11" s="72">
        <v>1983333.3333333333</v>
      </c>
      <c r="AF11" s="72">
        <v>1983333.3333333333</v>
      </c>
      <c r="AG11" s="72">
        <v>2101833.3333333335</v>
      </c>
      <c r="AH11" s="72">
        <v>2101833.3333333335</v>
      </c>
      <c r="AI11" s="72">
        <v>2101833.3333333335</v>
      </c>
      <c r="AJ11" s="72">
        <v>2101833.3333333335</v>
      </c>
      <c r="AK11" s="72">
        <v>2101833.3333333335</v>
      </c>
      <c r="AL11" s="72">
        <v>2101833.3333333335</v>
      </c>
      <c r="AM11" s="72">
        <f>(1841568/30)*28</f>
        <v>1718796.8</v>
      </c>
      <c r="AN11" s="60">
        <f t="shared" ref="AN11:AN34" si="1">SUM(AO11:BR11)</f>
        <v>0</v>
      </c>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c r="BR11" s="67"/>
    </row>
    <row r="12" spans="1:70" ht="33" customHeight="1">
      <c r="A12" s="22" t="str">
        <f>+PROYECTO!$B$9</f>
        <v>Fortalecimiento de la innovación en las MiPymes a partir de los resultados de investigación de las IES del Departamento del Valle del Cauca</v>
      </c>
      <c r="B12" s="136" t="str">
        <f>'POA TÉCNICO'!B13</f>
        <v>Actividad 1.1.1</v>
      </c>
      <c r="C12" s="130" t="str">
        <f>'POA TÉCNICO'!C13</f>
        <v>1.1.1 Realizar Planeación estratégica con UNIVALLE</v>
      </c>
      <c r="D12" s="134">
        <v>1</v>
      </c>
      <c r="E12" s="130" t="str">
        <f>'POA TÉCNICO'!E13</f>
        <v>Articular con la entidad aliada el desarrollo de las actividades administrativas y de coordinación del desarrollo de las actividades que se realicen con la entidad en el marco del proyecto</v>
      </c>
      <c r="F12" s="140">
        <f>'POA TÉCNICO'!I13</f>
        <v>1</v>
      </c>
      <c r="G12" s="140">
        <f>'POA TÉCNICO'!J13</f>
        <v>30</v>
      </c>
      <c r="H12" s="152">
        <f t="shared" si="0"/>
        <v>59118556.137799993</v>
      </c>
      <c r="I12" s="123">
        <f>(1864387/30)*2</f>
        <v>124292.46666666666</v>
      </c>
      <c r="J12" s="123">
        <v>1864387</v>
      </c>
      <c r="K12" s="123">
        <v>1864387</v>
      </c>
      <c r="L12" s="123">
        <v>1864387</v>
      </c>
      <c r="M12" s="123">
        <v>1864387</v>
      </c>
      <c r="N12" s="123">
        <v>1864387</v>
      </c>
      <c r="O12" s="123">
        <v>1864387</v>
      </c>
      <c r="P12" s="123">
        <v>1864387</v>
      </c>
      <c r="Q12" s="123">
        <v>1864387</v>
      </c>
      <c r="R12" s="123">
        <v>1864387</v>
      </c>
      <c r="S12" s="123">
        <v>1864387</v>
      </c>
      <c r="T12" s="123">
        <v>1864350</v>
      </c>
      <c r="U12" s="123">
        <v>1994894.0899999999</v>
      </c>
      <c r="V12" s="123">
        <v>1994894.0899999999</v>
      </c>
      <c r="W12" s="123">
        <v>1994894.0899999999</v>
      </c>
      <c r="X12" s="123">
        <v>1994894.0899999999</v>
      </c>
      <c r="Y12" s="123">
        <v>1994894.0899999999</v>
      </c>
      <c r="Z12" s="124">
        <v>1994894.0899999999</v>
      </c>
      <c r="AA12" s="72">
        <v>1994894.0899999999</v>
      </c>
      <c r="AB12" s="72">
        <v>1994894.0899999999</v>
      </c>
      <c r="AC12" s="72">
        <v>1994894.0899999999</v>
      </c>
      <c r="AD12" s="72">
        <v>1994894.0899999999</v>
      </c>
      <c r="AE12" s="72">
        <v>1994894.0899999999</v>
      </c>
      <c r="AF12" s="72">
        <v>1994894.0899999999</v>
      </c>
      <c r="AG12" s="72">
        <v>2134536.6762999999</v>
      </c>
      <c r="AH12" s="72">
        <v>2134536.6762999999</v>
      </c>
      <c r="AI12" s="72">
        <v>2134536.6762999999</v>
      </c>
      <c r="AJ12" s="72">
        <v>2134536.6762999999</v>
      </c>
      <c r="AK12" s="72">
        <v>2134536.6762999999</v>
      </c>
      <c r="AL12" s="72">
        <v>2134536.6762999999</v>
      </c>
      <c r="AM12" s="123">
        <f>(1864387/30)*28</f>
        <v>1740094.5333333332</v>
      </c>
      <c r="AN12" s="60">
        <f t="shared" si="1"/>
        <v>0</v>
      </c>
      <c r="AO12" s="67"/>
      <c r="AP12" s="67"/>
      <c r="AQ12" s="67"/>
      <c r="AR12" s="67"/>
      <c r="AS12" s="67"/>
      <c r="AT12" s="67"/>
      <c r="AU12" s="67"/>
      <c r="AV12" s="67"/>
      <c r="AW12" s="67"/>
      <c r="AX12" s="67"/>
      <c r="AY12" s="67"/>
      <c r="AZ12" s="67"/>
      <c r="BA12" s="67"/>
      <c r="BB12" s="67"/>
      <c r="BC12" s="67"/>
      <c r="BD12" s="67"/>
      <c r="BE12" s="67"/>
      <c r="BF12" s="67"/>
      <c r="BG12" s="67"/>
      <c r="BH12" s="67"/>
      <c r="BI12" s="67"/>
      <c r="BJ12" s="67"/>
      <c r="BK12" s="67"/>
      <c r="BL12" s="67"/>
      <c r="BM12" s="67"/>
      <c r="BN12" s="67"/>
      <c r="BO12" s="67"/>
      <c r="BP12" s="67"/>
      <c r="BQ12" s="67"/>
      <c r="BR12" s="67"/>
    </row>
    <row r="13" spans="1:70" ht="33" customHeight="1">
      <c r="A13" s="22" t="str">
        <f>+PROYECTO!$B$9</f>
        <v>Fortalecimiento de la innovación en las MiPymes a partir de los resultados de investigación de las IES del Departamento del Valle del Cauca</v>
      </c>
      <c r="B13" s="136" t="str">
        <f>'POA TÉCNICO'!B14</f>
        <v>Actividad 1.1.1</v>
      </c>
      <c r="C13" s="130" t="str">
        <f>'POA TÉCNICO'!C14</f>
        <v>1.1.1 Realizar planeación estratégica con UAO</v>
      </c>
      <c r="D13" s="134">
        <v>1</v>
      </c>
      <c r="E13" s="130" t="str">
        <f>'POA TÉCNICO'!E14</f>
        <v>Articular con la entidad aliada el desarrollo de las actividades administrativas y de coordinación del desarrollo de las actividades que se realicen con la entidad en el marco del proyecto</v>
      </c>
      <c r="F13" s="140">
        <f>'POA TÉCNICO'!I14</f>
        <v>1</v>
      </c>
      <c r="G13" s="140">
        <f>'POA TÉCNICO'!J14</f>
        <v>30</v>
      </c>
      <c r="H13" s="133">
        <f t="shared" si="0"/>
        <v>46835144.000000007</v>
      </c>
      <c r="I13" s="123">
        <f>(1706955.66666667/30)*2</f>
        <v>113797.04444444466</v>
      </c>
      <c r="J13" s="123">
        <v>1706955.6666666667</v>
      </c>
      <c r="K13" s="123">
        <v>1706955.6666666667</v>
      </c>
      <c r="L13" s="123">
        <v>1706955.6666666667</v>
      </c>
      <c r="M13" s="123">
        <v>1706955.6666666667</v>
      </c>
      <c r="N13" s="123">
        <v>1706955.6666666667</v>
      </c>
      <c r="O13" s="123">
        <v>1706955.6666666667</v>
      </c>
      <c r="P13" s="123">
        <v>1706955.6666666667</v>
      </c>
      <c r="Q13" s="123">
        <v>1706955.6666666667</v>
      </c>
      <c r="R13" s="123">
        <v>1706955.6666666667</v>
      </c>
      <c r="S13" s="123">
        <v>1706955.6666666667</v>
      </c>
      <c r="T13" s="123">
        <v>1706955.6666666667</v>
      </c>
      <c r="U13" s="123">
        <v>1524735.3333333333</v>
      </c>
      <c r="V13" s="123">
        <v>1524735.3333333333</v>
      </c>
      <c r="W13" s="123">
        <v>1524735.3333333333</v>
      </c>
      <c r="X13" s="123">
        <v>1524735.3333333333</v>
      </c>
      <c r="Y13" s="123">
        <v>1524735.3333333333</v>
      </c>
      <c r="Z13" s="124">
        <v>1524735.3333333333</v>
      </c>
      <c r="AA13" s="72">
        <v>1524735.3333333333</v>
      </c>
      <c r="AB13" s="72">
        <v>1524735.3333333333</v>
      </c>
      <c r="AC13" s="72">
        <v>1524735.3333333333</v>
      </c>
      <c r="AD13" s="72">
        <v>1524735.3333333333</v>
      </c>
      <c r="AE13" s="72">
        <v>1524735.3333333333</v>
      </c>
      <c r="AF13" s="72">
        <v>1524735.3333333333</v>
      </c>
      <c r="AG13" s="72">
        <v>1342475.3333333333</v>
      </c>
      <c r="AH13" s="72">
        <v>1342475.3333333333</v>
      </c>
      <c r="AI13" s="72">
        <v>1342475.3333333333</v>
      </c>
      <c r="AJ13" s="72">
        <v>1342475.3333333333</v>
      </c>
      <c r="AK13" s="72">
        <v>1342475.3333333333</v>
      </c>
      <c r="AL13" s="72">
        <v>1342475.3333333333</v>
      </c>
      <c r="AM13" s="123">
        <f>(1706955.66666667/30)*28</f>
        <v>1593158.6222222252</v>
      </c>
      <c r="AN13" s="60">
        <f t="shared" si="1"/>
        <v>0</v>
      </c>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67"/>
      <c r="BN13" s="67"/>
      <c r="BO13" s="67"/>
      <c r="BP13" s="67"/>
      <c r="BQ13" s="67"/>
      <c r="BR13" s="67"/>
    </row>
    <row r="14" spans="1:70" ht="33" customHeight="1">
      <c r="A14" s="22" t="str">
        <f>+PROYECTO!$B$9</f>
        <v>Fortalecimiento de la innovación en las MiPymes a partir de los resultados de investigación de las IES del Departamento del Valle del Cauca</v>
      </c>
      <c r="B14" s="136" t="str">
        <f>'POA TÉCNICO'!B15</f>
        <v>Actividad 1.1.1</v>
      </c>
      <c r="C14" s="130" t="str">
        <f>'POA TÉCNICO'!C15</f>
        <v>1.1.1 Realizar planeación estratégica con PUJ Cali</v>
      </c>
      <c r="D14" s="134">
        <v>1</v>
      </c>
      <c r="E14" s="130" t="str">
        <f>'POA TÉCNICO'!E15</f>
        <v>Articular con la entidad aliada el desarrollo de las actividades administrativas y de coordinación del desarrollo de las actividades que se realicen con la entidad en el marco del proyecto</v>
      </c>
      <c r="F14" s="140">
        <f>'POA TÉCNICO'!I15</f>
        <v>1</v>
      </c>
      <c r="G14" s="140">
        <f>'POA TÉCNICO'!J15</f>
        <v>30</v>
      </c>
      <c r="H14" s="152">
        <f t="shared" si="0"/>
        <v>47056979.892000005</v>
      </c>
      <c r="I14" s="72">
        <f>(1703832.75/30)*2</f>
        <v>113588.85</v>
      </c>
      <c r="J14" s="72">
        <v>1703832.75</v>
      </c>
      <c r="K14" s="72">
        <v>1703832.75</v>
      </c>
      <c r="L14" s="72">
        <v>1703832.75</v>
      </c>
      <c r="M14" s="72">
        <v>1703832.75</v>
      </c>
      <c r="N14" s="72">
        <v>1703832.75</v>
      </c>
      <c r="O14" s="72">
        <v>1703832.75</v>
      </c>
      <c r="P14" s="72">
        <v>1703832.75</v>
      </c>
      <c r="Q14" s="72">
        <v>1703832.75</v>
      </c>
      <c r="R14" s="72">
        <v>1703832.75</v>
      </c>
      <c r="S14" s="72">
        <v>1703832.75</v>
      </c>
      <c r="T14" s="72">
        <v>1703832.75</v>
      </c>
      <c r="U14" s="123">
        <v>1731092.5273333334</v>
      </c>
      <c r="V14" s="123">
        <v>1731092.5273333334</v>
      </c>
      <c r="W14" s="123">
        <v>1731092.5273333334</v>
      </c>
      <c r="X14" s="123">
        <v>1731092.5273333334</v>
      </c>
      <c r="Y14" s="123">
        <v>1731092.5273333334</v>
      </c>
      <c r="Z14" s="124">
        <v>1731092.5273333334</v>
      </c>
      <c r="AA14" s="72">
        <v>1731092.5273333334</v>
      </c>
      <c r="AB14" s="72">
        <v>1731092.5273333334</v>
      </c>
      <c r="AC14" s="72">
        <v>1731092.5273333334</v>
      </c>
      <c r="AD14" s="72">
        <v>1731092.5273333334</v>
      </c>
      <c r="AE14" s="72">
        <v>1731092.5273333334</v>
      </c>
      <c r="AF14" s="72">
        <v>1731092.5273333334</v>
      </c>
      <c r="AG14" s="72">
        <v>972979.42733333341</v>
      </c>
      <c r="AH14" s="72">
        <v>972979.42733333341</v>
      </c>
      <c r="AI14" s="72">
        <v>972979.42733333341</v>
      </c>
      <c r="AJ14" s="72">
        <v>972979.42733333341</v>
      </c>
      <c r="AK14" s="72">
        <v>972979.42733333341</v>
      </c>
      <c r="AL14" s="72">
        <v>972979.42733333341</v>
      </c>
      <c r="AM14" s="72">
        <f>(1703832.75/30)*28</f>
        <v>1590243.9000000001</v>
      </c>
      <c r="AN14" s="60">
        <f t="shared" si="1"/>
        <v>0</v>
      </c>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67"/>
      <c r="BN14" s="67"/>
      <c r="BO14" s="67"/>
      <c r="BP14" s="67"/>
      <c r="BQ14" s="67"/>
      <c r="BR14" s="67"/>
    </row>
    <row r="15" spans="1:70" ht="33" customHeight="1">
      <c r="A15" s="21" t="str">
        <f>+PROYECTO!$B$9</f>
        <v>Fortalecimiento de la innovación en las MiPymes a partir de los resultados de investigación de las IES del Departamento del Valle del Cauca</v>
      </c>
      <c r="B15" s="136" t="str">
        <f>'POA TÉCNICO'!B16</f>
        <v>Actividad 1.1.1</v>
      </c>
      <c r="C15" s="130" t="str">
        <f>'POA TÉCNICO'!C16</f>
        <v>1.1.1 Realizar planeación estratégica Icesi</v>
      </c>
      <c r="D15" s="134">
        <v>1</v>
      </c>
      <c r="E15" s="130" t="str">
        <f>'POA TÉCNICO'!E16</f>
        <v>Articular con la entidad aliada el desarrollo de las actividades administrativas y de coordinación del desarrollo de las actividades que se realicen con la entidad en el marco del proyecto</v>
      </c>
      <c r="F15" s="140">
        <f>'POA TÉCNICO'!I16</f>
        <v>1</v>
      </c>
      <c r="G15" s="140">
        <f>'POA TÉCNICO'!J16</f>
        <v>30</v>
      </c>
      <c r="H15" s="133">
        <f t="shared" si="0"/>
        <v>255031680</v>
      </c>
      <c r="I15" s="123">
        <f>(8501056/30)*2</f>
        <v>566737.06666666665</v>
      </c>
      <c r="J15" s="123">
        <v>8501056</v>
      </c>
      <c r="K15" s="123">
        <v>8501056</v>
      </c>
      <c r="L15" s="123">
        <v>8501056</v>
      </c>
      <c r="M15" s="125">
        <v>8501056</v>
      </c>
      <c r="N15" s="123">
        <v>8501056</v>
      </c>
      <c r="O15" s="123">
        <v>8501056</v>
      </c>
      <c r="P15" s="123">
        <v>8501056</v>
      </c>
      <c r="Q15" s="123">
        <v>8501056</v>
      </c>
      <c r="R15" s="123">
        <v>8501056</v>
      </c>
      <c r="S15" s="123">
        <v>8501056</v>
      </c>
      <c r="T15" s="123">
        <v>8501056</v>
      </c>
      <c r="U15" s="123">
        <v>8501056</v>
      </c>
      <c r="V15" s="123">
        <v>8501056</v>
      </c>
      <c r="W15" s="123">
        <v>8501056</v>
      </c>
      <c r="X15" s="123">
        <v>8501056</v>
      </c>
      <c r="Y15" s="123">
        <v>8501056</v>
      </c>
      <c r="Z15" s="124">
        <v>8501056</v>
      </c>
      <c r="AA15" s="72">
        <v>8501056</v>
      </c>
      <c r="AB15" s="72">
        <v>8501056</v>
      </c>
      <c r="AC15" s="72">
        <v>8501056</v>
      </c>
      <c r="AD15" s="72">
        <v>8501056</v>
      </c>
      <c r="AE15" s="72">
        <v>8501056</v>
      </c>
      <c r="AF15" s="72">
        <v>8501056</v>
      </c>
      <c r="AG15" s="72">
        <v>8501056</v>
      </c>
      <c r="AH15" s="72">
        <v>8501056</v>
      </c>
      <c r="AI15" s="72">
        <v>8501056</v>
      </c>
      <c r="AJ15" s="72">
        <v>8501056</v>
      </c>
      <c r="AK15" s="72">
        <v>8501056</v>
      </c>
      <c r="AL15" s="72">
        <v>8501056</v>
      </c>
      <c r="AM15" s="123">
        <f>(8501056/30)*28</f>
        <v>7934318.9333333336</v>
      </c>
      <c r="AN15" s="60">
        <f t="shared" si="1"/>
        <v>0</v>
      </c>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row>
    <row r="16" spans="1:70" ht="33" customHeight="1">
      <c r="A16" s="22" t="str">
        <f>+PROYECTO!$B$9</f>
        <v>Fortalecimiento de la innovación en las MiPymes a partir de los resultados de investigación de las IES del Departamento del Valle del Cauca</v>
      </c>
      <c r="B16" s="136" t="str">
        <f>'POA TÉCNICO'!B17</f>
        <v>Actividad 1.1.1</v>
      </c>
      <c r="C16" s="130" t="str">
        <f>'POA TÉCNICO'!C17</f>
        <v>1.1.1 Realizar planeación estratégica con USB Cali</v>
      </c>
      <c r="D16" s="134">
        <v>1</v>
      </c>
      <c r="E16" s="130" t="str">
        <f>'POA TÉCNICO'!E17</f>
        <v>Articular con la entidad aliada el desarrollo de las actividades administrativas y de coordinación del desarrollo de las actividades que se realicen con la entidad en el marco del proyecto</v>
      </c>
      <c r="F16" s="140">
        <f>'POA TÉCNICO'!I17</f>
        <v>1</v>
      </c>
      <c r="G16" s="140">
        <f>'POA TÉCNICO'!J17</f>
        <v>30</v>
      </c>
      <c r="H16" s="133">
        <f t="shared" si="0"/>
        <v>45642656.000000007</v>
      </c>
      <c r="I16" s="72">
        <f>(1733888/30)*2</f>
        <v>115592.53333333334</v>
      </c>
      <c r="J16" s="72">
        <v>1733888</v>
      </c>
      <c r="K16" s="72">
        <v>1733888</v>
      </c>
      <c r="L16" s="72">
        <v>1733888</v>
      </c>
      <c r="M16" s="72">
        <v>1733888</v>
      </c>
      <c r="N16" s="72">
        <v>1733888</v>
      </c>
      <c r="O16" s="72">
        <v>1733888</v>
      </c>
      <c r="P16" s="72">
        <v>1733888</v>
      </c>
      <c r="Q16" s="72">
        <v>1733888</v>
      </c>
      <c r="R16" s="72">
        <v>1733888</v>
      </c>
      <c r="S16" s="72">
        <v>1733888</v>
      </c>
      <c r="T16" s="72">
        <v>1733888</v>
      </c>
      <c r="U16" s="72">
        <v>1484666.6666666667</v>
      </c>
      <c r="V16" s="72">
        <v>1484666.6666666667</v>
      </c>
      <c r="W16" s="72">
        <v>1484666.6666666667</v>
      </c>
      <c r="X16" s="72">
        <v>1484666.6666666667</v>
      </c>
      <c r="Y16" s="72">
        <v>1484666.6666666667</v>
      </c>
      <c r="Z16" s="122">
        <v>1484666.6666666667</v>
      </c>
      <c r="AA16" s="72">
        <v>1484666.6666666667</v>
      </c>
      <c r="AB16" s="72">
        <v>1484666.6666666667</v>
      </c>
      <c r="AC16" s="72">
        <v>1484666.6666666667</v>
      </c>
      <c r="AD16" s="72">
        <v>1484666.6666666667</v>
      </c>
      <c r="AE16" s="72">
        <v>1484666.6666666667</v>
      </c>
      <c r="AF16" s="72">
        <v>1484666.6666666667</v>
      </c>
      <c r="AG16" s="72">
        <v>1170000</v>
      </c>
      <c r="AH16" s="72">
        <v>1170000</v>
      </c>
      <c r="AI16" s="72">
        <v>1170000</v>
      </c>
      <c r="AJ16" s="72">
        <v>1170000</v>
      </c>
      <c r="AK16" s="72">
        <v>1170000</v>
      </c>
      <c r="AL16" s="72">
        <v>1170000</v>
      </c>
      <c r="AM16" s="72">
        <f>(1733888/30)*28</f>
        <v>1618295.4666666668</v>
      </c>
      <c r="AN16" s="60">
        <f t="shared" si="1"/>
        <v>0</v>
      </c>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row>
    <row r="17" spans="1:70" ht="33" customHeight="1">
      <c r="A17" s="21" t="str">
        <f>+PROYECTO!$B$9</f>
        <v>Fortalecimiento de la innovación en las MiPymes a partir de los resultados de investigación de las IES del Departamento del Valle del Cauca</v>
      </c>
      <c r="B17" s="136" t="str">
        <f>'POA TÉCNICO'!B18</f>
        <v>Actividad 1.1.1</v>
      </c>
      <c r="C17" s="130" t="str">
        <f>'POA TÉCNICO'!C18</f>
        <v>1.1.1 Realizar planeación estratégica FUNDAUTONOMA</v>
      </c>
      <c r="D17" s="134">
        <v>1</v>
      </c>
      <c r="E17" s="130" t="str">
        <f>'POA TÉCNICO'!E18</f>
        <v>Articular con la entidad aliada el desarrollo de las actividades administrativas y de coordinación del desarrollo de las actividades que se realicen con la entidad en el marco del proyecto</v>
      </c>
      <c r="F17" s="140">
        <f>'POA TÉCNICO'!I18</f>
        <v>1</v>
      </c>
      <c r="G17" s="140">
        <f>'POA TÉCNICO'!J18</f>
        <v>30</v>
      </c>
      <c r="H17" s="133">
        <f t="shared" si="0"/>
        <v>31290729.999999989</v>
      </c>
      <c r="I17" s="123">
        <f>((31290730/30)/30)*2</f>
        <v>69534.955555555556</v>
      </c>
      <c r="J17" s="123">
        <f t="shared" ref="J17:AL17" si="2">31290730/30</f>
        <v>1043024.3333333334</v>
      </c>
      <c r="K17" s="123">
        <f t="shared" si="2"/>
        <v>1043024.3333333334</v>
      </c>
      <c r="L17" s="123">
        <f t="shared" si="2"/>
        <v>1043024.3333333334</v>
      </c>
      <c r="M17" s="123">
        <f t="shared" si="2"/>
        <v>1043024.3333333334</v>
      </c>
      <c r="N17" s="123">
        <f t="shared" si="2"/>
        <v>1043024.3333333334</v>
      </c>
      <c r="O17" s="123">
        <f t="shared" si="2"/>
        <v>1043024.3333333334</v>
      </c>
      <c r="P17" s="123">
        <f t="shared" si="2"/>
        <v>1043024.3333333334</v>
      </c>
      <c r="Q17" s="123">
        <f t="shared" si="2"/>
        <v>1043024.3333333334</v>
      </c>
      <c r="R17" s="123">
        <f t="shared" si="2"/>
        <v>1043024.3333333334</v>
      </c>
      <c r="S17" s="123">
        <f t="shared" si="2"/>
        <v>1043024.3333333334</v>
      </c>
      <c r="T17" s="123">
        <f t="shared" si="2"/>
        <v>1043024.3333333334</v>
      </c>
      <c r="U17" s="123">
        <f t="shared" si="2"/>
        <v>1043024.3333333334</v>
      </c>
      <c r="V17" s="123">
        <f t="shared" si="2"/>
        <v>1043024.3333333334</v>
      </c>
      <c r="W17" s="123">
        <f t="shared" si="2"/>
        <v>1043024.3333333334</v>
      </c>
      <c r="X17" s="123">
        <f t="shared" si="2"/>
        <v>1043024.3333333334</v>
      </c>
      <c r="Y17" s="123">
        <f t="shared" si="2"/>
        <v>1043024.3333333334</v>
      </c>
      <c r="Z17" s="123">
        <f t="shared" si="2"/>
        <v>1043024.3333333334</v>
      </c>
      <c r="AA17" s="123">
        <f t="shared" si="2"/>
        <v>1043024.3333333334</v>
      </c>
      <c r="AB17" s="123">
        <f t="shared" si="2"/>
        <v>1043024.3333333334</v>
      </c>
      <c r="AC17" s="123">
        <f t="shared" si="2"/>
        <v>1043024.3333333334</v>
      </c>
      <c r="AD17" s="123">
        <f t="shared" si="2"/>
        <v>1043024.3333333334</v>
      </c>
      <c r="AE17" s="123">
        <f t="shared" si="2"/>
        <v>1043024.3333333334</v>
      </c>
      <c r="AF17" s="123">
        <f t="shared" si="2"/>
        <v>1043024.3333333334</v>
      </c>
      <c r="AG17" s="123">
        <f t="shared" si="2"/>
        <v>1043024.3333333334</v>
      </c>
      <c r="AH17" s="123">
        <f t="shared" si="2"/>
        <v>1043024.3333333334</v>
      </c>
      <c r="AI17" s="123">
        <f t="shared" si="2"/>
        <v>1043024.3333333334</v>
      </c>
      <c r="AJ17" s="123">
        <f t="shared" si="2"/>
        <v>1043024.3333333334</v>
      </c>
      <c r="AK17" s="123">
        <f t="shared" si="2"/>
        <v>1043024.3333333334</v>
      </c>
      <c r="AL17" s="123">
        <f t="shared" si="2"/>
        <v>1043024.3333333334</v>
      </c>
      <c r="AM17" s="123">
        <f>((31290730/30)/30)*28</f>
        <v>973489.37777777785</v>
      </c>
      <c r="AN17" s="60">
        <f t="shared" si="1"/>
        <v>0</v>
      </c>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row>
    <row r="18" spans="1:70" ht="33" customHeight="1">
      <c r="A18" s="22" t="str">
        <f>+PROYECTO!$B$9</f>
        <v>Fortalecimiento de la innovación en las MiPymes a partir de los resultados de investigación de las IES del Departamento del Valle del Cauca</v>
      </c>
      <c r="B18" s="12" t="str">
        <f>'POA TÉCNICO'!B19</f>
        <v>Actividad 1.1.2</v>
      </c>
      <c r="C18" s="10" t="str">
        <f>'POA TÉCNICO'!C19</f>
        <v>1.1.2 Realizar el diagnóstico de las IES de tercera misión</v>
      </c>
      <c r="D18" s="22">
        <v>1</v>
      </c>
      <c r="E18" s="10" t="str">
        <f>'POA TÉCNICO'!E19</f>
        <v>Ejecutar el servicio de diagnóstico y sensibilización de la tercera misión en las IES. Caracterización de grupos de investigación de las IES aliadas, a partir de fuentes primarias y secundarias. Identificación de la oferta científico-tecnológica pertinente a las MiPymes</v>
      </c>
      <c r="F18" s="121">
        <f>'POA TÉCNICO'!I19</f>
        <v>1</v>
      </c>
      <c r="G18" s="121">
        <f>'POA TÉCNICO'!J19</f>
        <v>10</v>
      </c>
      <c r="H18" s="133">
        <f t="shared" si="0"/>
        <v>149443932.30000001</v>
      </c>
      <c r="I18" s="123">
        <f>((69443932.3/10)/30)*2</f>
        <v>462959.54866666661</v>
      </c>
      <c r="J18" s="123">
        <f>69443932.3/10</f>
        <v>6944393.2299999995</v>
      </c>
      <c r="K18" s="123">
        <f>(69443932.3/10)+80000000</f>
        <v>86944393.230000004</v>
      </c>
      <c r="L18" s="123">
        <f>69443932.3/10</f>
        <v>6944393.2299999995</v>
      </c>
      <c r="M18" s="123">
        <f t="shared" ref="M18:R18" si="3">69443932.3/10</f>
        <v>6944393.2299999995</v>
      </c>
      <c r="N18" s="123">
        <f t="shared" si="3"/>
        <v>6944393.2299999995</v>
      </c>
      <c r="O18" s="123">
        <f t="shared" si="3"/>
        <v>6944393.2299999995</v>
      </c>
      <c r="P18" s="123">
        <f t="shared" si="3"/>
        <v>6944393.2299999995</v>
      </c>
      <c r="Q18" s="123">
        <f t="shared" si="3"/>
        <v>6944393.2299999995</v>
      </c>
      <c r="R18" s="123">
        <f>(69443932.3/10)+((69443932.3/10)/30)*28</f>
        <v>13425826.911333332</v>
      </c>
      <c r="S18" s="123"/>
      <c r="T18" s="123"/>
      <c r="U18" s="123"/>
      <c r="V18" s="123"/>
      <c r="W18" s="123"/>
      <c r="X18" s="123"/>
      <c r="Y18" s="123"/>
      <c r="Z18" s="124"/>
      <c r="AA18" s="72"/>
      <c r="AB18" s="72"/>
      <c r="AC18" s="72"/>
      <c r="AD18" s="72"/>
      <c r="AE18" s="72"/>
      <c r="AF18" s="72"/>
      <c r="AG18" s="72"/>
      <c r="AH18" s="72"/>
      <c r="AI18" s="72"/>
      <c r="AJ18" s="72"/>
      <c r="AK18" s="72"/>
      <c r="AL18" s="72"/>
      <c r="AM18" s="123"/>
      <c r="AN18" s="60">
        <f t="shared" si="1"/>
        <v>0</v>
      </c>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row>
    <row r="19" spans="1:70" ht="33" customHeight="1">
      <c r="A19" s="22" t="str">
        <f>+PROYECTO!$B$9</f>
        <v>Fortalecimiento de la innovación en las MiPymes a partir de los resultados de investigación de las IES del Departamento del Valle del Cauca</v>
      </c>
      <c r="B19" s="12" t="str">
        <f>'POA TÉCNICO'!B20</f>
        <v>Actividad 1.1.3</v>
      </c>
      <c r="C19" s="10" t="str">
        <f>'POA TÉCNICO'!C20</f>
        <v>1.1.3 Sensibilizar a la comunidad universitaria sobre la tercera misión de las IES</v>
      </c>
      <c r="D19" s="22">
        <v>1</v>
      </c>
      <c r="E19" s="10" t="str">
        <f>'POA TÉCNICO'!E20</f>
        <v>Ejecutar el servicio de diagnóstico y sensibilización de la tercera misión en las IES. Realizar espacios de socialización/talleres sobre tercera misión de las IES</v>
      </c>
      <c r="F19" s="121">
        <f>'POA TÉCNICO'!I20</f>
        <v>4</v>
      </c>
      <c r="G19" s="121">
        <f>'POA TÉCNICO'!J20</f>
        <v>10</v>
      </c>
      <c r="H19" s="133">
        <f t="shared" si="0"/>
        <v>149443932.30000001</v>
      </c>
      <c r="I19" s="123"/>
      <c r="J19" s="123"/>
      <c r="K19" s="123"/>
      <c r="L19" s="123">
        <f>(69443932.3/7)+80000000</f>
        <v>89920561.757142857</v>
      </c>
      <c r="M19" s="123">
        <f>69443932.3/7</f>
        <v>9920561.7571428567</v>
      </c>
      <c r="N19" s="123">
        <f t="shared" ref="N19:R19" si="4">69443932.3/7</f>
        <v>9920561.7571428567</v>
      </c>
      <c r="O19" s="123">
        <f t="shared" si="4"/>
        <v>9920561.7571428567</v>
      </c>
      <c r="P19" s="123">
        <f t="shared" si="4"/>
        <v>9920561.7571428567</v>
      </c>
      <c r="Q19" s="123">
        <f t="shared" si="4"/>
        <v>9920561.7571428567</v>
      </c>
      <c r="R19" s="123">
        <f t="shared" si="4"/>
        <v>9920561.7571428567</v>
      </c>
      <c r="S19" s="123"/>
      <c r="T19" s="123"/>
      <c r="U19" s="123"/>
      <c r="V19" s="123"/>
      <c r="W19" s="123"/>
      <c r="X19" s="123"/>
      <c r="Y19" s="123"/>
      <c r="Z19" s="124"/>
      <c r="AA19" s="72"/>
      <c r="AB19" s="72"/>
      <c r="AC19" s="72"/>
      <c r="AD19" s="72"/>
      <c r="AE19" s="72"/>
      <c r="AF19" s="72"/>
      <c r="AG19" s="72"/>
      <c r="AH19" s="72"/>
      <c r="AI19" s="72"/>
      <c r="AJ19" s="72"/>
      <c r="AK19" s="72"/>
      <c r="AL19" s="72"/>
      <c r="AM19" s="123"/>
      <c r="AN19" s="60">
        <f t="shared" si="1"/>
        <v>0</v>
      </c>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row>
    <row r="20" spans="1:70" ht="33" customHeight="1">
      <c r="A20" s="10" t="str">
        <f>+PROYECTO!$B$9</f>
        <v>Fortalecimiento de la innovación en las MiPymes a partir de los resultados de investigación de las IES del Departamento del Valle del Cauca</v>
      </c>
      <c r="B20" s="12" t="str">
        <f>'POA TÉCNICO'!B21</f>
        <v xml:space="preserve">Actividad 1.1.4 </v>
      </c>
      <c r="C20" s="10" t="str">
        <f>'POA TÉCNICO'!C21</f>
        <v>1.1.4 Construir propuestas normativas internas y de procesos organizacionales en las IES para brindar soporte a la interacción Universidad - Empresa. Acompañar el proceso de aprobación</v>
      </c>
      <c r="D20" s="22">
        <v>1</v>
      </c>
      <c r="E20" s="10" t="str">
        <f>'POA TÉCNICO'!E21</f>
        <v>Ejecutar el servicio de diagnóstico y propuestas normativas de la tercera misión en IES. Identificar el estado actual de las IES aliadas en cuanto a procesos, procedimientos, normatividad de las IES que soporte la interacción Universidad-Empresa. Establecer propuesta normativa de la tercera misión en cada IES</v>
      </c>
      <c r="F20" s="121">
        <f>'POA TÉCNICO'!I21</f>
        <v>2</v>
      </c>
      <c r="G20" s="121">
        <f>'POA TÉCNICO'!J21</f>
        <v>13</v>
      </c>
      <c r="H20" s="133">
        <f t="shared" si="0"/>
        <v>232861137.80000007</v>
      </c>
      <c r="I20" s="123"/>
      <c r="J20" s="123">
        <f>32861137.8/12</f>
        <v>2738428.15</v>
      </c>
      <c r="K20" s="123">
        <f>(32861137.8/12)+(80000000)</f>
        <v>82738428.150000006</v>
      </c>
      <c r="L20" s="123">
        <f t="shared" ref="L20:O20" si="5">32861137.8/12</f>
        <v>2738428.15</v>
      </c>
      <c r="M20" s="123">
        <f t="shared" si="5"/>
        <v>2738428.15</v>
      </c>
      <c r="N20" s="123">
        <f t="shared" si="5"/>
        <v>2738428.15</v>
      </c>
      <c r="O20" s="123">
        <f t="shared" si="5"/>
        <v>2738428.15</v>
      </c>
      <c r="P20" s="123">
        <f>(32861137.8/12)+(80000000)</f>
        <v>82738428.150000006</v>
      </c>
      <c r="Q20" s="123">
        <f t="shared" ref="Q20:T20" si="6">32861137.8/12</f>
        <v>2738428.15</v>
      </c>
      <c r="R20" s="123">
        <f t="shared" si="6"/>
        <v>2738428.15</v>
      </c>
      <c r="S20" s="123">
        <f t="shared" si="6"/>
        <v>2738428.15</v>
      </c>
      <c r="T20" s="123">
        <f t="shared" si="6"/>
        <v>2738428.15</v>
      </c>
      <c r="U20" s="123">
        <f>(32861137.8/12)+40000000</f>
        <v>42738428.149999999</v>
      </c>
      <c r="V20" s="123"/>
      <c r="W20" s="123"/>
      <c r="X20" s="123"/>
      <c r="Y20" s="123"/>
      <c r="Z20" s="123"/>
      <c r="AA20" s="72"/>
      <c r="AB20" s="72"/>
      <c r="AC20" s="72"/>
      <c r="AD20" s="72"/>
      <c r="AE20" s="72"/>
      <c r="AF20" s="72"/>
      <c r="AG20" s="72"/>
      <c r="AH20" s="72"/>
      <c r="AI20" s="72"/>
      <c r="AJ20" s="72"/>
      <c r="AK20" s="72"/>
      <c r="AL20" s="72"/>
      <c r="AM20" s="123"/>
      <c r="AN20" s="60">
        <f t="shared" si="1"/>
        <v>0</v>
      </c>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row>
    <row r="21" spans="1:70" ht="33" customHeight="1">
      <c r="A21" s="22" t="str">
        <f>+PROYECTO!$B$9</f>
        <v>Fortalecimiento de la innovación en las MiPymes a partir de los resultados de investigación de las IES del Departamento del Valle del Cauca</v>
      </c>
      <c r="B21" s="12" t="str">
        <f>'POA TÉCNICO'!B22</f>
        <v xml:space="preserve">Actividad 1.1.5 </v>
      </c>
      <c r="C21" s="10" t="str">
        <f>'POA TÉCNICO'!C22</f>
        <v>1.1.5 Acompañar la implementación de la nueva normatividad y procesos organizacionales aprobados por las universidades en la relación con las Mipymes beneficiarias</v>
      </c>
      <c r="D21" s="22">
        <v>1</v>
      </c>
      <c r="E21" s="10" t="str">
        <f>'POA TÉCNICO'!E22</f>
        <v>Validar los informes periódicos entregados por el proveedor del servicio de diagnóstico y normativas de la tercera misión en IES. Planear agenda de acompañamiento en cada MiPymes. Realizar y documentar acompañamiento</v>
      </c>
      <c r="F21" s="121">
        <f>'POA TÉCNICO'!I22</f>
        <v>11</v>
      </c>
      <c r="G21" s="121">
        <f>'POA TÉCNICO'!J22</f>
        <v>16</v>
      </c>
      <c r="H21" s="133">
        <f t="shared" si="0"/>
        <v>189443932.30000001</v>
      </c>
      <c r="I21" s="123"/>
      <c r="J21" s="123"/>
      <c r="K21" s="123"/>
      <c r="L21" s="123"/>
      <c r="M21" s="123"/>
      <c r="N21" s="123"/>
      <c r="O21" s="123"/>
      <c r="P21" s="123"/>
      <c r="Q21" s="123"/>
      <c r="R21" s="123"/>
      <c r="S21" s="123">
        <f>(69443932.3/6)+80000000</f>
        <v>91573988.716666669</v>
      </c>
      <c r="T21" s="123">
        <f>69443932.3/6</f>
        <v>11573988.716666667</v>
      </c>
      <c r="U21" s="123">
        <f>(69443932.3/6)+40000000</f>
        <v>51573988.716666669</v>
      </c>
      <c r="V21" s="123">
        <f>69443932.3/6</f>
        <v>11573988.716666667</v>
      </c>
      <c r="W21" s="123">
        <f>69443932.3/6</f>
        <v>11573988.716666667</v>
      </c>
      <c r="X21" s="123">
        <f>(69443932.3/6)</f>
        <v>11573988.716666667</v>
      </c>
      <c r="Y21" s="123"/>
      <c r="Z21" s="123"/>
      <c r="AA21" s="72"/>
      <c r="AB21" s="72"/>
      <c r="AC21" s="72"/>
      <c r="AD21" s="72"/>
      <c r="AE21" s="72"/>
      <c r="AF21" s="72"/>
      <c r="AG21" s="72"/>
      <c r="AH21" s="72"/>
      <c r="AI21" s="72"/>
      <c r="AJ21" s="72"/>
      <c r="AK21" s="72"/>
      <c r="AL21" s="72"/>
      <c r="AM21" s="123"/>
      <c r="AN21" s="60">
        <f t="shared" si="1"/>
        <v>0</v>
      </c>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row>
    <row r="22" spans="1:70" ht="33" customHeight="1">
      <c r="A22" s="22" t="str">
        <f>+PROYECTO!$B$9</f>
        <v>Fortalecimiento de la innovación en las MiPymes a partir de los resultados de investigación de las IES del Departamento del Valle del Cauca</v>
      </c>
      <c r="B22" s="12" t="str">
        <f>'POA TÉCNICO'!B23</f>
        <v>Actividad 2.1.1</v>
      </c>
      <c r="C22" s="10" t="str">
        <f>'POA TÉCNICO'!C23</f>
        <v>2.1.1 Identificar la demanda por servicios de innovación de las empresas beneficiarias</v>
      </c>
      <c r="D22" s="22">
        <v>1</v>
      </c>
      <c r="E22" s="10" t="str">
        <f>'POA TÉCNICO'!E23</f>
        <v>Realizar revisión de la literatura que apoye la identificación de demendas por servicios de innovación empresarial. Identificar necesidades, oportunidades y retos de innovación de las MiPymes</v>
      </c>
      <c r="F22" s="121">
        <f>'POA TÉCNICO'!I23</f>
        <v>1</v>
      </c>
      <c r="G22" s="121">
        <f>'POA TÉCNICO'!J23</f>
        <v>7</v>
      </c>
      <c r="H22" s="133">
        <f t="shared" si="0"/>
        <v>148437736.90000001</v>
      </c>
      <c r="I22" s="72">
        <f>((148437736.9/7)/30)*2</f>
        <v>1413692.7323809525</v>
      </c>
      <c r="J22" s="72">
        <f t="shared" ref="J22:O22" si="7">148437736.9/7</f>
        <v>21205390.985714287</v>
      </c>
      <c r="K22" s="72">
        <f t="shared" si="7"/>
        <v>21205390.985714287</v>
      </c>
      <c r="L22" s="72">
        <f t="shared" si="7"/>
        <v>21205390.985714287</v>
      </c>
      <c r="M22" s="72">
        <f t="shared" si="7"/>
        <v>21205390.985714287</v>
      </c>
      <c r="N22" s="72">
        <f t="shared" si="7"/>
        <v>21205390.985714287</v>
      </c>
      <c r="O22" s="72">
        <f>(148437736.9/7)+((148437736.9/7)/30)*28</f>
        <v>40997089.239047617</v>
      </c>
      <c r="P22" s="72"/>
      <c r="Q22" s="72"/>
      <c r="R22" s="72"/>
      <c r="S22" s="72"/>
      <c r="T22" s="72"/>
      <c r="U22" s="72"/>
      <c r="V22" s="72"/>
      <c r="W22" s="72"/>
      <c r="X22" s="72"/>
      <c r="Y22" s="72"/>
      <c r="Z22" s="122"/>
      <c r="AA22" s="72"/>
      <c r="AB22" s="72"/>
      <c r="AC22" s="72"/>
      <c r="AD22" s="72"/>
      <c r="AE22" s="72"/>
      <c r="AF22" s="72"/>
      <c r="AG22" s="72"/>
      <c r="AH22" s="72"/>
      <c r="AI22" s="72"/>
      <c r="AJ22" s="72"/>
      <c r="AK22" s="72"/>
      <c r="AL22" s="72"/>
      <c r="AM22" s="72"/>
      <c r="AN22" s="60">
        <f t="shared" si="1"/>
        <v>0</v>
      </c>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row>
    <row r="23" spans="1:70" ht="33" customHeight="1">
      <c r="A23" s="22" t="str">
        <f>+PROYECTO!$B$9</f>
        <v>Fortalecimiento de la innovación en las MiPymes a partir de los resultados de investigación de las IES del Departamento del Valle del Cauca</v>
      </c>
      <c r="B23" s="12" t="str">
        <f>'POA TÉCNICO'!B24</f>
        <v>Actividad 2.1 .2</v>
      </c>
      <c r="C23" s="10" t="str">
        <f>'POA TÉCNICO'!C24</f>
        <v>2.1.2 Estructurar la oferta de servicios, conocimientos y tecnologías de las IES orientada a la innovación a las empresas</v>
      </c>
      <c r="D23" s="22">
        <v>1</v>
      </c>
      <c r="E23" s="10" t="str">
        <f>'POA TÉCNICO'!E24</f>
        <v>Estructurar la oferta de servicios, conocimientos y tecnologías de las IES orientada a la innovación en las empresas (Empaquetamiento)</v>
      </c>
      <c r="F23" s="121">
        <f>'POA TÉCNICO'!I24</f>
        <v>6</v>
      </c>
      <c r="G23" s="121">
        <f>'POA TÉCNICO'!J24</f>
        <v>26</v>
      </c>
      <c r="H23" s="152">
        <f t="shared" si="0"/>
        <v>140081634.73333299</v>
      </c>
      <c r="I23" s="72"/>
      <c r="J23" s="72"/>
      <c r="K23" s="72"/>
      <c r="L23" s="72"/>
      <c r="M23" s="72"/>
      <c r="N23" s="72">
        <f>140081634.733333/21</f>
        <v>6670554.0349206189</v>
      </c>
      <c r="O23" s="72">
        <f t="shared" ref="O23:AH23" si="8">140081634.733333/21</f>
        <v>6670554.0349206189</v>
      </c>
      <c r="P23" s="72">
        <f t="shared" si="8"/>
        <v>6670554.0349206189</v>
      </c>
      <c r="Q23" s="72">
        <f t="shared" si="8"/>
        <v>6670554.0349206189</v>
      </c>
      <c r="R23" s="72">
        <f t="shared" si="8"/>
        <v>6670554.0349206189</v>
      </c>
      <c r="S23" s="72">
        <f t="shared" si="8"/>
        <v>6670554.0349206189</v>
      </c>
      <c r="T23" s="72">
        <f t="shared" si="8"/>
        <v>6670554.0349206189</v>
      </c>
      <c r="U23" s="72">
        <f t="shared" si="8"/>
        <v>6670554.0349206189</v>
      </c>
      <c r="V23" s="72">
        <f t="shared" si="8"/>
        <v>6670554.0349206189</v>
      </c>
      <c r="W23" s="72">
        <f t="shared" si="8"/>
        <v>6670554.0349206189</v>
      </c>
      <c r="X23" s="72">
        <f t="shared" si="8"/>
        <v>6670554.0349206189</v>
      </c>
      <c r="Y23" s="72">
        <f t="shared" si="8"/>
        <v>6670554.0349206189</v>
      </c>
      <c r="Z23" s="72">
        <f t="shared" si="8"/>
        <v>6670554.0349206189</v>
      </c>
      <c r="AA23" s="72">
        <f t="shared" si="8"/>
        <v>6670554.0349206189</v>
      </c>
      <c r="AB23" s="72">
        <f t="shared" si="8"/>
        <v>6670554.0349206189</v>
      </c>
      <c r="AC23" s="72">
        <f t="shared" si="8"/>
        <v>6670554.0349206189</v>
      </c>
      <c r="AD23" s="72">
        <f t="shared" si="8"/>
        <v>6670554.0349206189</v>
      </c>
      <c r="AE23" s="72">
        <f t="shared" si="8"/>
        <v>6670554.0349206189</v>
      </c>
      <c r="AF23" s="72">
        <f t="shared" si="8"/>
        <v>6670554.0349206189</v>
      </c>
      <c r="AG23" s="72">
        <f t="shared" si="8"/>
        <v>6670554.0349206189</v>
      </c>
      <c r="AH23" s="72">
        <f t="shared" si="8"/>
        <v>6670554.0349206189</v>
      </c>
      <c r="AI23" s="72"/>
      <c r="AJ23" s="72"/>
      <c r="AK23" s="72"/>
      <c r="AL23" s="72"/>
      <c r="AM23" s="72"/>
      <c r="AN23" s="60">
        <f t="shared" si="1"/>
        <v>0</v>
      </c>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c r="BN23" s="67"/>
      <c r="BO23" s="67"/>
      <c r="BP23" s="67"/>
      <c r="BQ23" s="67"/>
      <c r="BR23" s="67"/>
    </row>
    <row r="24" spans="1:70" ht="33" customHeight="1">
      <c r="A24" s="22" t="str">
        <f>+PROYECTO!$B$9</f>
        <v>Fortalecimiento de la innovación en las MiPymes a partir de los resultados de investigación de las IES del Departamento del Valle del Cauca</v>
      </c>
      <c r="B24" s="12" t="str">
        <f>'POA TÉCNICO'!B25</f>
        <v xml:space="preserve">Actividad 2.1.3 </v>
      </c>
      <c r="C24" s="10" t="str">
        <f>'POA TÉCNICO'!C25</f>
        <v>2.1.3 Divulgar y gestionar los resultados de investigación de las IES en las empresas</v>
      </c>
      <c r="D24" s="22">
        <v>1</v>
      </c>
      <c r="E24" s="10" t="str">
        <f>'POA TÉCNICO'!E25</f>
        <v>Realizar reuniones con las empresas beneficiarias, visibilizar la oferta de servicios de innovación de las IES a las empresas beneficiarias y demás actores de interés. Alimentar y actualizar el contenido de la plataforma web con el portafolio de servicios de innovación de las IES</v>
      </c>
      <c r="F24" s="121">
        <f>'POA TÉCNICO'!I25</f>
        <v>9</v>
      </c>
      <c r="G24" s="121">
        <f>'POA TÉCNICO'!J25</f>
        <v>30</v>
      </c>
      <c r="H24" s="152">
        <f t="shared" si="0"/>
        <v>220314978.23333305</v>
      </c>
      <c r="I24" s="72"/>
      <c r="J24" s="72"/>
      <c r="K24" s="72"/>
      <c r="L24" s="72"/>
      <c r="M24" s="72"/>
      <c r="N24" s="72"/>
      <c r="O24" s="72"/>
      <c r="P24" s="72"/>
      <c r="Q24" s="72">
        <f>220314978.233333/22</f>
        <v>10014317.192424227</v>
      </c>
      <c r="R24" s="72">
        <f t="shared" ref="R24:AL24" si="9">220314978.233333/22</f>
        <v>10014317.192424227</v>
      </c>
      <c r="S24" s="72">
        <f t="shared" si="9"/>
        <v>10014317.192424227</v>
      </c>
      <c r="T24" s="72">
        <f t="shared" si="9"/>
        <v>10014317.192424227</v>
      </c>
      <c r="U24" s="72">
        <f t="shared" si="9"/>
        <v>10014317.192424227</v>
      </c>
      <c r="V24" s="72">
        <f t="shared" si="9"/>
        <v>10014317.192424227</v>
      </c>
      <c r="W24" s="72">
        <f t="shared" si="9"/>
        <v>10014317.192424227</v>
      </c>
      <c r="X24" s="72">
        <f t="shared" si="9"/>
        <v>10014317.192424227</v>
      </c>
      <c r="Y24" s="72">
        <f t="shared" si="9"/>
        <v>10014317.192424227</v>
      </c>
      <c r="Z24" s="72">
        <f t="shared" si="9"/>
        <v>10014317.192424227</v>
      </c>
      <c r="AA24" s="72">
        <f t="shared" si="9"/>
        <v>10014317.192424227</v>
      </c>
      <c r="AB24" s="72">
        <f t="shared" si="9"/>
        <v>10014317.192424227</v>
      </c>
      <c r="AC24" s="72">
        <f t="shared" si="9"/>
        <v>10014317.192424227</v>
      </c>
      <c r="AD24" s="72">
        <f t="shared" si="9"/>
        <v>10014317.192424227</v>
      </c>
      <c r="AE24" s="72">
        <f t="shared" si="9"/>
        <v>10014317.192424227</v>
      </c>
      <c r="AF24" s="72">
        <f t="shared" si="9"/>
        <v>10014317.192424227</v>
      </c>
      <c r="AG24" s="72">
        <f t="shared" si="9"/>
        <v>10014317.192424227</v>
      </c>
      <c r="AH24" s="72">
        <f t="shared" si="9"/>
        <v>10014317.192424227</v>
      </c>
      <c r="AI24" s="72">
        <f t="shared" si="9"/>
        <v>10014317.192424227</v>
      </c>
      <c r="AJ24" s="72">
        <f t="shared" si="9"/>
        <v>10014317.192424227</v>
      </c>
      <c r="AK24" s="72">
        <f t="shared" si="9"/>
        <v>10014317.192424227</v>
      </c>
      <c r="AL24" s="72">
        <f t="shared" si="9"/>
        <v>10014317.192424227</v>
      </c>
      <c r="AM24" s="72"/>
      <c r="AN24" s="60">
        <f t="shared" si="1"/>
        <v>0</v>
      </c>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row>
    <row r="25" spans="1:70" ht="33" customHeight="1">
      <c r="A25" s="22" t="str">
        <f>+PROYECTO!$B$9</f>
        <v>Fortalecimiento de la innovación en las MiPymes a partir de los resultados de investigación de las IES del Departamento del Valle del Cauca</v>
      </c>
      <c r="B25" s="12" t="str">
        <f>'POA TÉCNICO'!B26</f>
        <v>Actividad 2.1 .4</v>
      </c>
      <c r="C25" s="10" t="str">
        <f>'POA TÉCNICO'!C26</f>
        <v>2.1.4 Desarrollar la maduración de conocimientos y tecnologías de las IES. Convocatoria y desarrollo de los proyectos ganadores: al menos 10 proyectos</v>
      </c>
      <c r="D25" s="22">
        <v>1</v>
      </c>
      <c r="E25" s="10" t="str">
        <f>'POA TÉCNICO'!E26</f>
        <v>Realizar convocatoria para maduración de conocimientos y tecnologías de las IES, evaluar y seleccionar las propuestas. Madurar conocimientos y tecnologías de los 10 proyectos seleccionados</v>
      </c>
      <c r="F25" s="121">
        <f>'POA TÉCNICO'!I26</f>
        <v>5</v>
      </c>
      <c r="G25" s="121">
        <f>'POA TÉCNICO'!J26</f>
        <v>28</v>
      </c>
      <c r="H25" s="133">
        <f t="shared" si="0"/>
        <v>555505491.40000021</v>
      </c>
      <c r="I25" s="72"/>
      <c r="J25" s="72"/>
      <c r="K25" s="72"/>
      <c r="L25" s="72"/>
      <c r="M25" s="72">
        <f>(155505491.4/24)</f>
        <v>6479395.4750000006</v>
      </c>
      <c r="N25" s="72">
        <f t="shared" ref="N25:AJ25" si="10">(155505491.4/24)</f>
        <v>6479395.4750000006</v>
      </c>
      <c r="O25" s="72">
        <f t="shared" si="10"/>
        <v>6479395.4750000006</v>
      </c>
      <c r="P25" s="72">
        <f t="shared" si="10"/>
        <v>6479395.4750000006</v>
      </c>
      <c r="Q25" s="72">
        <f t="shared" si="10"/>
        <v>6479395.4750000006</v>
      </c>
      <c r="R25" s="72">
        <f t="shared" si="10"/>
        <v>6479395.4750000006</v>
      </c>
      <c r="S25" s="72">
        <f>(155505491.4/24)+200000000</f>
        <v>206479395.47499999</v>
      </c>
      <c r="T25" s="72">
        <f t="shared" si="10"/>
        <v>6479395.4750000006</v>
      </c>
      <c r="U25" s="72">
        <f t="shared" si="10"/>
        <v>6479395.4750000006</v>
      </c>
      <c r="V25" s="72">
        <f t="shared" si="10"/>
        <v>6479395.4750000006</v>
      </c>
      <c r="W25" s="72">
        <f t="shared" si="10"/>
        <v>6479395.4750000006</v>
      </c>
      <c r="X25" s="72">
        <f t="shared" si="10"/>
        <v>6479395.4750000006</v>
      </c>
      <c r="Y25" s="72">
        <f t="shared" si="10"/>
        <v>6479395.4750000006</v>
      </c>
      <c r="Z25" s="72">
        <f>(155505491.4/24)+200000000</f>
        <v>206479395.47499999</v>
      </c>
      <c r="AA25" s="72">
        <f t="shared" si="10"/>
        <v>6479395.4750000006</v>
      </c>
      <c r="AB25" s="72">
        <f t="shared" si="10"/>
        <v>6479395.4750000006</v>
      </c>
      <c r="AC25" s="72">
        <f t="shared" si="10"/>
        <v>6479395.4750000006</v>
      </c>
      <c r="AD25" s="72">
        <f t="shared" si="10"/>
        <v>6479395.4750000006</v>
      </c>
      <c r="AE25" s="72">
        <f t="shared" si="10"/>
        <v>6479395.4750000006</v>
      </c>
      <c r="AF25" s="72">
        <f t="shared" si="10"/>
        <v>6479395.4750000006</v>
      </c>
      <c r="AG25" s="72">
        <f t="shared" si="10"/>
        <v>6479395.4750000006</v>
      </c>
      <c r="AH25" s="72">
        <f t="shared" si="10"/>
        <v>6479395.4750000006</v>
      </c>
      <c r="AI25" s="72">
        <f t="shared" si="10"/>
        <v>6479395.4750000006</v>
      </c>
      <c r="AJ25" s="72">
        <f t="shared" si="10"/>
        <v>6479395.4750000006</v>
      </c>
      <c r="AK25" s="72"/>
      <c r="AL25" s="72"/>
      <c r="AM25" s="72"/>
      <c r="AN25" s="60">
        <f t="shared" si="1"/>
        <v>0</v>
      </c>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row>
    <row r="26" spans="1:70" ht="33" customHeight="1">
      <c r="A26" s="22" t="str">
        <f>+PROYECTO!$B$9</f>
        <v>Fortalecimiento de la innovación en las MiPymes a partir de los resultados de investigación de las IES del Departamento del Valle del Cauca</v>
      </c>
      <c r="B26" s="12" t="str">
        <f>'POA TÉCNICO'!B27</f>
        <v>Actividad 2.1.5</v>
      </c>
      <c r="C26" s="10" t="str">
        <f>'POA TÉCNICO'!C27</f>
        <v>2.1.5 Crear e implementar los espacios de interacción U-E-E buscando fortalecer la productividad empresarial</v>
      </c>
      <c r="D26" s="22">
        <v>1</v>
      </c>
      <c r="E26" s="10" t="str">
        <f>'POA TÉCNICO'!E27</f>
        <v>Identificar actores clave U-E-E en el proyecto. Desarrollar eventos periódicos de interacción U-E-E, para fortalecer la conexión de oferta y demanda en CTeI. Desarrollar espacios de interacción con apoyo de jóvenes de bae comunitaria</v>
      </c>
      <c r="F26" s="121">
        <f>'POA TÉCNICO'!I27</f>
        <v>1</v>
      </c>
      <c r="G26" s="121">
        <f>'POA TÉCNICO'!J27</f>
        <v>30</v>
      </c>
      <c r="H26" s="152">
        <f t="shared" si="0"/>
        <v>226664429.23333332</v>
      </c>
      <c r="I26" s="72">
        <f>(2184868/30)*2</f>
        <v>145657.86666666667</v>
      </c>
      <c r="J26" s="72">
        <v>2184868</v>
      </c>
      <c r="K26" s="72">
        <v>3132580</v>
      </c>
      <c r="L26" s="72">
        <v>3132580</v>
      </c>
      <c r="M26" s="72">
        <v>20975716</v>
      </c>
      <c r="N26" s="72">
        <v>5975716</v>
      </c>
      <c r="O26" s="72">
        <v>5975716</v>
      </c>
      <c r="P26" s="72">
        <v>5975716</v>
      </c>
      <c r="Q26" s="72">
        <v>5975716</v>
      </c>
      <c r="R26" s="72">
        <v>5975716</v>
      </c>
      <c r="S26" s="72">
        <v>5975716</v>
      </c>
      <c r="T26" s="72">
        <v>5975716</v>
      </c>
      <c r="U26" s="72">
        <v>31435487.628472224</v>
      </c>
      <c r="V26" s="72">
        <v>6435487.628472222</v>
      </c>
      <c r="W26" s="72">
        <v>6435487.628472222</v>
      </c>
      <c r="X26" s="72">
        <v>6435487.628472222</v>
      </c>
      <c r="Y26" s="72">
        <v>6435487.628472222</v>
      </c>
      <c r="Z26" s="72">
        <v>6435487.628472222</v>
      </c>
      <c r="AA26" s="72">
        <v>6435487.628472222</v>
      </c>
      <c r="AB26" s="72">
        <v>6435487.628472222</v>
      </c>
      <c r="AC26" s="72">
        <v>6435487.628472222</v>
      </c>
      <c r="AD26" s="72">
        <v>6435487.628472222</v>
      </c>
      <c r="AE26" s="72">
        <v>6435487.628472222</v>
      </c>
      <c r="AF26" s="72">
        <v>6435487.628472222</v>
      </c>
      <c r="AG26" s="72">
        <v>16832992.281944446</v>
      </c>
      <c r="AH26" s="72">
        <v>6832992.2819444444</v>
      </c>
      <c r="AI26" s="72">
        <v>6832992.2819444444</v>
      </c>
      <c r="AJ26" s="72">
        <v>6832992.2819444444</v>
      </c>
      <c r="AK26" s="72">
        <v>6832992.2819444444</v>
      </c>
      <c r="AL26" s="72">
        <v>6832992.2819444444</v>
      </c>
      <c r="AM26" s="72">
        <f>(2184868/30)*28</f>
        <v>2039210.1333333333</v>
      </c>
      <c r="AN26" s="60">
        <f t="shared" si="1"/>
        <v>0</v>
      </c>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row>
    <row r="27" spans="1:70" ht="33" customHeight="1">
      <c r="A27" s="22" t="str">
        <f>+PROYECTO!$B$9</f>
        <v>Fortalecimiento de la innovación en las MiPymes a partir de los resultados de investigación de las IES del Departamento del Valle del Cauca</v>
      </c>
      <c r="B27" s="12" t="str">
        <f>'POA TÉCNICO'!B28</f>
        <v>Actividad 3.1.1</v>
      </c>
      <c r="C27" s="10" t="str">
        <f>'POA TÉCNICO'!C28</f>
        <v>3.1.1  Realizar interacción inicial con las MiPymes beneficiarias de la convocatoria</v>
      </c>
      <c r="D27" s="22">
        <v>1</v>
      </c>
      <c r="E27" s="10" t="str">
        <f>'POA TÉCNICO'!E28</f>
        <v>Gestionar la participación y caracterizar las 20 MiPymes beneficiarias. Apoyar la gestión de espacios y formulación de proyectos IES-MiPymes (20) que se presentarán en convocatoria de maduración</v>
      </c>
      <c r="F27" s="121">
        <f>'POA TÉCNICO'!I28</f>
        <v>1</v>
      </c>
      <c r="G27" s="121">
        <f>'POA TÉCNICO'!J28</f>
        <v>11</v>
      </c>
      <c r="H27" s="133">
        <f t="shared" si="0"/>
        <v>139273214.00000003</v>
      </c>
      <c r="I27" s="72">
        <f>(((188020241/11)/30)*2)-I28</f>
        <v>844080.08484848496</v>
      </c>
      <c r="J27" s="72">
        <f t="shared" ref="I27:S27" si="11">(188020241/11)-J28</f>
        <v>12661201.272727273</v>
      </c>
      <c r="K27" s="72">
        <f t="shared" si="11"/>
        <v>12661201.272727273</v>
      </c>
      <c r="L27" s="72">
        <f t="shared" si="11"/>
        <v>12661201.272727273</v>
      </c>
      <c r="M27" s="72">
        <f t="shared" si="11"/>
        <v>12661201.272727273</v>
      </c>
      <c r="N27" s="72">
        <f t="shared" si="11"/>
        <v>12661201.272727273</v>
      </c>
      <c r="O27" s="72">
        <f t="shared" si="11"/>
        <v>12661201.272727273</v>
      </c>
      <c r="P27" s="72">
        <f t="shared" si="11"/>
        <v>12661201.272727273</v>
      </c>
      <c r="Q27" s="72">
        <f t="shared" si="11"/>
        <v>12661201.272727273</v>
      </c>
      <c r="R27" s="72">
        <f t="shared" si="11"/>
        <v>12661201.272727273</v>
      </c>
      <c r="S27" s="72">
        <f>((188020241/11)-S28)+(((188020241/11)/30)*28)</f>
        <v>24478322.460606065</v>
      </c>
      <c r="T27" s="72"/>
      <c r="U27" s="72"/>
      <c r="V27" s="72"/>
      <c r="W27" s="72"/>
      <c r="X27" s="72"/>
      <c r="Y27" s="72"/>
      <c r="Z27" s="72"/>
      <c r="AA27" s="72"/>
      <c r="AB27" s="72"/>
      <c r="AC27" s="72"/>
      <c r="AD27" s="72"/>
      <c r="AE27" s="72"/>
      <c r="AF27" s="72"/>
      <c r="AG27" s="72"/>
      <c r="AH27" s="72"/>
      <c r="AI27" s="72"/>
      <c r="AJ27" s="72"/>
      <c r="AK27" s="72"/>
      <c r="AL27" s="72"/>
      <c r="AM27" s="72"/>
      <c r="AN27" s="60">
        <f t="shared" si="1"/>
        <v>0</v>
      </c>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row>
    <row r="28" spans="1:70" ht="33" customHeight="1">
      <c r="A28" s="22"/>
      <c r="B28" s="136" t="s">
        <v>172</v>
      </c>
      <c r="C28" s="130" t="s">
        <v>237</v>
      </c>
      <c r="D28" s="134">
        <v>1</v>
      </c>
      <c r="E28" s="130" t="s">
        <v>235</v>
      </c>
      <c r="F28" s="140">
        <v>1</v>
      </c>
      <c r="G28" s="140">
        <v>11</v>
      </c>
      <c r="H28" s="133">
        <f t="shared" si="0"/>
        <v>48747027</v>
      </c>
      <c r="I28" s="72">
        <f>((48747027/11)/30)*2</f>
        <v>295436.52727272728</v>
      </c>
      <c r="J28" s="72">
        <f t="shared" ref="I28:S28" si="12">48747027/11</f>
        <v>4431547.9090909092</v>
      </c>
      <c r="K28" s="72">
        <f t="shared" si="12"/>
        <v>4431547.9090909092</v>
      </c>
      <c r="L28" s="72">
        <f t="shared" si="12"/>
        <v>4431547.9090909092</v>
      </c>
      <c r="M28" s="72">
        <f t="shared" si="12"/>
        <v>4431547.9090909092</v>
      </c>
      <c r="N28" s="72">
        <f t="shared" si="12"/>
        <v>4431547.9090909092</v>
      </c>
      <c r="O28" s="72">
        <f t="shared" si="12"/>
        <v>4431547.9090909092</v>
      </c>
      <c r="P28" s="72">
        <f t="shared" si="12"/>
        <v>4431547.9090909092</v>
      </c>
      <c r="Q28" s="72">
        <f t="shared" si="12"/>
        <v>4431547.9090909092</v>
      </c>
      <c r="R28" s="72">
        <f t="shared" si="12"/>
        <v>4431547.9090909092</v>
      </c>
      <c r="S28" s="72">
        <f>(48747027/11)+((48747027/11)/30)*28</f>
        <v>8567659.290909091</v>
      </c>
      <c r="T28" s="72"/>
      <c r="U28" s="72"/>
      <c r="V28" s="72"/>
      <c r="W28" s="72"/>
      <c r="X28" s="72"/>
      <c r="Y28" s="72"/>
      <c r="Z28" s="72"/>
      <c r="AA28" s="72"/>
      <c r="AB28" s="72"/>
      <c r="AC28" s="72"/>
      <c r="AD28" s="72"/>
      <c r="AE28" s="72"/>
      <c r="AF28" s="72"/>
      <c r="AG28" s="72"/>
      <c r="AH28" s="72"/>
      <c r="AI28" s="72"/>
      <c r="AJ28" s="72"/>
      <c r="AK28" s="72"/>
      <c r="AL28" s="72"/>
      <c r="AM28" s="72"/>
      <c r="AN28" s="60"/>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row>
    <row r="29" spans="1:70" ht="42.75" customHeight="1">
      <c r="A29" s="22" t="str">
        <f>+PROYECTO!$B$9</f>
        <v>Fortalecimiento de la innovación en las MiPymes a partir de los resultados de investigación de las IES del Departamento del Valle del Cauca</v>
      </c>
      <c r="B29" s="12" t="str">
        <f>'POA TÉCNICO'!B30</f>
        <v>Actividad 3.1.2</v>
      </c>
      <c r="C29" s="10" t="str">
        <f>'POA TÉCNICO'!C30</f>
        <v>3.1.2 Realizar los procesos de Intervención en Mipymes de los sectores priorizados del departamento</v>
      </c>
      <c r="D29" s="22">
        <v>1</v>
      </c>
      <c r="E29" s="10" t="str">
        <f>'POA TÉCNICO'!E30</f>
        <v>Generar 20 productos y/o servicios innovadores nuevos o mejorados de las MiPymes beneficiarias. Ejecutar los servicios tecnológicos: 1) apoyo a procesos de innovación entre empresarios e IES, 2) Formulación de 10 proyectos de CTeI en las MiPymes para acceder a beneficios tributarios, 3) Estructuración de 10 modelos de negocio, 4) Estudios de Vigilancia Tecnológica</v>
      </c>
      <c r="F29" s="121">
        <f>'POA TÉCNICO'!I30</f>
        <v>2</v>
      </c>
      <c r="G29" s="121">
        <f>'POA TÉCNICO'!J30</f>
        <v>28</v>
      </c>
      <c r="H29" s="133">
        <f t="shared" si="0"/>
        <v>1528079577.5000002</v>
      </c>
      <c r="I29" s="72"/>
      <c r="J29" s="72">
        <f>(102690419.5/27)</f>
        <v>3803348.8703703703</v>
      </c>
      <c r="K29" s="72">
        <f>(102690419.5/27)+49251011.5</f>
        <v>53054360.370370373</v>
      </c>
      <c r="L29" s="72">
        <f t="shared" ref="L29:Q29" si="13">(102690419.5/27)</f>
        <v>3803348.8703703703</v>
      </c>
      <c r="M29" s="72">
        <f t="shared" si="13"/>
        <v>3803348.8703703703</v>
      </c>
      <c r="N29" s="72">
        <f t="shared" si="13"/>
        <v>3803348.8703703703</v>
      </c>
      <c r="O29" s="72">
        <f t="shared" si="13"/>
        <v>3803348.8703703703</v>
      </c>
      <c r="P29" s="72">
        <f>(102690419.5/27)+49251011.5</f>
        <v>53054360.370370373</v>
      </c>
      <c r="Q29" s="72">
        <f t="shared" si="13"/>
        <v>3803348.8703703703</v>
      </c>
      <c r="R29" s="72">
        <f>(102690419.5/27)+252907952</f>
        <v>256711300.87037036</v>
      </c>
      <c r="S29" s="72">
        <f>(102690419.5/27)+90000000</f>
        <v>93803348.870370373</v>
      </c>
      <c r="T29" s="72">
        <f>(102690419.5/27)+90000000</f>
        <v>93803348.870370373</v>
      </c>
      <c r="U29" s="72">
        <f>(102690419.5/27)+126453976</f>
        <v>130257324.87037037</v>
      </c>
      <c r="V29" s="72">
        <f t="shared" ref="V29" si="14">(102690419.5/27)</f>
        <v>3803348.8703703703</v>
      </c>
      <c r="W29" s="72">
        <f>(102690419.5/27)+60000000</f>
        <v>63803348.870370373</v>
      </c>
      <c r="X29" s="72">
        <f>(102690419.5/27)+126453976</f>
        <v>130257324.87037037</v>
      </c>
      <c r="Y29" s="72">
        <f>(102690419.5/27)+108000000</f>
        <v>111803348.87037037</v>
      </c>
      <c r="Z29" s="72">
        <f t="shared" ref="Z29:AA29" si="15">(102690419.5/27)</f>
        <v>3803348.8703703703</v>
      </c>
      <c r="AA29" s="72">
        <f t="shared" si="15"/>
        <v>3803348.8703703703</v>
      </c>
      <c r="AB29" s="72">
        <f>(102690419.5/27)+60000000</f>
        <v>63803348.870370373</v>
      </c>
      <c r="AC29" s="72">
        <f t="shared" ref="AC29:AJ29" si="16">(102690419.5/27)</f>
        <v>3803348.8703703703</v>
      </c>
      <c r="AD29" s="72">
        <f t="shared" si="16"/>
        <v>3803348.8703703703</v>
      </c>
      <c r="AE29" s="72">
        <f t="shared" si="16"/>
        <v>3803348.8703703703</v>
      </c>
      <c r="AF29" s="72">
        <f t="shared" si="16"/>
        <v>3803348.8703703703</v>
      </c>
      <c r="AG29" s="72">
        <f>(102690419.5/27)+383071231</f>
        <v>386874579.87037039</v>
      </c>
      <c r="AH29" s="72">
        <f t="shared" si="16"/>
        <v>3803348.8703703703</v>
      </c>
      <c r="AI29" s="72">
        <f>(102690419.5/27)+30000000</f>
        <v>33803348.870370373</v>
      </c>
      <c r="AJ29" s="72">
        <f t="shared" si="16"/>
        <v>3803348.8703703703</v>
      </c>
      <c r="AK29" s="72"/>
      <c r="AL29" s="72"/>
      <c r="AM29" s="72"/>
      <c r="AN29" s="60">
        <f t="shared" si="1"/>
        <v>0</v>
      </c>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row>
    <row r="30" spans="1:70" ht="33" customHeight="1">
      <c r="A30" s="22" t="str">
        <f>+PROYECTO!$B$9</f>
        <v>Fortalecimiento de la innovación en las MiPymes a partir de los resultados de investigación de las IES del Departamento del Valle del Cauca</v>
      </c>
      <c r="B30" s="12" t="str">
        <f>'POA TÉCNICO'!B31</f>
        <v>Actividad 3.1.3</v>
      </c>
      <c r="C30" s="10" t="str">
        <f>'POA TÉCNICO'!C31</f>
        <v>3.1.3 Realizar las actividades de administración del proyecto</v>
      </c>
      <c r="D30" s="22">
        <v>1</v>
      </c>
      <c r="E30" s="10" t="str">
        <f>'POA TÉCNICO'!E31</f>
        <v>Gestionar los componentes administrativos, financieros y jurídicos del proyecto</v>
      </c>
      <c r="F30" s="121">
        <f>'POA TÉCNICO'!I31</f>
        <v>1</v>
      </c>
      <c r="G30" s="121">
        <f>'POA TÉCNICO'!J31</f>
        <v>30</v>
      </c>
      <c r="H30" s="133">
        <f t="shared" si="0"/>
        <v>876182472.74709606</v>
      </c>
      <c r="I30" s="72">
        <f>(((34343257.7)/30)*2)-I31-I32-I33</f>
        <v>1956927.0133333337</v>
      </c>
      <c r="J30" s="72">
        <f t="shared" ref="J30:T30" si="17">31969112.5-J31-J32-J33</f>
        <v>26979760</v>
      </c>
      <c r="K30" s="72">
        <f t="shared" si="17"/>
        <v>26979760</v>
      </c>
      <c r="L30" s="72">
        <f t="shared" si="17"/>
        <v>26979760</v>
      </c>
      <c r="M30" s="72">
        <f t="shared" si="17"/>
        <v>26979760</v>
      </c>
      <c r="N30" s="72">
        <f t="shared" si="17"/>
        <v>26979760</v>
      </c>
      <c r="O30" s="72">
        <f t="shared" si="17"/>
        <v>26979760</v>
      </c>
      <c r="P30" s="72">
        <f t="shared" si="17"/>
        <v>26979760</v>
      </c>
      <c r="Q30" s="72">
        <f t="shared" si="17"/>
        <v>26979760</v>
      </c>
      <c r="R30" s="72">
        <f t="shared" si="17"/>
        <v>26979760</v>
      </c>
      <c r="S30" s="72">
        <f t="shared" si="17"/>
        <v>26979760</v>
      </c>
      <c r="T30" s="72">
        <f t="shared" si="17"/>
        <v>26979760</v>
      </c>
      <c r="U30" s="72">
        <f>36244458.75-U31-U32-U33</f>
        <v>31109272.916666668</v>
      </c>
      <c r="V30" s="72">
        <f t="shared" ref="V30:AF30" si="18">33870313.55-V31-V32-V33</f>
        <v>28735127.716666661</v>
      </c>
      <c r="W30" s="72">
        <f t="shared" si="18"/>
        <v>28735127.716666661</v>
      </c>
      <c r="X30" s="72">
        <f t="shared" si="18"/>
        <v>28735127.716666661</v>
      </c>
      <c r="Y30" s="72">
        <f t="shared" si="18"/>
        <v>28735127.716666661</v>
      </c>
      <c r="Z30" s="72">
        <f t="shared" si="18"/>
        <v>28735127.716666661</v>
      </c>
      <c r="AA30" s="72">
        <f t="shared" si="18"/>
        <v>28735127.716666661</v>
      </c>
      <c r="AB30" s="72">
        <f t="shared" si="18"/>
        <v>28735127.716666661</v>
      </c>
      <c r="AC30" s="72">
        <f t="shared" si="18"/>
        <v>28735127.716666661</v>
      </c>
      <c r="AD30" s="72">
        <f t="shared" si="18"/>
        <v>28735127.716666661</v>
      </c>
      <c r="AE30" s="72">
        <f t="shared" si="18"/>
        <v>28735127.716666661</v>
      </c>
      <c r="AF30" s="72">
        <f t="shared" si="18"/>
        <v>26213492.049999993</v>
      </c>
      <c r="AG30" s="72">
        <f>37592222.124516-AG31-AG32-AG33</f>
        <v>34798480.457849331</v>
      </c>
      <c r="AH30" s="72">
        <f>36405151.524516-AH31-AH32-AH33</f>
        <v>33611409.85784933</v>
      </c>
      <c r="AI30" s="72">
        <f>36405151.524516-AI31-AI32-AI33</f>
        <v>33611409.85784933</v>
      </c>
      <c r="AJ30" s="72">
        <f>36405151.524516-AJ31-AJ32-AJ33</f>
        <v>33611409.85784933</v>
      </c>
      <c r="AK30" s="72">
        <f>36405151.524516-AK31-AK32-AK33</f>
        <v>33611409.85784933</v>
      </c>
      <c r="AL30" s="72">
        <f>36405151.524516-AL31-AL32-AL33</f>
        <v>33611409.85784933</v>
      </c>
      <c r="AM30" s="72">
        <f>(((34343257.7)/30)*28)-AM31-AM32-AM33</f>
        <v>29918613.853333339</v>
      </c>
      <c r="AN30" s="60">
        <f t="shared" si="1"/>
        <v>0</v>
      </c>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row>
    <row r="31" spans="1:70" ht="33" customHeight="1">
      <c r="A31" s="22"/>
      <c r="B31" s="136" t="str">
        <f>'POA TÉCNICO'!B31</f>
        <v>Actividad 3.1.3</v>
      </c>
      <c r="C31" s="130" t="str">
        <f>'POA TÉCNICO'!C32</f>
        <v>3.1.3 Realizar las actividades de administración del proyecto - UNIVALLE</v>
      </c>
      <c r="D31" s="134">
        <v>1</v>
      </c>
      <c r="E31" s="130" t="str">
        <f>'POA TÉCNICO'!E31</f>
        <v>Gestionar los componentes administrativos, financieros y jurídicos del proyecto</v>
      </c>
      <c r="F31" s="140">
        <f>'POA TÉCNICO'!I32</f>
        <v>1</v>
      </c>
      <c r="G31" s="140">
        <f>'POA TÉCNICO'!J32</f>
        <v>30</v>
      </c>
      <c r="H31" s="133">
        <f t="shared" si="0"/>
        <v>66061250</v>
      </c>
      <c r="I31" s="72">
        <f>((25000000/12)/30)*2</f>
        <v>138888.88888888888</v>
      </c>
      <c r="J31" s="72">
        <f>'[3]0.8 Administrativos'!$G$21/12</f>
        <v>2083333.3333333333</v>
      </c>
      <c r="K31" s="72">
        <f>'[3]0.8 Administrativos'!$G$21/12</f>
        <v>2083333.3333333333</v>
      </c>
      <c r="L31" s="72">
        <f>'[3]0.8 Administrativos'!$G$21/12</f>
        <v>2083333.3333333333</v>
      </c>
      <c r="M31" s="72">
        <f>'[3]0.8 Administrativos'!$G$21/12</f>
        <v>2083333.3333333333</v>
      </c>
      <c r="N31" s="72">
        <f>'[3]0.8 Administrativos'!$G$21/12</f>
        <v>2083333.3333333333</v>
      </c>
      <c r="O31" s="72">
        <f>'[3]0.8 Administrativos'!$G$21/12</f>
        <v>2083333.3333333333</v>
      </c>
      <c r="P31" s="72">
        <f>'[3]0.8 Administrativos'!$G$21/12</f>
        <v>2083333.3333333333</v>
      </c>
      <c r="Q31" s="72">
        <f>'[3]0.8 Administrativos'!$G$21/12</f>
        <v>2083333.3333333333</v>
      </c>
      <c r="R31" s="72">
        <f>'[3]0.8 Administrativos'!$G$21/12</f>
        <v>2083333.3333333333</v>
      </c>
      <c r="S31" s="72">
        <f>'[3]0.8 Administrativos'!$G$21/12</f>
        <v>2083333.3333333333</v>
      </c>
      <c r="T31" s="72">
        <f>'[3]0.8 Administrativos'!$G$21/12</f>
        <v>2083333.3333333333</v>
      </c>
      <c r="U31" s="72">
        <f>'[3]0.8 Administrativos'!$H$21/12</f>
        <v>2229166.6666666665</v>
      </c>
      <c r="V31" s="72">
        <f>'[3]0.8 Administrativos'!$H$21/12</f>
        <v>2229166.6666666665</v>
      </c>
      <c r="W31" s="72">
        <f>'[3]0.8 Administrativos'!$H$21/12</f>
        <v>2229166.6666666665</v>
      </c>
      <c r="X31" s="72">
        <f>'[3]0.8 Administrativos'!$H$21/12</f>
        <v>2229166.6666666665</v>
      </c>
      <c r="Y31" s="72">
        <f>'[3]0.8 Administrativos'!$H$21/12</f>
        <v>2229166.6666666665</v>
      </c>
      <c r="Z31" s="72">
        <f>'[3]0.8 Administrativos'!$H$21/12</f>
        <v>2229166.6666666665</v>
      </c>
      <c r="AA31" s="72">
        <f>'[3]0.8 Administrativos'!$H$21/12</f>
        <v>2229166.6666666665</v>
      </c>
      <c r="AB31" s="72">
        <f>'[3]0.8 Administrativos'!$H$21/12</f>
        <v>2229166.6666666665</v>
      </c>
      <c r="AC31" s="72">
        <f>'[3]0.8 Administrativos'!$H$21/12</f>
        <v>2229166.6666666665</v>
      </c>
      <c r="AD31" s="72">
        <f>'[3]0.8 Administrativos'!$H$21/12</f>
        <v>2229166.6666666665</v>
      </c>
      <c r="AE31" s="72">
        <f>'[3]0.8 Administrativos'!$H$21/12</f>
        <v>2229166.6666666665</v>
      </c>
      <c r="AF31" s="72">
        <f>'[3]0.8 Administrativos'!$H$21/12</f>
        <v>2229166.6666666665</v>
      </c>
      <c r="AG31" s="72">
        <f>'[3]0.8 Administrativos'!$I$21/6</f>
        <v>2385208.3333333335</v>
      </c>
      <c r="AH31" s="72">
        <f>'[3]0.8 Administrativos'!$I$21/6</f>
        <v>2385208.3333333335</v>
      </c>
      <c r="AI31" s="72">
        <f>'[3]0.8 Administrativos'!$I$21/6</f>
        <v>2385208.3333333335</v>
      </c>
      <c r="AJ31" s="72">
        <f>'[3]0.8 Administrativos'!$I$21/6</f>
        <v>2385208.3333333335</v>
      </c>
      <c r="AK31" s="72">
        <f>'[3]0.8 Administrativos'!$I$21/6</f>
        <v>2385208.3333333335</v>
      </c>
      <c r="AL31" s="72">
        <f>'[3]0.8 Administrativos'!$I$21/6</f>
        <v>2385208.3333333335</v>
      </c>
      <c r="AM31" s="72">
        <f>((25000000/12)/30)*28</f>
        <v>1944444.4444444443</v>
      </c>
      <c r="AN31" s="60"/>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row>
    <row r="32" spans="1:70" ht="33" customHeight="1">
      <c r="A32" s="22"/>
      <c r="B32" s="136" t="str">
        <f>'POA TÉCNICO'!B32</f>
        <v>Actividad 3.1.3</v>
      </c>
      <c r="C32" s="130" t="str">
        <f>'POA TÉCNICO'!C33</f>
        <v>3.1.3 Realizar las actividades de administración del proyecto - PUJ Cali</v>
      </c>
      <c r="D32" s="134">
        <v>1</v>
      </c>
      <c r="E32" s="130" t="str">
        <f>'POA TÉCNICO'!E32</f>
        <v>Gestionar los componentes administrativos, financieros y jurídicos del proyecto</v>
      </c>
      <c r="F32" s="140">
        <f>'POA TÉCNICO'!I33</f>
        <v>1</v>
      </c>
      <c r="G32" s="144">
        <v>24</v>
      </c>
      <c r="H32" s="133">
        <f t="shared" si="0"/>
        <v>64842060</v>
      </c>
      <c r="I32" s="72">
        <f>((32421030/12)/30)*2</f>
        <v>180116.83333333334</v>
      </c>
      <c r="J32" s="72">
        <f>'[3]0.8 Administrativos'!$G$22/12</f>
        <v>2701752.5</v>
      </c>
      <c r="K32" s="72">
        <f>'[3]0.8 Administrativos'!$G$22/12</f>
        <v>2701752.5</v>
      </c>
      <c r="L32" s="72">
        <f>'[3]0.8 Administrativos'!$G$22/12</f>
        <v>2701752.5</v>
      </c>
      <c r="M32" s="72">
        <f>'[3]0.8 Administrativos'!$G$22/12</f>
        <v>2701752.5</v>
      </c>
      <c r="N32" s="72">
        <f>'[3]0.8 Administrativos'!$G$22/12</f>
        <v>2701752.5</v>
      </c>
      <c r="O32" s="72">
        <f>'[3]0.8 Administrativos'!$G$22/12</f>
        <v>2701752.5</v>
      </c>
      <c r="P32" s="72">
        <f>'[3]0.8 Administrativos'!$G$22/12</f>
        <v>2701752.5</v>
      </c>
      <c r="Q32" s="72">
        <f>'[3]0.8 Administrativos'!$G$22/12</f>
        <v>2701752.5</v>
      </c>
      <c r="R32" s="72">
        <f>'[3]0.8 Administrativos'!$G$22/12</f>
        <v>2701752.5</v>
      </c>
      <c r="S32" s="72">
        <f>'[3]0.8 Administrativos'!$G$22/12</f>
        <v>2701752.5</v>
      </c>
      <c r="T32" s="72">
        <f>'[3]0.8 Administrativos'!$G$22/12</f>
        <v>2701752.5</v>
      </c>
      <c r="U32" s="72">
        <f>'[3]0.8 Administrativos'!$H$22/12</f>
        <v>2701752.5</v>
      </c>
      <c r="V32" s="72">
        <f>'[3]0.8 Administrativos'!$H$22/12</f>
        <v>2701752.5</v>
      </c>
      <c r="W32" s="72">
        <f>'[3]0.8 Administrativos'!$H$22/12</f>
        <v>2701752.5</v>
      </c>
      <c r="X32" s="72">
        <f>'[3]0.8 Administrativos'!$H$22/12</f>
        <v>2701752.5</v>
      </c>
      <c r="Y32" s="72">
        <f>'[3]0.8 Administrativos'!$H$22/12</f>
        <v>2701752.5</v>
      </c>
      <c r="Z32" s="72">
        <f>'[3]0.8 Administrativos'!$H$22/12</f>
        <v>2701752.5</v>
      </c>
      <c r="AA32" s="72">
        <f>'[3]0.8 Administrativos'!$H$22/12</f>
        <v>2701752.5</v>
      </c>
      <c r="AB32" s="72">
        <f>'[3]0.8 Administrativos'!$H$22/12</f>
        <v>2701752.5</v>
      </c>
      <c r="AC32" s="72">
        <f>'[3]0.8 Administrativos'!$H$22/12</f>
        <v>2701752.5</v>
      </c>
      <c r="AD32" s="72">
        <f>'[3]0.8 Administrativos'!$H$22/12</f>
        <v>2701752.5</v>
      </c>
      <c r="AE32" s="72">
        <f>'[3]0.8 Administrativos'!$H$22/12</f>
        <v>2701752.5</v>
      </c>
      <c r="AF32" s="72">
        <f>(32421030/12)+(((32421030/12)/30)*28)</f>
        <v>5223388.166666667</v>
      </c>
      <c r="AG32" s="72"/>
      <c r="AH32" s="72"/>
      <c r="AI32" s="72"/>
      <c r="AJ32" s="72"/>
      <c r="AK32" s="72"/>
      <c r="AL32" s="72"/>
      <c r="AM32" s="72"/>
      <c r="AN32" s="60"/>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row>
    <row r="33" spans="1:70" ht="33" customHeight="1">
      <c r="A33" s="22"/>
      <c r="B33" s="136" t="str">
        <f>'POA TÉCNICO'!B33</f>
        <v>Actividad 3.1.3</v>
      </c>
      <c r="C33" s="130" t="str">
        <f>'POA TÉCNICO'!C34</f>
        <v>3.1.3 Realizar las actividades de administración del proyecto - Icesi</v>
      </c>
      <c r="D33" s="134">
        <v>1</v>
      </c>
      <c r="E33" s="130" t="str">
        <f>'POA TÉCNICO'!E33</f>
        <v>Gestionar los componentes administrativos, financieros y jurídicos del proyecto</v>
      </c>
      <c r="F33" s="140">
        <f>'POA TÉCNICO'!I34</f>
        <v>1</v>
      </c>
      <c r="G33" s="140">
        <f>'POA TÉCNICO'!J34</f>
        <v>30</v>
      </c>
      <c r="H33" s="133">
        <f t="shared" si="0"/>
        <v>7353599.9999999981</v>
      </c>
      <c r="I33" s="72">
        <f>((2451200/12)/30)*2</f>
        <v>13617.777777777777</v>
      </c>
      <c r="J33" s="72">
        <f>'[3]0.8 Administrativos'!$H$23/12</f>
        <v>204266.66666666666</v>
      </c>
      <c r="K33" s="72">
        <f>'[3]0.8 Administrativos'!$H$23/12</f>
        <v>204266.66666666666</v>
      </c>
      <c r="L33" s="72">
        <f>'[3]0.8 Administrativos'!$H$23/12</f>
        <v>204266.66666666666</v>
      </c>
      <c r="M33" s="72">
        <f>'[3]0.8 Administrativos'!$H$23/12</f>
        <v>204266.66666666666</v>
      </c>
      <c r="N33" s="72">
        <f>'[3]0.8 Administrativos'!$H$23/12</f>
        <v>204266.66666666666</v>
      </c>
      <c r="O33" s="72">
        <f>'[3]0.8 Administrativos'!$H$23/12</f>
        <v>204266.66666666666</v>
      </c>
      <c r="P33" s="72">
        <f>'[3]0.8 Administrativos'!$H$23/12</f>
        <v>204266.66666666666</v>
      </c>
      <c r="Q33" s="72">
        <f>'[3]0.8 Administrativos'!$H$23/12</f>
        <v>204266.66666666666</v>
      </c>
      <c r="R33" s="72">
        <f>'[3]0.8 Administrativos'!$H$23/12</f>
        <v>204266.66666666666</v>
      </c>
      <c r="S33" s="72">
        <f>'[3]0.8 Administrativos'!$H$23/12</f>
        <v>204266.66666666666</v>
      </c>
      <c r="T33" s="72">
        <f>'[3]0.8 Administrativos'!$H$23/12</f>
        <v>204266.66666666666</v>
      </c>
      <c r="U33" s="72">
        <f>'[3]0.8 Administrativos'!$H$23/12</f>
        <v>204266.66666666666</v>
      </c>
      <c r="V33" s="72">
        <f>'[3]0.8 Administrativos'!$H$23/12</f>
        <v>204266.66666666666</v>
      </c>
      <c r="W33" s="72">
        <f>'[3]0.8 Administrativos'!$H$23/12</f>
        <v>204266.66666666666</v>
      </c>
      <c r="X33" s="72">
        <f>'[3]0.8 Administrativos'!$H$23/12</f>
        <v>204266.66666666666</v>
      </c>
      <c r="Y33" s="72">
        <f>'[3]0.8 Administrativos'!$H$23/12</f>
        <v>204266.66666666666</v>
      </c>
      <c r="Z33" s="72">
        <f>'[3]0.8 Administrativos'!$H$23/12</f>
        <v>204266.66666666666</v>
      </c>
      <c r="AA33" s="72">
        <f>'[3]0.8 Administrativos'!$H$23/12</f>
        <v>204266.66666666666</v>
      </c>
      <c r="AB33" s="72">
        <f>'[3]0.8 Administrativos'!$H$23/12</f>
        <v>204266.66666666666</v>
      </c>
      <c r="AC33" s="72">
        <f>'[3]0.8 Administrativos'!$H$23/12</f>
        <v>204266.66666666666</v>
      </c>
      <c r="AD33" s="72">
        <f>'[3]0.8 Administrativos'!$H$23/12</f>
        <v>204266.66666666666</v>
      </c>
      <c r="AE33" s="72">
        <f>'[3]0.8 Administrativos'!$H$23/12</f>
        <v>204266.66666666666</v>
      </c>
      <c r="AF33" s="72">
        <f>'[3]0.8 Administrativos'!$H$23/12</f>
        <v>204266.66666666666</v>
      </c>
      <c r="AG33" s="72">
        <f>'[3]0.8 Administrativos'!$I$23/6</f>
        <v>408533.33333333331</v>
      </c>
      <c r="AH33" s="72">
        <f>'[3]0.8 Administrativos'!$I$23/6</f>
        <v>408533.33333333331</v>
      </c>
      <c r="AI33" s="72">
        <f>'[3]0.8 Administrativos'!$I$23/6</f>
        <v>408533.33333333331</v>
      </c>
      <c r="AJ33" s="72">
        <f>'[3]0.8 Administrativos'!$I$23/6</f>
        <v>408533.33333333331</v>
      </c>
      <c r="AK33" s="72">
        <f>'[3]0.8 Administrativos'!$I$23/6</f>
        <v>408533.33333333331</v>
      </c>
      <c r="AL33" s="72">
        <f>'[3]0.8 Administrativos'!$I$23/6</f>
        <v>408533.33333333331</v>
      </c>
      <c r="AM33" s="72">
        <f>((2451200/12)/30)*28</f>
        <v>190648.88888888888</v>
      </c>
      <c r="AN33" s="60"/>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row>
    <row r="34" spans="1:70" ht="33" customHeight="1">
      <c r="A34" s="22" t="str">
        <f>+PROYECTO!$B$9</f>
        <v>Fortalecimiento de la innovación en las MiPymes a partir de los resultados de investigación de las IES del Departamento del Valle del Cauca</v>
      </c>
      <c r="B34" s="12" t="str">
        <f>'POA TÉCNICO'!B35</f>
        <v>Actividad 3.1.4</v>
      </c>
      <c r="C34" s="10" t="str">
        <f>'POA TÉCNICO'!C35</f>
        <v>3.1.4 Realizar las actividades de supervisión del proyecto</v>
      </c>
      <c r="D34" s="22">
        <v>1</v>
      </c>
      <c r="E34" s="10" t="str">
        <f>'POA TÉCNICO'!E35</f>
        <v>Gestionar la supervisión por parte de Minciencias</v>
      </c>
      <c r="F34" s="121">
        <f>'POA TÉCNICO'!I35</f>
        <v>1</v>
      </c>
      <c r="G34" s="121">
        <f>'POA TÉCNICO'!J35</f>
        <v>30</v>
      </c>
      <c r="H34" s="133">
        <f t="shared" si="0"/>
        <v>266453000</v>
      </c>
      <c r="I34" s="72">
        <f>(8500000/30)*2</f>
        <v>566666.66666666663</v>
      </c>
      <c r="J34" s="72">
        <v>8500000</v>
      </c>
      <c r="K34" s="72">
        <v>8500000</v>
      </c>
      <c r="L34" s="72">
        <v>8500000</v>
      </c>
      <c r="M34" s="72">
        <v>8500000</v>
      </c>
      <c r="N34" s="72">
        <v>8500000</v>
      </c>
      <c r="O34" s="72">
        <v>8500000</v>
      </c>
      <c r="P34" s="72">
        <v>8500000</v>
      </c>
      <c r="Q34" s="72">
        <v>8500000</v>
      </c>
      <c r="R34" s="72">
        <v>8500000</v>
      </c>
      <c r="S34" s="72">
        <v>8500000</v>
      </c>
      <c r="T34" s="72">
        <v>8500000</v>
      </c>
      <c r="U34" s="72">
        <v>8982833.333333334</v>
      </c>
      <c r="V34" s="72">
        <v>8982833.333333334</v>
      </c>
      <c r="W34" s="72">
        <v>8982833.333333334</v>
      </c>
      <c r="X34" s="72">
        <v>8982833.333333334</v>
      </c>
      <c r="Y34" s="72">
        <v>8982833.333333334</v>
      </c>
      <c r="Z34" s="72">
        <v>8982833.333333334</v>
      </c>
      <c r="AA34" s="72">
        <v>8982833.333333334</v>
      </c>
      <c r="AB34" s="72">
        <v>8982833.333333334</v>
      </c>
      <c r="AC34" s="72">
        <v>8982833.333333334</v>
      </c>
      <c r="AD34" s="72">
        <v>8982833.333333334</v>
      </c>
      <c r="AE34" s="72">
        <v>8982833.333333334</v>
      </c>
      <c r="AF34" s="72">
        <v>8982833.333333334</v>
      </c>
      <c r="AG34" s="72">
        <v>9443166.666666666</v>
      </c>
      <c r="AH34" s="72">
        <v>9443166.666666666</v>
      </c>
      <c r="AI34" s="72">
        <v>9443166.666666666</v>
      </c>
      <c r="AJ34" s="72">
        <v>9443166.666666666</v>
      </c>
      <c r="AK34" s="72">
        <v>9443166.666666666</v>
      </c>
      <c r="AL34" s="72">
        <v>9443166.666666666</v>
      </c>
      <c r="AM34" s="72">
        <f>(8500000/30)*28</f>
        <v>7933333.333333333</v>
      </c>
      <c r="AN34" s="60">
        <f t="shared" si="1"/>
        <v>0</v>
      </c>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row>
    <row r="35" spans="1:70" ht="15.75" customHeight="1" thickBot="1">
      <c r="A35" s="43"/>
      <c r="B35" s="43"/>
      <c r="C35" s="43"/>
      <c r="D35" s="43"/>
      <c r="E35" s="43"/>
      <c r="F35" s="44"/>
      <c r="G35" s="44"/>
      <c r="H35" s="61">
        <f>SUM(H10:H34)</f>
        <v>5693337830.7768955</v>
      </c>
      <c r="I35" s="61">
        <f>SUM(I10:I34)</f>
        <v>7484460.3676132774</v>
      </c>
      <c r="J35" s="61">
        <f t="shared" ref="J35:AM35" si="19">SUM(J10:J34)</f>
        <v>116434537.3345695</v>
      </c>
      <c r="K35" s="61">
        <f t="shared" si="19"/>
        <v>345337755.83456951</v>
      </c>
      <c r="L35" s="61">
        <f t="shared" si="19"/>
        <v>207302811.09171236</v>
      </c>
      <c r="M35" s="61">
        <f t="shared" si="19"/>
        <v>151625342.56671238</v>
      </c>
      <c r="N35" s="61">
        <f t="shared" si="19"/>
        <v>143295896.60163295</v>
      </c>
      <c r="O35" s="61">
        <f t="shared" si="19"/>
        <v>163087594.85496628</v>
      </c>
      <c r="P35" s="61">
        <f t="shared" si="19"/>
        <v>261341517.1159187</v>
      </c>
      <c r="Q35" s="61">
        <f t="shared" si="19"/>
        <v>132104822.80834292</v>
      </c>
      <c r="R35" s="61">
        <f t="shared" si="19"/>
        <v>391494208.48967624</v>
      </c>
      <c r="S35" s="61">
        <f t="shared" si="19"/>
        <v>512767089.10756373</v>
      </c>
      <c r="T35" s="61">
        <f t="shared" si="19"/>
        <v>199721070.35604855</v>
      </c>
      <c r="U35" s="61">
        <f t="shared" si="19"/>
        <v>346429228.85810417</v>
      </c>
      <c r="V35" s="61">
        <f t="shared" si="19"/>
        <v>109862679.50810412</v>
      </c>
      <c r="W35" s="61">
        <f t="shared" si="19"/>
        <v>169862679.50810412</v>
      </c>
      <c r="X35" s="61">
        <f t="shared" si="19"/>
        <v>236316655.50810412</v>
      </c>
      <c r="Y35" s="61">
        <f t="shared" si="19"/>
        <v>206288690.79143745</v>
      </c>
      <c r="Z35" s="61">
        <f t="shared" si="19"/>
        <v>298288690.79143745</v>
      </c>
      <c r="AA35" s="61">
        <f t="shared" si="19"/>
        <v>98288690.791437447</v>
      </c>
      <c r="AB35" s="61">
        <f t="shared" si="19"/>
        <v>158288690.79143745</v>
      </c>
      <c r="AC35" s="61">
        <f t="shared" si="19"/>
        <v>98288690.791437447</v>
      </c>
      <c r="AD35" s="61">
        <f t="shared" si="19"/>
        <v>98288690.791437447</v>
      </c>
      <c r="AE35" s="61">
        <f t="shared" si="19"/>
        <v>98288690.791437447</v>
      </c>
      <c r="AF35" s="61">
        <f t="shared" si="19"/>
        <v>98288690.791437447</v>
      </c>
      <c r="AG35" s="61">
        <f t="shared" si="19"/>
        <v>495090514.45364231</v>
      </c>
      <c r="AH35" s="61">
        <f t="shared" si="19"/>
        <v>100832212.85364233</v>
      </c>
      <c r="AI35" s="61">
        <f t="shared" si="19"/>
        <v>124161658.8187217</v>
      </c>
      <c r="AJ35" s="61">
        <f t="shared" si="19"/>
        <v>94161658.818721697</v>
      </c>
      <c r="AK35" s="61">
        <f t="shared" si="19"/>
        <v>83878914.47335133</v>
      </c>
      <c r="AL35" s="61">
        <f t="shared" si="19"/>
        <v>83878914.47335133</v>
      </c>
      <c r="AM35" s="61">
        <f t="shared" si="19"/>
        <v>62556080.642222241</v>
      </c>
      <c r="AN35" s="70">
        <f>SUM(AO35:BR35)</f>
        <v>0</v>
      </c>
      <c r="AO35" s="71">
        <f>SUM(AO10:AO34)</f>
        <v>0</v>
      </c>
      <c r="AP35" s="71">
        <f t="shared" ref="AP35:BR35" si="20">SUM(AP10:AP34)</f>
        <v>0</v>
      </c>
      <c r="AQ35" s="71">
        <f t="shared" si="20"/>
        <v>0</v>
      </c>
      <c r="AR35" s="71">
        <f t="shared" si="20"/>
        <v>0</v>
      </c>
      <c r="AS35" s="71">
        <f t="shared" si="20"/>
        <v>0</v>
      </c>
      <c r="AT35" s="71">
        <f t="shared" si="20"/>
        <v>0</v>
      </c>
      <c r="AU35" s="71">
        <f t="shared" si="20"/>
        <v>0</v>
      </c>
      <c r="AV35" s="71">
        <f t="shared" si="20"/>
        <v>0</v>
      </c>
      <c r="AW35" s="71">
        <f t="shared" si="20"/>
        <v>0</v>
      </c>
      <c r="AX35" s="71">
        <f t="shared" si="20"/>
        <v>0</v>
      </c>
      <c r="AY35" s="71">
        <f t="shared" si="20"/>
        <v>0</v>
      </c>
      <c r="AZ35" s="71">
        <f t="shared" si="20"/>
        <v>0</v>
      </c>
      <c r="BA35" s="71">
        <f t="shared" si="20"/>
        <v>0</v>
      </c>
      <c r="BB35" s="71">
        <f t="shared" si="20"/>
        <v>0</v>
      </c>
      <c r="BC35" s="71">
        <f t="shared" si="20"/>
        <v>0</v>
      </c>
      <c r="BD35" s="71">
        <f t="shared" si="20"/>
        <v>0</v>
      </c>
      <c r="BE35" s="71">
        <f t="shared" si="20"/>
        <v>0</v>
      </c>
      <c r="BF35" s="71">
        <f t="shared" si="20"/>
        <v>0</v>
      </c>
      <c r="BG35" s="71">
        <f t="shared" si="20"/>
        <v>0</v>
      </c>
      <c r="BH35" s="71">
        <f t="shared" si="20"/>
        <v>0</v>
      </c>
      <c r="BI35" s="71">
        <f t="shared" si="20"/>
        <v>0</v>
      </c>
      <c r="BJ35" s="71">
        <f t="shared" si="20"/>
        <v>0</v>
      </c>
      <c r="BK35" s="71">
        <f t="shared" si="20"/>
        <v>0</v>
      </c>
      <c r="BL35" s="71">
        <f t="shared" si="20"/>
        <v>0</v>
      </c>
      <c r="BM35" s="71">
        <f t="shared" si="20"/>
        <v>0</v>
      </c>
      <c r="BN35" s="71">
        <f t="shared" si="20"/>
        <v>0</v>
      </c>
      <c r="BO35" s="71">
        <f t="shared" si="20"/>
        <v>0</v>
      </c>
      <c r="BP35" s="71">
        <f t="shared" si="20"/>
        <v>0</v>
      </c>
      <c r="BQ35" s="71">
        <f t="shared" si="20"/>
        <v>0</v>
      </c>
      <c r="BR35" s="71">
        <f t="shared" si="20"/>
        <v>0</v>
      </c>
    </row>
    <row r="36" spans="1:70" ht="16.5" thickTop="1" thickBot="1">
      <c r="E36" s="85"/>
      <c r="H36" s="61"/>
    </row>
    <row r="37" spans="1:70" ht="16.5" thickTop="1" thickBot="1">
      <c r="E37" s="85" t="s">
        <v>181</v>
      </c>
      <c r="H37" s="61">
        <f>H35</f>
        <v>5693337830.7768955</v>
      </c>
    </row>
    <row r="38" spans="1:70" ht="16.5" thickTop="1" thickBot="1"/>
    <row r="39" spans="1:70" ht="15.75" thickTop="1">
      <c r="E39" s="172" t="s">
        <v>246</v>
      </c>
      <c r="F39" s="172"/>
      <c r="G39" s="172"/>
      <c r="H39" s="73">
        <f>SUM(I39:AL39)</f>
        <v>5630781750.1346741</v>
      </c>
      <c r="I39" s="73">
        <f>+I35</f>
        <v>7484460.3676132774</v>
      </c>
      <c r="J39" s="73">
        <f t="shared" ref="J39:AL39" si="21">+J35</f>
        <v>116434537.3345695</v>
      </c>
      <c r="K39" s="73">
        <f t="shared" si="21"/>
        <v>345337755.83456951</v>
      </c>
      <c r="L39" s="73">
        <f t="shared" si="21"/>
        <v>207302811.09171236</v>
      </c>
      <c r="M39" s="73">
        <f t="shared" si="21"/>
        <v>151625342.56671238</v>
      </c>
      <c r="N39" s="73">
        <f t="shared" si="21"/>
        <v>143295896.60163295</v>
      </c>
      <c r="O39" s="73">
        <f t="shared" si="21"/>
        <v>163087594.85496628</v>
      </c>
      <c r="P39" s="73">
        <f t="shared" si="21"/>
        <v>261341517.1159187</v>
      </c>
      <c r="Q39" s="73">
        <f t="shared" si="21"/>
        <v>132104822.80834292</v>
      </c>
      <c r="R39" s="73">
        <f t="shared" si="21"/>
        <v>391494208.48967624</v>
      </c>
      <c r="S39" s="73">
        <f t="shared" si="21"/>
        <v>512767089.10756373</v>
      </c>
      <c r="T39" s="73">
        <f t="shared" si="21"/>
        <v>199721070.35604855</v>
      </c>
      <c r="U39" s="73">
        <f t="shared" si="21"/>
        <v>346429228.85810417</v>
      </c>
      <c r="V39" s="73">
        <f t="shared" si="21"/>
        <v>109862679.50810412</v>
      </c>
      <c r="W39" s="73">
        <f t="shared" si="21"/>
        <v>169862679.50810412</v>
      </c>
      <c r="X39" s="73">
        <f t="shared" si="21"/>
        <v>236316655.50810412</v>
      </c>
      <c r="Y39" s="73">
        <f t="shared" si="21"/>
        <v>206288690.79143745</v>
      </c>
      <c r="Z39" s="73">
        <f t="shared" si="21"/>
        <v>298288690.79143745</v>
      </c>
      <c r="AA39" s="73">
        <f t="shared" si="21"/>
        <v>98288690.791437447</v>
      </c>
      <c r="AB39" s="73">
        <f t="shared" si="21"/>
        <v>158288690.79143745</v>
      </c>
      <c r="AC39" s="73">
        <f t="shared" si="21"/>
        <v>98288690.791437447</v>
      </c>
      <c r="AD39" s="73">
        <f t="shared" si="21"/>
        <v>98288690.791437447</v>
      </c>
      <c r="AE39" s="73">
        <f t="shared" si="21"/>
        <v>98288690.791437447</v>
      </c>
      <c r="AF39" s="73">
        <f t="shared" si="21"/>
        <v>98288690.791437447</v>
      </c>
      <c r="AG39" s="73">
        <f t="shared" si="21"/>
        <v>495090514.45364231</v>
      </c>
      <c r="AH39" s="73">
        <f t="shared" si="21"/>
        <v>100832212.85364233</v>
      </c>
      <c r="AI39" s="73">
        <f t="shared" si="21"/>
        <v>124161658.8187217</v>
      </c>
      <c r="AJ39" s="73">
        <f t="shared" si="21"/>
        <v>94161658.818721697</v>
      </c>
      <c r="AK39" s="73">
        <f t="shared" si="21"/>
        <v>83878914.47335133</v>
      </c>
      <c r="AL39" s="73">
        <f t="shared" si="21"/>
        <v>83878914.47335133</v>
      </c>
      <c r="AM39" s="73"/>
    </row>
    <row r="40" spans="1:70">
      <c r="E40" s="170" t="s">
        <v>247</v>
      </c>
      <c r="F40" s="170"/>
      <c r="G40" s="170"/>
      <c r="H40" s="73">
        <f>SUM(I40:AL40)</f>
        <v>0</v>
      </c>
      <c r="I40" s="73">
        <f>+AO35</f>
        <v>0</v>
      </c>
      <c r="J40" s="73">
        <f t="shared" ref="J40:AL40" si="22">+AP35</f>
        <v>0</v>
      </c>
      <c r="K40" s="73">
        <f t="shared" si="22"/>
        <v>0</v>
      </c>
      <c r="L40" s="73">
        <f t="shared" si="22"/>
        <v>0</v>
      </c>
      <c r="M40" s="73">
        <f t="shared" si="22"/>
        <v>0</v>
      </c>
      <c r="N40" s="73">
        <f t="shared" si="22"/>
        <v>0</v>
      </c>
      <c r="O40" s="73">
        <f t="shared" si="22"/>
        <v>0</v>
      </c>
      <c r="P40" s="73">
        <f t="shared" si="22"/>
        <v>0</v>
      </c>
      <c r="Q40" s="73">
        <f t="shared" si="22"/>
        <v>0</v>
      </c>
      <c r="R40" s="73">
        <f t="shared" si="22"/>
        <v>0</v>
      </c>
      <c r="S40" s="73">
        <f t="shared" si="22"/>
        <v>0</v>
      </c>
      <c r="T40" s="73">
        <f t="shared" si="22"/>
        <v>0</v>
      </c>
      <c r="U40" s="73">
        <f t="shared" si="22"/>
        <v>0</v>
      </c>
      <c r="V40" s="73">
        <f t="shared" si="22"/>
        <v>0</v>
      </c>
      <c r="W40" s="73">
        <f t="shared" si="22"/>
        <v>0</v>
      </c>
      <c r="X40" s="73">
        <f t="shared" si="22"/>
        <v>0</v>
      </c>
      <c r="Y40" s="73">
        <f t="shared" si="22"/>
        <v>0</v>
      </c>
      <c r="Z40" s="73">
        <f t="shared" si="22"/>
        <v>0</v>
      </c>
      <c r="AA40" s="73">
        <f t="shared" si="22"/>
        <v>0</v>
      </c>
      <c r="AB40" s="73">
        <f t="shared" si="22"/>
        <v>0</v>
      </c>
      <c r="AC40" s="73">
        <f t="shared" si="22"/>
        <v>0</v>
      </c>
      <c r="AD40" s="73">
        <f t="shared" si="22"/>
        <v>0</v>
      </c>
      <c r="AE40" s="73">
        <f t="shared" si="22"/>
        <v>0</v>
      </c>
      <c r="AF40" s="73">
        <f t="shared" si="22"/>
        <v>0</v>
      </c>
      <c r="AG40" s="73">
        <f t="shared" si="22"/>
        <v>0</v>
      </c>
      <c r="AH40" s="73">
        <f t="shared" si="22"/>
        <v>0</v>
      </c>
      <c r="AI40" s="73">
        <f t="shared" si="22"/>
        <v>0</v>
      </c>
      <c r="AJ40" s="73">
        <f t="shared" si="22"/>
        <v>0</v>
      </c>
      <c r="AK40" s="73">
        <f t="shared" si="22"/>
        <v>0</v>
      </c>
      <c r="AL40" s="73">
        <f t="shared" si="22"/>
        <v>0</v>
      </c>
      <c r="AM40" s="73"/>
    </row>
    <row r="41" spans="1:70">
      <c r="E41" s="170" t="s">
        <v>248</v>
      </c>
      <c r="F41" s="170"/>
      <c r="G41" s="170"/>
      <c r="H41" s="138"/>
      <c r="I41" s="73">
        <f>+I39</f>
        <v>7484460.3676132774</v>
      </c>
      <c r="J41" s="73">
        <f>+I41+J39</f>
        <v>123918997.70218277</v>
      </c>
      <c r="K41" s="73">
        <f>+J41+K39</f>
        <v>469256753.53675228</v>
      </c>
      <c r="L41" s="73">
        <f t="shared" ref="L41:AL41" si="23">+K41+L39</f>
        <v>676559564.6284647</v>
      </c>
      <c r="M41" s="73">
        <f t="shared" si="23"/>
        <v>828184907.19517708</v>
      </c>
      <c r="N41" s="73">
        <f t="shared" si="23"/>
        <v>971480803.79681003</v>
      </c>
      <c r="O41" s="73">
        <f t="shared" si="23"/>
        <v>1134568398.6517763</v>
      </c>
      <c r="P41" s="73">
        <f t="shared" si="23"/>
        <v>1395909915.767695</v>
      </c>
      <c r="Q41" s="73">
        <f t="shared" si="23"/>
        <v>1528014738.5760379</v>
      </c>
      <c r="R41" s="73">
        <f t="shared" si="23"/>
        <v>1919508947.0657141</v>
      </c>
      <c r="S41" s="73">
        <f t="shared" si="23"/>
        <v>2432276036.1732779</v>
      </c>
      <c r="T41" s="73">
        <f t="shared" si="23"/>
        <v>2631997106.5293264</v>
      </c>
      <c r="U41" s="73">
        <f t="shared" si="23"/>
        <v>2978426335.3874307</v>
      </c>
      <c r="V41" s="73">
        <f t="shared" si="23"/>
        <v>3088289014.895535</v>
      </c>
      <c r="W41" s="73">
        <f t="shared" si="23"/>
        <v>3258151694.4036393</v>
      </c>
      <c r="X41" s="73">
        <f t="shared" si="23"/>
        <v>3494468349.9117436</v>
      </c>
      <c r="Y41" s="73">
        <f t="shared" si="23"/>
        <v>3700757040.7031813</v>
      </c>
      <c r="Z41" s="73">
        <f t="shared" si="23"/>
        <v>3999045731.4946189</v>
      </c>
      <c r="AA41" s="73">
        <f t="shared" si="23"/>
        <v>4097334422.2860565</v>
      </c>
      <c r="AB41" s="73">
        <f t="shared" si="23"/>
        <v>4255623113.0774941</v>
      </c>
      <c r="AC41" s="73">
        <f t="shared" si="23"/>
        <v>4353911803.8689318</v>
      </c>
      <c r="AD41" s="73">
        <f t="shared" si="23"/>
        <v>4452200494.6603689</v>
      </c>
      <c r="AE41" s="73">
        <f t="shared" si="23"/>
        <v>4550489185.4518061</v>
      </c>
      <c r="AF41" s="73">
        <f t="shared" si="23"/>
        <v>4648777876.2432432</v>
      </c>
      <c r="AG41" s="73">
        <f t="shared" si="23"/>
        <v>5143868390.6968851</v>
      </c>
      <c r="AH41" s="73">
        <f t="shared" si="23"/>
        <v>5244700603.5505276</v>
      </c>
      <c r="AI41" s="73">
        <f t="shared" si="23"/>
        <v>5368862262.3692493</v>
      </c>
      <c r="AJ41" s="73">
        <f t="shared" si="23"/>
        <v>5463023921.1879711</v>
      </c>
      <c r="AK41" s="73">
        <f t="shared" si="23"/>
        <v>5546902835.6613226</v>
      </c>
      <c r="AL41" s="73">
        <f t="shared" si="23"/>
        <v>5630781750.1346741</v>
      </c>
      <c r="AM41" s="73"/>
    </row>
    <row r="42" spans="1:70">
      <c r="E42" s="170" t="s">
        <v>249</v>
      </c>
      <c r="F42" s="170"/>
      <c r="G42" s="170"/>
      <c r="H42" s="138"/>
      <c r="I42" s="73">
        <f>+I40</f>
        <v>0</v>
      </c>
      <c r="J42" s="73">
        <f>+I42+J40</f>
        <v>0</v>
      </c>
      <c r="K42" s="73">
        <f t="shared" ref="K42:AL42" si="24">+J42+K40</f>
        <v>0</v>
      </c>
      <c r="L42" s="73">
        <f t="shared" si="24"/>
        <v>0</v>
      </c>
      <c r="M42" s="73">
        <f t="shared" si="24"/>
        <v>0</v>
      </c>
      <c r="N42" s="73">
        <f t="shared" si="24"/>
        <v>0</v>
      </c>
      <c r="O42" s="73">
        <f t="shared" si="24"/>
        <v>0</v>
      </c>
      <c r="P42" s="73">
        <f t="shared" si="24"/>
        <v>0</v>
      </c>
      <c r="Q42" s="73">
        <f t="shared" si="24"/>
        <v>0</v>
      </c>
      <c r="R42" s="73">
        <f t="shared" si="24"/>
        <v>0</v>
      </c>
      <c r="S42" s="73">
        <f t="shared" si="24"/>
        <v>0</v>
      </c>
      <c r="T42" s="73">
        <f t="shared" si="24"/>
        <v>0</v>
      </c>
      <c r="U42" s="73">
        <f t="shared" si="24"/>
        <v>0</v>
      </c>
      <c r="V42" s="73">
        <f t="shared" si="24"/>
        <v>0</v>
      </c>
      <c r="W42" s="73">
        <f t="shared" si="24"/>
        <v>0</v>
      </c>
      <c r="X42" s="73">
        <f t="shared" si="24"/>
        <v>0</v>
      </c>
      <c r="Y42" s="73">
        <f t="shared" si="24"/>
        <v>0</v>
      </c>
      <c r="Z42" s="73">
        <f t="shared" si="24"/>
        <v>0</v>
      </c>
      <c r="AA42" s="73">
        <f t="shared" si="24"/>
        <v>0</v>
      </c>
      <c r="AB42" s="73">
        <f t="shared" si="24"/>
        <v>0</v>
      </c>
      <c r="AC42" s="73">
        <f t="shared" si="24"/>
        <v>0</v>
      </c>
      <c r="AD42" s="73">
        <f t="shared" si="24"/>
        <v>0</v>
      </c>
      <c r="AE42" s="73">
        <f t="shared" si="24"/>
        <v>0</v>
      </c>
      <c r="AF42" s="73">
        <f t="shared" si="24"/>
        <v>0</v>
      </c>
      <c r="AG42" s="73">
        <f t="shared" si="24"/>
        <v>0</v>
      </c>
      <c r="AH42" s="73">
        <f t="shared" si="24"/>
        <v>0</v>
      </c>
      <c r="AI42" s="73">
        <f t="shared" si="24"/>
        <v>0</v>
      </c>
      <c r="AJ42" s="73">
        <f t="shared" si="24"/>
        <v>0</v>
      </c>
      <c r="AK42" s="73">
        <f t="shared" si="24"/>
        <v>0</v>
      </c>
      <c r="AL42" s="73">
        <f t="shared" si="24"/>
        <v>0</v>
      </c>
      <c r="AM42" s="73"/>
    </row>
    <row r="43" spans="1:70">
      <c r="E43" s="170" t="s">
        <v>250</v>
      </c>
      <c r="F43" s="170"/>
      <c r="G43" s="170"/>
      <c r="H43" s="138"/>
      <c r="I43" s="88">
        <f>+I40/I39</f>
        <v>0</v>
      </c>
      <c r="J43" s="88">
        <f t="shared" ref="J43:AL43" si="25">+J40/J39</f>
        <v>0</v>
      </c>
      <c r="K43" s="88">
        <f t="shared" si="25"/>
        <v>0</v>
      </c>
      <c r="L43" s="88">
        <f t="shared" si="25"/>
        <v>0</v>
      </c>
      <c r="M43" s="88">
        <f t="shared" si="25"/>
        <v>0</v>
      </c>
      <c r="N43" s="88">
        <f t="shared" si="25"/>
        <v>0</v>
      </c>
      <c r="O43" s="88">
        <f t="shared" si="25"/>
        <v>0</v>
      </c>
      <c r="P43" s="88">
        <f t="shared" si="25"/>
        <v>0</v>
      </c>
      <c r="Q43" s="88">
        <f t="shared" si="25"/>
        <v>0</v>
      </c>
      <c r="R43" s="88">
        <f t="shared" si="25"/>
        <v>0</v>
      </c>
      <c r="S43" s="88">
        <f t="shared" si="25"/>
        <v>0</v>
      </c>
      <c r="T43" s="88">
        <f t="shared" si="25"/>
        <v>0</v>
      </c>
      <c r="U43" s="88">
        <f t="shared" si="25"/>
        <v>0</v>
      </c>
      <c r="V43" s="88">
        <f t="shared" si="25"/>
        <v>0</v>
      </c>
      <c r="W43" s="88">
        <f t="shared" si="25"/>
        <v>0</v>
      </c>
      <c r="X43" s="88">
        <f t="shared" si="25"/>
        <v>0</v>
      </c>
      <c r="Y43" s="88">
        <f t="shared" si="25"/>
        <v>0</v>
      </c>
      <c r="Z43" s="88">
        <f t="shared" si="25"/>
        <v>0</v>
      </c>
      <c r="AA43" s="88">
        <f t="shared" si="25"/>
        <v>0</v>
      </c>
      <c r="AB43" s="88">
        <f t="shared" si="25"/>
        <v>0</v>
      </c>
      <c r="AC43" s="88">
        <f t="shared" si="25"/>
        <v>0</v>
      </c>
      <c r="AD43" s="88">
        <f t="shared" si="25"/>
        <v>0</v>
      </c>
      <c r="AE43" s="88">
        <f t="shared" si="25"/>
        <v>0</v>
      </c>
      <c r="AF43" s="88">
        <f t="shared" si="25"/>
        <v>0</v>
      </c>
      <c r="AG43" s="88">
        <f t="shared" si="25"/>
        <v>0</v>
      </c>
      <c r="AH43" s="88">
        <f t="shared" si="25"/>
        <v>0</v>
      </c>
      <c r="AI43" s="88">
        <f t="shared" si="25"/>
        <v>0</v>
      </c>
      <c r="AJ43" s="88">
        <f t="shared" si="25"/>
        <v>0</v>
      </c>
      <c r="AK43" s="88">
        <f t="shared" si="25"/>
        <v>0</v>
      </c>
      <c r="AL43" s="88">
        <f t="shared" si="25"/>
        <v>0</v>
      </c>
      <c r="AM43" s="88"/>
    </row>
  </sheetData>
  <mergeCells count="17">
    <mergeCell ref="AO7:BR7"/>
    <mergeCell ref="B5:H5"/>
    <mergeCell ref="F7:F9"/>
    <mergeCell ref="G7:G9"/>
    <mergeCell ref="H7:H9"/>
    <mergeCell ref="I7:AL7"/>
    <mergeCell ref="AN7:AN9"/>
    <mergeCell ref="A7:A9"/>
    <mergeCell ref="B7:B9"/>
    <mergeCell ref="C7:C9"/>
    <mergeCell ref="D7:D9"/>
    <mergeCell ref="E7:E9"/>
    <mergeCell ref="E39:G39"/>
    <mergeCell ref="E40:G40"/>
    <mergeCell ref="E41:G41"/>
    <mergeCell ref="E42:G42"/>
    <mergeCell ref="E43:G43"/>
  </mergeCells>
  <phoneticPr fontId="26"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10A4738-21BC-46CA-A60B-6BD80402D513}">
          <x14:formula1>
            <xm:f>PARAMETRIZACIÓN!$E$2:$E$13</xm:f>
          </x14:formula1>
          <xm:sqref>I9:AM9 AO9:BR9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C844-4ECE-43E8-B3AE-80F6C6DA4C6C}">
  <dimension ref="A1:G46"/>
  <sheetViews>
    <sheetView showGridLines="0" workbookViewId="0">
      <selection activeCell="A4" sqref="A4:G17"/>
    </sheetView>
  </sheetViews>
  <sheetFormatPr defaultColWidth="11.42578125" defaultRowHeight="15"/>
  <sheetData>
    <row r="1" spans="1:7" ht="15" customHeight="1" thickBot="1">
      <c r="A1" s="186"/>
      <c r="B1" s="187"/>
      <c r="C1" s="187"/>
      <c r="D1" s="187"/>
      <c r="E1" s="187"/>
      <c r="F1" s="187"/>
      <c r="G1" s="188"/>
    </row>
    <row r="2" spans="1:7">
      <c r="A2" s="189" t="s">
        <v>253</v>
      </c>
      <c r="B2" s="190"/>
      <c r="C2" s="190"/>
      <c r="D2" s="190"/>
      <c r="E2" s="190"/>
      <c r="F2" s="190"/>
      <c r="G2" s="191"/>
    </row>
    <row r="3" spans="1:7" ht="15.75" thickBot="1">
      <c r="A3" s="192"/>
      <c r="B3" s="193"/>
      <c r="C3" s="193"/>
      <c r="D3" s="193"/>
      <c r="E3" s="193"/>
      <c r="F3" s="193"/>
      <c r="G3" s="194"/>
    </row>
    <row r="4" spans="1:7">
      <c r="A4" s="177" t="s">
        <v>254</v>
      </c>
      <c r="B4" s="178"/>
      <c r="C4" s="178"/>
      <c r="D4" s="178"/>
      <c r="E4" s="178"/>
      <c r="F4" s="178"/>
      <c r="G4" s="179"/>
    </row>
    <row r="5" spans="1:7">
      <c r="A5" s="180"/>
      <c r="B5" s="181"/>
      <c r="C5" s="181"/>
      <c r="D5" s="181"/>
      <c r="E5" s="181"/>
      <c r="F5" s="181"/>
      <c r="G5" s="182"/>
    </row>
    <row r="6" spans="1:7">
      <c r="A6" s="180"/>
      <c r="B6" s="181"/>
      <c r="C6" s="181"/>
      <c r="D6" s="181"/>
      <c r="E6" s="181"/>
      <c r="F6" s="181"/>
      <c r="G6" s="182"/>
    </row>
    <row r="7" spans="1:7">
      <c r="A7" s="180"/>
      <c r="B7" s="181"/>
      <c r="C7" s="181"/>
      <c r="D7" s="181"/>
      <c r="E7" s="181"/>
      <c r="F7" s="181"/>
      <c r="G7" s="182"/>
    </row>
    <row r="8" spans="1:7">
      <c r="A8" s="180"/>
      <c r="B8" s="181"/>
      <c r="C8" s="181"/>
      <c r="D8" s="181"/>
      <c r="E8" s="181"/>
      <c r="F8" s="181"/>
      <c r="G8" s="182"/>
    </row>
    <row r="9" spans="1:7">
      <c r="A9" s="180"/>
      <c r="B9" s="181"/>
      <c r="C9" s="181"/>
      <c r="D9" s="181"/>
      <c r="E9" s="181"/>
      <c r="F9" s="181"/>
      <c r="G9" s="182"/>
    </row>
    <row r="10" spans="1:7">
      <c r="A10" s="180"/>
      <c r="B10" s="181"/>
      <c r="C10" s="181"/>
      <c r="D10" s="181"/>
      <c r="E10" s="181"/>
      <c r="F10" s="181"/>
      <c r="G10" s="182"/>
    </row>
    <row r="11" spans="1:7">
      <c r="A11" s="180"/>
      <c r="B11" s="181"/>
      <c r="C11" s="181"/>
      <c r="D11" s="181"/>
      <c r="E11" s="181"/>
      <c r="F11" s="181"/>
      <c r="G11" s="182"/>
    </row>
    <row r="12" spans="1:7">
      <c r="A12" s="180"/>
      <c r="B12" s="181"/>
      <c r="C12" s="181"/>
      <c r="D12" s="181"/>
      <c r="E12" s="181"/>
      <c r="F12" s="181"/>
      <c r="G12" s="182"/>
    </row>
    <row r="13" spans="1:7">
      <c r="A13" s="180"/>
      <c r="B13" s="181"/>
      <c r="C13" s="181"/>
      <c r="D13" s="181"/>
      <c r="E13" s="181"/>
      <c r="F13" s="181"/>
      <c r="G13" s="182"/>
    </row>
    <row r="14" spans="1:7">
      <c r="A14" s="180"/>
      <c r="B14" s="181"/>
      <c r="C14" s="181"/>
      <c r="D14" s="181"/>
      <c r="E14" s="181"/>
      <c r="F14" s="181"/>
      <c r="G14" s="182"/>
    </row>
    <row r="15" spans="1:7">
      <c r="A15" s="180"/>
      <c r="B15" s="181"/>
      <c r="C15" s="181"/>
      <c r="D15" s="181"/>
      <c r="E15" s="181"/>
      <c r="F15" s="181"/>
      <c r="G15" s="182"/>
    </row>
    <row r="16" spans="1:7">
      <c r="A16" s="180"/>
      <c r="B16" s="181"/>
      <c r="C16" s="181"/>
      <c r="D16" s="181"/>
      <c r="E16" s="181"/>
      <c r="F16" s="181"/>
      <c r="G16" s="182"/>
    </row>
    <row r="17" spans="1:7" ht="15.75" thickBot="1">
      <c r="A17" s="183"/>
      <c r="B17" s="184"/>
      <c r="C17" s="184"/>
      <c r="D17" s="184"/>
      <c r="E17" s="184"/>
      <c r="F17" s="184"/>
      <c r="G17" s="185"/>
    </row>
    <row r="18" spans="1:7">
      <c r="A18" s="189" t="s">
        <v>255</v>
      </c>
      <c r="B18" s="190"/>
      <c r="C18" s="190"/>
      <c r="D18" s="190"/>
      <c r="E18" s="190"/>
      <c r="F18" s="190"/>
      <c r="G18" s="191"/>
    </row>
    <row r="19" spans="1:7" ht="15.75" thickBot="1">
      <c r="A19" s="192"/>
      <c r="B19" s="193"/>
      <c r="C19" s="193"/>
      <c r="D19" s="193"/>
      <c r="E19" s="193"/>
      <c r="F19" s="193"/>
      <c r="G19" s="194"/>
    </row>
    <row r="20" spans="1:7">
      <c r="A20" s="177" t="s">
        <v>256</v>
      </c>
      <c r="B20" s="178"/>
      <c r="C20" s="178"/>
      <c r="D20" s="178"/>
      <c r="E20" s="178"/>
      <c r="F20" s="178"/>
      <c r="G20" s="179"/>
    </row>
    <row r="21" spans="1:7">
      <c r="A21" s="180"/>
      <c r="B21" s="181"/>
      <c r="C21" s="181"/>
      <c r="D21" s="181"/>
      <c r="E21" s="181"/>
      <c r="F21" s="181"/>
      <c r="G21" s="182"/>
    </row>
    <row r="22" spans="1:7">
      <c r="A22" s="180"/>
      <c r="B22" s="181"/>
      <c r="C22" s="181"/>
      <c r="D22" s="181"/>
      <c r="E22" s="181"/>
      <c r="F22" s="181"/>
      <c r="G22" s="182"/>
    </row>
    <row r="23" spans="1:7">
      <c r="A23" s="180"/>
      <c r="B23" s="181"/>
      <c r="C23" s="181"/>
      <c r="D23" s="181"/>
      <c r="E23" s="181"/>
      <c r="F23" s="181"/>
      <c r="G23" s="182"/>
    </row>
    <row r="24" spans="1:7">
      <c r="A24" s="180"/>
      <c r="B24" s="181"/>
      <c r="C24" s="181"/>
      <c r="D24" s="181"/>
      <c r="E24" s="181"/>
      <c r="F24" s="181"/>
      <c r="G24" s="182"/>
    </row>
    <row r="25" spans="1:7">
      <c r="A25" s="180"/>
      <c r="B25" s="181"/>
      <c r="C25" s="181"/>
      <c r="D25" s="181"/>
      <c r="E25" s="181"/>
      <c r="F25" s="181"/>
      <c r="G25" s="182"/>
    </row>
    <row r="26" spans="1:7">
      <c r="A26" s="180"/>
      <c r="B26" s="181"/>
      <c r="C26" s="181"/>
      <c r="D26" s="181"/>
      <c r="E26" s="181"/>
      <c r="F26" s="181"/>
      <c r="G26" s="182"/>
    </row>
    <row r="27" spans="1:7">
      <c r="A27" s="180"/>
      <c r="B27" s="181"/>
      <c r="C27" s="181"/>
      <c r="D27" s="181"/>
      <c r="E27" s="181"/>
      <c r="F27" s="181"/>
      <c r="G27" s="182"/>
    </row>
    <row r="28" spans="1:7">
      <c r="A28" s="180"/>
      <c r="B28" s="181"/>
      <c r="C28" s="181"/>
      <c r="D28" s="181"/>
      <c r="E28" s="181"/>
      <c r="F28" s="181"/>
      <c r="G28" s="182"/>
    </row>
    <row r="29" spans="1:7">
      <c r="A29" s="180"/>
      <c r="B29" s="181"/>
      <c r="C29" s="181"/>
      <c r="D29" s="181"/>
      <c r="E29" s="181"/>
      <c r="F29" s="181"/>
      <c r="G29" s="182"/>
    </row>
    <row r="30" spans="1:7">
      <c r="A30" s="180"/>
      <c r="B30" s="181"/>
      <c r="C30" s="181"/>
      <c r="D30" s="181"/>
      <c r="E30" s="181"/>
      <c r="F30" s="181"/>
      <c r="G30" s="182"/>
    </row>
    <row r="31" spans="1:7">
      <c r="A31" s="180"/>
      <c r="B31" s="181"/>
      <c r="C31" s="181"/>
      <c r="D31" s="181"/>
      <c r="E31" s="181"/>
      <c r="F31" s="181"/>
      <c r="G31" s="182"/>
    </row>
    <row r="32" spans="1:7">
      <c r="A32" s="180"/>
      <c r="B32" s="181"/>
      <c r="C32" s="181"/>
      <c r="D32" s="181"/>
      <c r="E32" s="181"/>
      <c r="F32" s="181"/>
      <c r="G32" s="182"/>
    </row>
    <row r="33" spans="1:7" ht="15.75" thickBot="1">
      <c r="A33" s="183"/>
      <c r="B33" s="184"/>
      <c r="C33" s="184"/>
      <c r="D33" s="184"/>
      <c r="E33" s="184"/>
      <c r="F33" s="184"/>
      <c r="G33" s="185"/>
    </row>
    <row r="34" spans="1:7">
      <c r="A34" s="189" t="s">
        <v>257</v>
      </c>
      <c r="B34" s="190"/>
      <c r="C34" s="190"/>
      <c r="D34" s="190"/>
      <c r="E34" s="190"/>
      <c r="F34" s="190"/>
      <c r="G34" s="191"/>
    </row>
    <row r="35" spans="1:7" ht="15.75" thickBot="1">
      <c r="A35" s="192"/>
      <c r="B35" s="193"/>
      <c r="C35" s="193"/>
      <c r="D35" s="193"/>
      <c r="E35" s="193"/>
      <c r="F35" s="193"/>
      <c r="G35" s="194"/>
    </row>
    <row r="36" spans="1:7">
      <c r="A36" s="177" t="s">
        <v>258</v>
      </c>
      <c r="B36" s="178"/>
      <c r="C36" s="178"/>
      <c r="D36" s="178"/>
      <c r="E36" s="178"/>
      <c r="F36" s="178"/>
      <c r="G36" s="179"/>
    </row>
    <row r="37" spans="1:7">
      <c r="A37" s="180"/>
      <c r="B37" s="181"/>
      <c r="C37" s="181"/>
      <c r="D37" s="181"/>
      <c r="E37" s="181"/>
      <c r="F37" s="181"/>
      <c r="G37" s="182"/>
    </row>
    <row r="38" spans="1:7">
      <c r="A38" s="180"/>
      <c r="B38" s="181"/>
      <c r="C38" s="181"/>
      <c r="D38" s="181"/>
      <c r="E38" s="181"/>
      <c r="F38" s="181"/>
      <c r="G38" s="182"/>
    </row>
    <row r="39" spans="1:7">
      <c r="A39" s="180"/>
      <c r="B39" s="181"/>
      <c r="C39" s="181"/>
      <c r="D39" s="181"/>
      <c r="E39" s="181"/>
      <c r="F39" s="181"/>
      <c r="G39" s="182"/>
    </row>
    <row r="40" spans="1:7">
      <c r="A40" s="180"/>
      <c r="B40" s="181"/>
      <c r="C40" s="181"/>
      <c r="D40" s="181"/>
      <c r="E40" s="181"/>
      <c r="F40" s="181"/>
      <c r="G40" s="182"/>
    </row>
    <row r="41" spans="1:7">
      <c r="A41" s="180"/>
      <c r="B41" s="181"/>
      <c r="C41" s="181"/>
      <c r="D41" s="181"/>
      <c r="E41" s="181"/>
      <c r="F41" s="181"/>
      <c r="G41" s="182"/>
    </row>
    <row r="42" spans="1:7">
      <c r="A42" s="180"/>
      <c r="B42" s="181"/>
      <c r="C42" s="181"/>
      <c r="D42" s="181"/>
      <c r="E42" s="181"/>
      <c r="F42" s="181"/>
      <c r="G42" s="182"/>
    </row>
    <row r="43" spans="1:7">
      <c r="A43" s="180"/>
      <c r="B43" s="181"/>
      <c r="C43" s="181"/>
      <c r="D43" s="181"/>
      <c r="E43" s="181"/>
      <c r="F43" s="181"/>
      <c r="G43" s="182"/>
    </row>
    <row r="44" spans="1:7">
      <c r="A44" s="180"/>
      <c r="B44" s="181"/>
      <c r="C44" s="181"/>
      <c r="D44" s="181"/>
      <c r="E44" s="181"/>
      <c r="F44" s="181"/>
      <c r="G44" s="182"/>
    </row>
    <row r="45" spans="1:7">
      <c r="A45" s="180"/>
      <c r="B45" s="181"/>
      <c r="C45" s="181"/>
      <c r="D45" s="181"/>
      <c r="E45" s="181"/>
      <c r="F45" s="181"/>
      <c r="G45" s="182"/>
    </row>
    <row r="46" spans="1:7" ht="15.75" thickBot="1">
      <c r="A46" s="183"/>
      <c r="B46" s="184"/>
      <c r="C46" s="184"/>
      <c r="D46" s="184"/>
      <c r="E46" s="184"/>
      <c r="F46" s="184"/>
      <c r="G46" s="185"/>
    </row>
  </sheetData>
  <mergeCells count="7">
    <mergeCell ref="A36:G46"/>
    <mergeCell ref="A1:G1"/>
    <mergeCell ref="A2:G3"/>
    <mergeCell ref="A4:G17"/>
    <mergeCell ref="A18:G19"/>
    <mergeCell ref="A20:G33"/>
    <mergeCell ref="A34:G35"/>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35C82-74A8-4E1E-B45F-1FA438F64138}">
  <dimension ref="A6:H9"/>
  <sheetViews>
    <sheetView showGridLines="0" workbookViewId="0">
      <selection activeCell="D15" sqref="D15"/>
    </sheetView>
  </sheetViews>
  <sheetFormatPr defaultColWidth="11.42578125" defaultRowHeight="15"/>
  <cols>
    <col min="2" max="2" width="29.85546875" customWidth="1"/>
    <col min="3" max="3" width="19.28515625" customWidth="1"/>
    <col min="4" max="4" width="21.28515625" bestFit="1" customWidth="1"/>
    <col min="5" max="5" width="31" customWidth="1"/>
  </cols>
  <sheetData>
    <row r="6" spans="1:8" ht="26.25" thickBot="1">
      <c r="A6" s="96" t="s">
        <v>259</v>
      </c>
      <c r="B6" s="96" t="s">
        <v>260</v>
      </c>
      <c r="C6" s="96" t="s">
        <v>261</v>
      </c>
      <c r="D6" s="96" t="s">
        <v>262</v>
      </c>
      <c r="E6" s="96" t="s">
        <v>263</v>
      </c>
      <c r="F6" s="96" t="s">
        <v>264</v>
      </c>
      <c r="G6" s="97" t="s">
        <v>265</v>
      </c>
      <c r="H6" s="97" t="s">
        <v>266</v>
      </c>
    </row>
    <row r="7" spans="1:8" ht="15.75" thickTop="1">
      <c r="A7" s="57">
        <v>1</v>
      </c>
      <c r="B7" s="56" t="s">
        <v>37</v>
      </c>
      <c r="C7" s="56" t="s">
        <v>267</v>
      </c>
      <c r="D7" s="126" t="s">
        <v>268</v>
      </c>
      <c r="E7" s="127" t="s">
        <v>269</v>
      </c>
      <c r="F7" s="128" t="s">
        <v>270</v>
      </c>
      <c r="G7" s="98"/>
      <c r="H7" s="98"/>
    </row>
    <row r="8" spans="1:8">
      <c r="A8" s="57">
        <v>2</v>
      </c>
      <c r="B8" s="56" t="s">
        <v>271</v>
      </c>
      <c r="C8" s="56" t="s">
        <v>267</v>
      </c>
      <c r="D8" s="56" t="s">
        <v>272</v>
      </c>
      <c r="E8" s="127" t="s">
        <v>273</v>
      </c>
      <c r="F8" s="128">
        <v>3164451130</v>
      </c>
      <c r="G8" s="98"/>
      <c r="H8" s="98"/>
    </row>
    <row r="9" spans="1:8">
      <c r="A9" s="57">
        <v>3</v>
      </c>
      <c r="B9" s="56" t="s">
        <v>274</v>
      </c>
      <c r="C9" s="56" t="s">
        <v>267</v>
      </c>
      <c r="D9" s="56" t="s">
        <v>275</v>
      </c>
      <c r="E9" s="127" t="s">
        <v>276</v>
      </c>
      <c r="F9" s="128">
        <v>3178735549</v>
      </c>
      <c r="G9" s="98"/>
      <c r="H9" s="98"/>
    </row>
  </sheetData>
  <hyperlinks>
    <hyperlink ref="E7" r:id="rId1" xr:uid="{C5D18A44-5E5C-4EB6-88CA-A622E19AB16F}"/>
    <hyperlink ref="E8" r:id="rId2" xr:uid="{96C56383-A999-4837-B8C0-468DC7F31C06}"/>
    <hyperlink ref="E9" r:id="rId3" xr:uid="{4884CA46-D54B-4327-8572-A0BA368F42EA}"/>
  </hyperlinks>
  <pageMargins left="0.7" right="0.7" top="0.75" bottom="0.75" header="0.3" footer="0.3"/>
  <pageSetup orientation="portrait"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5F2A1-2429-4CD7-BEF7-FB0AF7B8D604}">
  <dimension ref="B1:I28"/>
  <sheetViews>
    <sheetView showGridLines="0" workbookViewId="0">
      <selection activeCell="E16" sqref="E16"/>
    </sheetView>
  </sheetViews>
  <sheetFormatPr defaultColWidth="11.42578125" defaultRowHeight="15"/>
  <cols>
    <col min="7" max="7" width="17.28515625" bestFit="1" customWidth="1"/>
  </cols>
  <sheetData>
    <row r="1" spans="2:9">
      <c r="B1" s="8" t="s">
        <v>277</v>
      </c>
      <c r="C1" s="8" t="s">
        <v>278</v>
      </c>
      <c r="D1" s="107"/>
      <c r="E1" s="91" t="s">
        <v>279</v>
      </c>
      <c r="F1" s="91" t="s">
        <v>280</v>
      </c>
    </row>
    <row r="2" spans="2:9">
      <c r="B2" s="8" t="s">
        <v>78</v>
      </c>
      <c r="C2" s="8" t="s">
        <v>281</v>
      </c>
      <c r="D2" s="105"/>
      <c r="E2" t="s">
        <v>132</v>
      </c>
      <c r="F2">
        <v>30</v>
      </c>
      <c r="G2" t="s">
        <v>282</v>
      </c>
      <c r="H2" t="s">
        <v>283</v>
      </c>
      <c r="I2">
        <v>1</v>
      </c>
    </row>
    <row r="3" spans="2:9">
      <c r="B3" s="8" t="s">
        <v>284</v>
      </c>
      <c r="C3" s="8"/>
      <c r="E3" t="s">
        <v>200</v>
      </c>
      <c r="F3">
        <v>28</v>
      </c>
      <c r="G3" t="s">
        <v>285</v>
      </c>
      <c r="H3" t="s">
        <v>49</v>
      </c>
      <c r="I3">
        <v>2</v>
      </c>
    </row>
    <row r="4" spans="2:9">
      <c r="B4" s="8" t="s">
        <v>277</v>
      </c>
      <c r="C4" s="8"/>
      <c r="E4" t="s">
        <v>201</v>
      </c>
      <c r="F4">
        <v>31</v>
      </c>
      <c r="G4" t="s">
        <v>50</v>
      </c>
      <c r="I4">
        <v>3</v>
      </c>
    </row>
    <row r="5" spans="2:9">
      <c r="B5" s="8" t="s">
        <v>286</v>
      </c>
      <c r="C5" s="8"/>
      <c r="E5" t="s">
        <v>135</v>
      </c>
      <c r="F5">
        <v>30</v>
      </c>
      <c r="I5">
        <v>4</v>
      </c>
    </row>
    <row r="6" spans="2:9">
      <c r="B6" s="8" t="s">
        <v>287</v>
      </c>
      <c r="E6" t="s">
        <v>136</v>
      </c>
      <c r="F6">
        <v>31</v>
      </c>
      <c r="I6">
        <v>5</v>
      </c>
    </row>
    <row r="7" spans="2:9">
      <c r="B7" s="8" t="s">
        <v>288</v>
      </c>
      <c r="E7" t="s">
        <v>125</v>
      </c>
      <c r="F7">
        <v>30</v>
      </c>
    </row>
    <row r="8" spans="2:9">
      <c r="B8" s="8" t="s">
        <v>289</v>
      </c>
      <c r="E8" t="s">
        <v>126</v>
      </c>
      <c r="F8">
        <v>31</v>
      </c>
    </row>
    <row r="9" spans="2:9">
      <c r="B9" s="8" t="s">
        <v>290</v>
      </c>
      <c r="E9" t="s">
        <v>127</v>
      </c>
      <c r="F9">
        <v>31</v>
      </c>
    </row>
    <row r="10" spans="2:9">
      <c r="B10" s="8" t="s">
        <v>291</v>
      </c>
      <c r="E10" t="s">
        <v>196</v>
      </c>
      <c r="F10">
        <v>30</v>
      </c>
    </row>
    <row r="11" spans="2:9">
      <c r="B11" s="8" t="s">
        <v>292</v>
      </c>
      <c r="E11" t="s">
        <v>197</v>
      </c>
      <c r="F11">
        <v>31</v>
      </c>
    </row>
    <row r="12" spans="2:9">
      <c r="B12" s="8" t="s">
        <v>293</v>
      </c>
      <c r="E12" t="s">
        <v>198</v>
      </c>
      <c r="F12">
        <v>30</v>
      </c>
    </row>
    <row r="13" spans="2:9">
      <c r="B13" s="8" t="s">
        <v>294</v>
      </c>
      <c r="E13" t="s">
        <v>199</v>
      </c>
      <c r="F13">
        <v>31</v>
      </c>
    </row>
    <row r="14" spans="2:9">
      <c r="B14" s="8" t="s">
        <v>295</v>
      </c>
    </row>
    <row r="15" spans="2:9">
      <c r="B15" s="8" t="s">
        <v>296</v>
      </c>
    </row>
    <row r="16" spans="2:9">
      <c r="B16" s="8" t="s">
        <v>297</v>
      </c>
    </row>
    <row r="17" spans="2:2">
      <c r="B17" s="8" t="s">
        <v>298</v>
      </c>
    </row>
    <row r="18" spans="2:2">
      <c r="B18" s="8" t="s">
        <v>299</v>
      </c>
    </row>
    <row r="19" spans="2:2">
      <c r="B19" s="8" t="s">
        <v>300</v>
      </c>
    </row>
    <row r="20" spans="2:2">
      <c r="B20" s="8" t="s">
        <v>301</v>
      </c>
    </row>
    <row r="21" spans="2:2">
      <c r="B21" s="8" t="s">
        <v>302</v>
      </c>
    </row>
    <row r="22" spans="2:2">
      <c r="B22" s="8" t="s">
        <v>303</v>
      </c>
    </row>
    <row r="23" spans="2:2">
      <c r="B23" s="8" t="s">
        <v>304</v>
      </c>
    </row>
    <row r="24" spans="2:2">
      <c r="B24" s="8" t="s">
        <v>305</v>
      </c>
    </row>
    <row r="25" spans="2:2">
      <c r="B25" s="8" t="s">
        <v>279</v>
      </c>
    </row>
    <row r="26" spans="2:2">
      <c r="B26" s="8" t="s">
        <v>306</v>
      </c>
    </row>
    <row r="27" spans="2:2">
      <c r="B27" s="8" t="s">
        <v>307</v>
      </c>
    </row>
    <row r="28" spans="2:2">
      <c r="B28" s="8" t="s">
        <v>308</v>
      </c>
    </row>
  </sheetData>
  <phoneticPr fontId="26"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AE95B9B-362F-4EF9-965E-5BAAFA8B333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NARDA</dc:creator>
  <cp:keywords/>
  <dc:description/>
  <cp:lastModifiedBy>Monica Gisela Dueñas Gomez</cp:lastModifiedBy>
  <cp:revision/>
  <dcterms:created xsi:type="dcterms:W3CDTF">2022-05-28T02:06:13Z</dcterms:created>
  <dcterms:modified xsi:type="dcterms:W3CDTF">2023-07-28T16:45:13Z</dcterms:modified>
  <cp:category/>
  <cp:contentStatus/>
</cp:coreProperties>
</file>